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theme/themeOverride1.xml" ContentType="application/vnd.openxmlformats-officedocument.themeOverride+xml"/>
  <Override PartName="/xl/charts/chart18.xml" ContentType="application/vnd.openxmlformats-officedocument.drawingml.chart+xml"/>
  <Override PartName="/xl/theme/themeOverride2.xml" ContentType="application/vnd.openxmlformats-officedocument.themeOverride+xml"/>
  <Override PartName="/xl/charts/chart1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2.xml" ContentType="application/vnd.openxmlformats-officedocument.drawingml.chart+xml"/>
  <Override PartName="/xl/theme/themeOverride3.xml" ContentType="application/vnd.openxmlformats-officedocument.themeOverride+xml"/>
  <Override PartName="/xl/charts/chart2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.xml" ContentType="application/vnd.openxmlformats-officedocument.drawing+xml"/>
  <Override PartName="/xl/charts/chart2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5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harts/chart26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7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chi_lq233024_sis_hust_edu_vn/Documents/"/>
    </mc:Choice>
  </mc:AlternateContent>
  <xr:revisionPtr revIDLastSave="4195" documentId="8_{D68F9593-B4B6-4EF1-AA50-F88C1792F3D9}" xr6:coauthVersionLast="47" xr6:coauthVersionMax="47" xr10:uidLastSave="{8B722A9F-EE58-4A63-8E22-09F98D4D9686}"/>
  <bookViews>
    <workbookView xWindow="-110" yWindow="-110" windowWidth="22620" windowHeight="13500" tabRatio="717" firstSheet="7" activeTab="4" xr2:uid="{715B70B9-8EA4-41C9-A562-6FD2A46F1BAC}"/>
  </bookViews>
  <sheets>
    <sheet name="Balance Sheet" sheetId="1" r:id="rId1"/>
    <sheet name="Income Statement" sheetId="2" r:id="rId2"/>
    <sheet name="Cash flow Statement" sheetId="3" r:id="rId3"/>
    <sheet name="2. Financial statement" sheetId="5" r:id="rId4"/>
    <sheet name="3. Financing" sheetId="8" r:id="rId5"/>
    <sheet name="4. Investment" sheetId="7" r:id="rId6"/>
    <sheet name="5. Profit Sharing" sheetId="9" r:id="rId7"/>
    <sheet name="6. Overall assessment" sheetId="4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6" i="8" l="1"/>
  <c r="E36" i="8"/>
  <c r="E35" i="8"/>
  <c r="E37" i="8"/>
  <c r="R105" i="8"/>
  <c r="R99" i="8"/>
  <c r="R107" i="8"/>
  <c r="R106" i="8"/>
  <c r="K100" i="8"/>
  <c r="M74" i="8"/>
  <c r="B2" i="4"/>
  <c r="G60" i="5"/>
  <c r="M13" i="4"/>
  <c r="M12" i="4"/>
  <c r="E15" i="8"/>
  <c r="F15" i="8"/>
  <c r="E16" i="8"/>
  <c r="F16" i="8"/>
  <c r="T107" i="8"/>
  <c r="AZ14" i="8"/>
  <c r="S107" i="8"/>
  <c r="AY14" i="8"/>
  <c r="AX14" i="8"/>
  <c r="F87" i="8"/>
  <c r="G87" i="8"/>
  <c r="E87" i="8"/>
  <c r="N80" i="8"/>
  <c r="O80" i="8"/>
  <c r="M80" i="8"/>
  <c r="S105" i="8"/>
  <c r="T105" i="8"/>
  <c r="S106" i="8"/>
  <c r="T106" i="8"/>
  <c r="L100" i="8"/>
  <c r="M100" i="8"/>
  <c r="T98" i="8"/>
  <c r="S98" i="8"/>
  <c r="X100" i="8" s="1"/>
  <c r="S99" i="8" s="1"/>
  <c r="R98" i="8"/>
  <c r="S102" i="8"/>
  <c r="T102" i="8"/>
  <c r="R102" i="8"/>
  <c r="T99" i="8"/>
  <c r="X96" i="8"/>
  <c r="Y96" i="8"/>
  <c r="X97" i="8"/>
  <c r="Y97" i="8"/>
  <c r="X98" i="8"/>
  <c r="Y98" i="8"/>
  <c r="X99" i="8"/>
  <c r="Y99" i="8"/>
  <c r="Y100" i="8"/>
  <c r="W96" i="8"/>
  <c r="W97" i="8"/>
  <c r="W100" i="8"/>
  <c r="W99" i="8"/>
  <c r="W98" i="8"/>
  <c r="S97" i="8"/>
  <c r="T97" i="8"/>
  <c r="R97" i="8"/>
  <c r="S94" i="8"/>
  <c r="T94" i="8"/>
  <c r="R94" i="8"/>
  <c r="S93" i="8"/>
  <c r="T93" i="8"/>
  <c r="R93" i="8"/>
  <c r="S92" i="8"/>
  <c r="T92" i="8"/>
  <c r="R92" i="8"/>
  <c r="S91" i="8"/>
  <c r="T91" i="8"/>
  <c r="R91" i="8"/>
  <c r="T90" i="8"/>
  <c r="S90" i="8"/>
  <c r="R90" i="8"/>
  <c r="K46" i="8"/>
  <c r="L92" i="8"/>
  <c r="M92" i="8"/>
  <c r="K92" i="8"/>
  <c r="M91" i="8"/>
  <c r="L91" i="8"/>
  <c r="K91" i="8"/>
  <c r="M90" i="8"/>
  <c r="L90" i="8"/>
  <c r="K90" i="8"/>
  <c r="F96" i="8"/>
  <c r="G96" i="8"/>
  <c r="E96" i="8"/>
  <c r="F95" i="8"/>
  <c r="G95" i="8"/>
  <c r="E95" i="8"/>
  <c r="F94" i="8"/>
  <c r="G94" i="8"/>
  <c r="E94" i="8"/>
  <c r="F93" i="8"/>
  <c r="G93" i="8"/>
  <c r="E93" i="8"/>
  <c r="G92" i="8"/>
  <c r="F92" i="8"/>
  <c r="E92" i="8"/>
  <c r="F91" i="8"/>
  <c r="G91" i="8"/>
  <c r="E91" i="8"/>
  <c r="F90" i="8"/>
  <c r="G90" i="8"/>
  <c r="E90" i="8"/>
  <c r="U4" i="4"/>
  <c r="T4" i="4"/>
  <c r="S4" i="4"/>
  <c r="U3" i="4"/>
  <c r="T3" i="4"/>
  <c r="S3" i="4"/>
  <c r="D23" i="9"/>
  <c r="E23" i="9"/>
  <c r="C23" i="9"/>
  <c r="E21" i="9"/>
  <c r="E26" i="9" s="1"/>
  <c r="D31" i="9" s="1"/>
  <c r="D24" i="9"/>
  <c r="E24" i="9"/>
  <c r="D14" i="9"/>
  <c r="D5" i="9"/>
  <c r="E5" i="9"/>
  <c r="C5" i="9"/>
  <c r="D4" i="9"/>
  <c r="D21" i="9" s="1"/>
  <c r="D26" i="9" s="1"/>
  <c r="C31" i="9" s="1"/>
  <c r="E4" i="9"/>
  <c r="C13" i="9"/>
  <c r="D13" i="9"/>
  <c r="D15" i="9"/>
  <c r="D17" i="9"/>
  <c r="D30" i="9" s="1"/>
  <c r="D32" i="9" s="1"/>
  <c r="C4" i="9"/>
  <c r="C21" i="9" s="1"/>
  <c r="S75" i="8"/>
  <c r="O77" i="8"/>
  <c r="U76" i="8"/>
  <c r="T76" i="8"/>
  <c r="S76" i="8"/>
  <c r="S74" i="8"/>
  <c r="N74" i="8"/>
  <c r="O74" i="8"/>
  <c r="N75" i="8"/>
  <c r="N76" i="8" s="1"/>
  <c r="O75" i="8"/>
  <c r="O76" i="8" s="1"/>
  <c r="M75" i="8"/>
  <c r="M76" i="8" s="1"/>
  <c r="H82" i="8"/>
  <c r="F80" i="8"/>
  <c r="F82" i="8" s="1"/>
  <c r="G80" i="8"/>
  <c r="F81" i="8"/>
  <c r="G81" i="8"/>
  <c r="G82" i="8"/>
  <c r="E81" i="8"/>
  <c r="K13" i="8"/>
  <c r="F74" i="8"/>
  <c r="F76" i="8" s="1"/>
  <c r="G74" i="8"/>
  <c r="F75" i="8"/>
  <c r="G75" i="8"/>
  <c r="E75" i="8"/>
  <c r="E76" i="8" s="1"/>
  <c r="E74" i="8"/>
  <c r="E80" i="8"/>
  <c r="C14" i="9" l="1"/>
  <c r="C15" i="9" s="1"/>
  <c r="C17" i="9" s="1"/>
  <c r="C30" i="9" s="1"/>
  <c r="C32" i="9" s="1"/>
  <c r="E82" i="8"/>
  <c r="E83" i="8" s="1"/>
  <c r="E84" i="8" s="1"/>
  <c r="G76" i="8"/>
  <c r="M77" i="8"/>
  <c r="G83" i="8"/>
  <c r="G84" i="8" s="1"/>
  <c r="N77" i="8"/>
  <c r="L46" i="8"/>
  <c r="M46" i="8"/>
  <c r="F67" i="8"/>
  <c r="G67" i="8"/>
  <c r="E67" i="8"/>
  <c r="F66" i="8"/>
  <c r="G66" i="8"/>
  <c r="E66" i="8"/>
  <c r="F47" i="8"/>
  <c r="G47" i="8"/>
  <c r="E47" i="8"/>
  <c r="F46" i="8"/>
  <c r="G46" i="8"/>
  <c r="E46" i="8"/>
  <c r="K38" i="8"/>
  <c r="L35" i="8"/>
  <c r="L36" i="8" s="1"/>
  <c r="L37" i="8" s="1"/>
  <c r="M35" i="8"/>
  <c r="M36" i="8" s="1"/>
  <c r="M37" i="8" s="1"/>
  <c r="K35" i="8"/>
  <c r="K36" i="8" s="1"/>
  <c r="K37" i="8" s="1"/>
  <c r="F37" i="8"/>
  <c r="G37" i="8"/>
  <c r="F35" i="8"/>
  <c r="F38" i="8" s="1"/>
  <c r="G35" i="8"/>
  <c r="G36" i="8" s="1"/>
  <c r="E38" i="8"/>
  <c r="W21" i="8"/>
  <c r="X15" i="8"/>
  <c r="X14" i="8"/>
  <c r="V15" i="8"/>
  <c r="T15" i="8"/>
  <c r="Y26" i="8"/>
  <c r="Y25" i="8"/>
  <c r="W24" i="8"/>
  <c r="W23" i="8"/>
  <c r="W22" i="8"/>
  <c r="X26" i="8"/>
  <c r="X25" i="8"/>
  <c r="X24" i="8"/>
  <c r="X23" i="8"/>
  <c r="X22" i="8"/>
  <c r="X21" i="8"/>
  <c r="X20" i="8"/>
  <c r="J13" i="8"/>
  <c r="L13" i="8"/>
  <c r="J14" i="8"/>
  <c r="K14" i="8"/>
  <c r="L14" i="8"/>
  <c r="O14" i="8"/>
  <c r="P14" i="8"/>
  <c r="J15" i="8"/>
  <c r="K15" i="8"/>
  <c r="L15" i="8"/>
  <c r="O15" i="8"/>
  <c r="P15" i="8"/>
  <c r="F11" i="8"/>
  <c r="V14" i="8" s="1"/>
  <c r="G11" i="8"/>
  <c r="E11" i="8"/>
  <c r="T14" i="8" s="1"/>
  <c r="P16" i="8"/>
  <c r="Q16" i="8"/>
  <c r="O16" i="8"/>
  <c r="Q15" i="8"/>
  <c r="Q14" i="8"/>
  <c r="G24" i="8"/>
  <c r="F24" i="8"/>
  <c r="E24" i="8"/>
  <c r="F23" i="8"/>
  <c r="F25" i="8" s="1"/>
  <c r="G23" i="8"/>
  <c r="E23" i="8"/>
  <c r="K19" i="8"/>
  <c r="L19" i="8"/>
  <c r="J19" i="8"/>
  <c r="K18" i="8"/>
  <c r="L18" i="8"/>
  <c r="J18" i="8"/>
  <c r="K17" i="8"/>
  <c r="L17" i="8"/>
  <c r="J17" i="8"/>
  <c r="K16" i="8"/>
  <c r="L16" i="8"/>
  <c r="J16" i="8"/>
  <c r="E14" i="8"/>
  <c r="AX11" i="8"/>
  <c r="AX12" i="8" s="1"/>
  <c r="AX13" i="8"/>
  <c r="AY13" i="8"/>
  <c r="AZ13" i="8"/>
  <c r="AX18" i="8"/>
  <c r="P20" i="4"/>
  <c r="P19" i="4"/>
  <c r="P18" i="4"/>
  <c r="P15" i="4"/>
  <c r="P14" i="4"/>
  <c r="P13" i="4"/>
  <c r="P10" i="4"/>
  <c r="P9" i="4"/>
  <c r="P8" i="4"/>
  <c r="P5" i="4"/>
  <c r="P3" i="4"/>
  <c r="P4" i="4"/>
  <c r="E106" i="5"/>
  <c r="I96" i="5"/>
  <c r="J96" i="5"/>
  <c r="H96" i="5"/>
  <c r="J93" i="5"/>
  <c r="I93" i="5"/>
  <c r="H93" i="5"/>
  <c r="H91" i="5"/>
  <c r="H95" i="5"/>
  <c r="H97" i="5"/>
  <c r="H98" i="5"/>
  <c r="J94" i="5"/>
  <c r="I94" i="5"/>
  <c r="H94" i="5"/>
  <c r="J95" i="5"/>
  <c r="I95" i="5"/>
  <c r="J97" i="5"/>
  <c r="J98" i="5"/>
  <c r="I97" i="5"/>
  <c r="I98" i="5"/>
  <c r="D108" i="5"/>
  <c r="E108" i="5"/>
  <c r="C108" i="5"/>
  <c r="D107" i="5"/>
  <c r="E107" i="5"/>
  <c r="C107" i="5"/>
  <c r="E109" i="5"/>
  <c r="E105" i="5"/>
  <c r="D109" i="5"/>
  <c r="D106" i="5"/>
  <c r="D105" i="5"/>
  <c r="C109" i="5"/>
  <c r="C106" i="5"/>
  <c r="C105" i="5"/>
  <c r="J92" i="5"/>
  <c r="J91" i="5"/>
  <c r="J90" i="5"/>
  <c r="I92" i="5"/>
  <c r="I91" i="5"/>
  <c r="I90" i="5"/>
  <c r="H92" i="5"/>
  <c r="H90" i="5"/>
  <c r="H86" i="5"/>
  <c r="J86" i="5"/>
  <c r="J87" i="5"/>
  <c r="I86" i="5"/>
  <c r="J88" i="5"/>
  <c r="I88" i="5"/>
  <c r="H88" i="5"/>
  <c r="C6" i="4"/>
  <c r="D6" i="4"/>
  <c r="B6" i="4"/>
  <c r="G58" i="5"/>
  <c r="H58" i="5"/>
  <c r="I58" i="5"/>
  <c r="G59" i="5"/>
  <c r="H59" i="5"/>
  <c r="I59" i="5"/>
  <c r="I65" i="5"/>
  <c r="I66" i="5"/>
  <c r="H66" i="5"/>
  <c r="H65" i="5"/>
  <c r="G66" i="5"/>
  <c r="G65" i="5"/>
  <c r="G62" i="5"/>
  <c r="I64" i="5"/>
  <c r="H64" i="5"/>
  <c r="G64" i="5"/>
  <c r="I62" i="5"/>
  <c r="H62" i="5"/>
  <c r="I60" i="5"/>
  <c r="H60" i="5"/>
  <c r="B3" i="5"/>
  <c r="AY11" i="8"/>
  <c r="AZ11" i="8"/>
  <c r="AZ12" i="8" s="1"/>
  <c r="AY12" i="8"/>
  <c r="AY18" i="8"/>
  <c r="AZ18" i="8"/>
  <c r="R4" i="8"/>
  <c r="V16" i="8" s="1"/>
  <c r="S4" i="8"/>
  <c r="X16" i="8" s="1"/>
  <c r="Q4" i="8"/>
  <c r="T16" i="8" s="1"/>
  <c r="L4" i="8"/>
  <c r="M4" i="8"/>
  <c r="K4" i="8"/>
  <c r="D5" i="4"/>
  <c r="C5" i="4"/>
  <c r="B5" i="4"/>
  <c r="I18" i="4"/>
  <c r="J18" i="4"/>
  <c r="I15" i="4"/>
  <c r="H15" i="4"/>
  <c r="I4" i="4"/>
  <c r="I10" i="4"/>
  <c r="H10" i="4"/>
  <c r="I6" i="4"/>
  <c r="D4" i="4"/>
  <c r="C4" i="4"/>
  <c r="B4" i="4"/>
  <c r="D10" i="4"/>
  <c r="C10" i="4"/>
  <c r="B10" i="4"/>
  <c r="B8" i="4"/>
  <c r="C8" i="4"/>
  <c r="D8" i="4"/>
  <c r="D9" i="4"/>
  <c r="I12" i="4"/>
  <c r="C9" i="4"/>
  <c r="H12" i="4"/>
  <c r="B9" i="4"/>
  <c r="B5" i="5"/>
  <c r="B4" i="5"/>
  <c r="D3" i="4"/>
  <c r="I3" i="4"/>
  <c r="C3" i="4"/>
  <c r="H18" i="4"/>
  <c r="B3" i="4"/>
  <c r="D7" i="4"/>
  <c r="I9" i="4"/>
  <c r="C7" i="4"/>
  <c r="H9" i="4"/>
  <c r="B7" i="4"/>
  <c r="D2" i="4"/>
  <c r="C2" i="4"/>
  <c r="H4" i="4"/>
  <c r="D5" i="5"/>
  <c r="D75" i="7"/>
  <c r="E76" i="7"/>
  <c r="E75" i="7"/>
  <c r="F76" i="7"/>
  <c r="F75" i="7"/>
  <c r="C75" i="7"/>
  <c r="D74" i="7"/>
  <c r="E74" i="7"/>
  <c r="E77" i="7"/>
  <c r="F74" i="7"/>
  <c r="F77" i="7"/>
  <c r="C74" i="7"/>
  <c r="E70" i="7"/>
  <c r="F70" i="7"/>
  <c r="D70" i="7"/>
  <c r="E69" i="7"/>
  <c r="E71" i="7"/>
  <c r="F69" i="7"/>
  <c r="F71" i="7"/>
  <c r="D68" i="7"/>
  <c r="E68" i="7"/>
  <c r="F68" i="7"/>
  <c r="C68" i="7"/>
  <c r="D69" i="7"/>
  <c r="D71" i="7"/>
  <c r="D66" i="7"/>
  <c r="E67" i="7"/>
  <c r="E66" i="7"/>
  <c r="F67" i="7"/>
  <c r="F66" i="7"/>
  <c r="C66" i="7"/>
  <c r="D67" i="7"/>
  <c r="E63" i="7"/>
  <c r="E59" i="7"/>
  <c r="E62" i="7"/>
  <c r="F62" i="7"/>
  <c r="F63" i="7"/>
  <c r="D62" i="7"/>
  <c r="D63" i="7"/>
  <c r="E61" i="7"/>
  <c r="F61" i="7"/>
  <c r="E60" i="7"/>
  <c r="F60" i="7"/>
  <c r="D60" i="7"/>
  <c r="D61" i="7"/>
  <c r="F58" i="7"/>
  <c r="E58" i="7"/>
  <c r="F59" i="7"/>
  <c r="D58" i="7"/>
  <c r="C58" i="7"/>
  <c r="D59" i="7"/>
  <c r="E57" i="7"/>
  <c r="D56" i="7"/>
  <c r="E56" i="7"/>
  <c r="F57" i="7"/>
  <c r="F56" i="7"/>
  <c r="C56" i="7"/>
  <c r="D57" i="7"/>
  <c r="D55" i="7"/>
  <c r="E55" i="7"/>
  <c r="F55" i="7"/>
  <c r="C55" i="7"/>
  <c r="D54" i="7"/>
  <c r="E54" i="7"/>
  <c r="F54" i="7"/>
  <c r="C54" i="7"/>
  <c r="C48" i="7"/>
  <c r="C44" i="7"/>
  <c r="C41" i="7"/>
  <c r="C40" i="7"/>
  <c r="C42" i="7"/>
  <c r="D43" i="7"/>
  <c r="D49" i="7"/>
  <c r="D50" i="7"/>
  <c r="C49" i="7"/>
  <c r="E48" i="7"/>
  <c r="F48" i="7"/>
  <c r="D48" i="7"/>
  <c r="E44" i="7"/>
  <c r="F44" i="7"/>
  <c r="D44" i="7"/>
  <c r="E42" i="7"/>
  <c r="F43" i="7"/>
  <c r="F49" i="7"/>
  <c r="F50" i="7"/>
  <c r="E41" i="7"/>
  <c r="F41" i="7"/>
  <c r="D41" i="7"/>
  <c r="E40" i="7"/>
  <c r="F40" i="7"/>
  <c r="F42" i="7"/>
  <c r="D40" i="7"/>
  <c r="D42" i="7"/>
  <c r="E43" i="7"/>
  <c r="E49" i="7"/>
  <c r="D35" i="7"/>
  <c r="E35" i="7"/>
  <c r="C35" i="7"/>
  <c r="D34" i="7"/>
  <c r="E34" i="7"/>
  <c r="C34" i="7"/>
  <c r="D33" i="7"/>
  <c r="D32" i="7"/>
  <c r="E33" i="7"/>
  <c r="C33" i="7"/>
  <c r="D31" i="7"/>
  <c r="D30" i="7"/>
  <c r="E31" i="7"/>
  <c r="E30" i="7"/>
  <c r="C31" i="7"/>
  <c r="C30" i="7"/>
  <c r="D27" i="7"/>
  <c r="E27" i="7"/>
  <c r="E25" i="7"/>
  <c r="C27" i="7"/>
  <c r="D26" i="7"/>
  <c r="E26" i="7"/>
  <c r="C26" i="7"/>
  <c r="D24" i="7"/>
  <c r="E24" i="7"/>
  <c r="C24" i="7"/>
  <c r="D23" i="7"/>
  <c r="E23" i="7"/>
  <c r="C23" i="7"/>
  <c r="D22" i="7"/>
  <c r="E22" i="7"/>
  <c r="C22" i="7"/>
  <c r="D19" i="7"/>
  <c r="E19" i="7"/>
  <c r="C19" i="7"/>
  <c r="D17" i="7"/>
  <c r="E17" i="7"/>
  <c r="C17" i="7"/>
  <c r="D16" i="7"/>
  <c r="D15" i="7"/>
  <c r="E16" i="7"/>
  <c r="E15" i="7"/>
  <c r="C16" i="7"/>
  <c r="C15" i="7"/>
  <c r="D14" i="7"/>
  <c r="E14" i="7"/>
  <c r="C14" i="7"/>
  <c r="D13" i="7"/>
  <c r="E13" i="7"/>
  <c r="C13" i="7"/>
  <c r="C12" i="7"/>
  <c r="D11" i="7"/>
  <c r="E11" i="7"/>
  <c r="C11" i="7"/>
  <c r="D10" i="7"/>
  <c r="E10" i="7"/>
  <c r="C10" i="7"/>
  <c r="D9" i="7"/>
  <c r="E9" i="7"/>
  <c r="C9" i="7"/>
  <c r="D8" i="7"/>
  <c r="E8" i="7"/>
  <c r="C8" i="7"/>
  <c r="D7" i="7"/>
  <c r="E7" i="7"/>
  <c r="C7" i="7"/>
  <c r="D6" i="7"/>
  <c r="E6" i="7"/>
  <c r="C6" i="7"/>
  <c r="D5" i="7"/>
  <c r="E5" i="7"/>
  <c r="C5" i="7"/>
  <c r="D4" i="7"/>
  <c r="E4" i="7"/>
  <c r="C4" i="7"/>
  <c r="G53" i="5"/>
  <c r="G49" i="5"/>
  <c r="G47" i="5"/>
  <c r="G40" i="5"/>
  <c r="F53" i="5"/>
  <c r="F49" i="5"/>
  <c r="F47" i="5"/>
  <c r="F40" i="5"/>
  <c r="E53" i="5"/>
  <c r="E49" i="5"/>
  <c r="E47" i="5"/>
  <c r="E40" i="5"/>
  <c r="F29" i="5"/>
  <c r="G29" i="5"/>
  <c r="E29" i="5"/>
  <c r="F26" i="5"/>
  <c r="G26" i="5"/>
  <c r="E26" i="5"/>
  <c r="F20" i="5"/>
  <c r="G20" i="5"/>
  <c r="E20" i="5"/>
  <c r="E18" i="5"/>
  <c r="F18" i="5"/>
  <c r="G18" i="5"/>
  <c r="F15" i="5"/>
  <c r="G15" i="5"/>
  <c r="E15" i="5"/>
  <c r="D10" i="5"/>
  <c r="C10" i="5"/>
  <c r="B10" i="5"/>
  <c r="D9" i="5"/>
  <c r="C9" i="5"/>
  <c r="B9" i="5"/>
  <c r="D4" i="5"/>
  <c r="D3" i="5"/>
  <c r="J9" i="4"/>
  <c r="J4" i="4"/>
  <c r="J12" i="4"/>
  <c r="J10" i="4"/>
  <c r="H17" i="4"/>
  <c r="J15" i="4"/>
  <c r="I17" i="4"/>
  <c r="I7" i="4"/>
  <c r="H8" i="4"/>
  <c r="H3" i="4"/>
  <c r="J3" i="4"/>
  <c r="H16" i="4"/>
  <c r="I8" i="4"/>
  <c r="I16" i="4"/>
  <c r="J16" i="4"/>
  <c r="M18" i="4"/>
  <c r="I87" i="5"/>
  <c r="I89" i="5"/>
  <c r="J89" i="5"/>
  <c r="H7" i="4"/>
  <c r="J7" i="4"/>
  <c r="G63" i="5"/>
  <c r="H63" i="5"/>
  <c r="I61" i="5"/>
  <c r="I63" i="5"/>
  <c r="H61" i="5"/>
  <c r="J17" i="4"/>
  <c r="H6" i="4"/>
  <c r="J6" i="4"/>
  <c r="H11" i="4"/>
  <c r="I5" i="4"/>
  <c r="H5" i="4"/>
  <c r="I11" i="4"/>
  <c r="J11" i="4"/>
  <c r="D76" i="7"/>
  <c r="D77" i="7"/>
  <c r="D45" i="7"/>
  <c r="F45" i="7"/>
  <c r="E50" i="7"/>
  <c r="C21" i="7"/>
  <c r="E21" i="7"/>
  <c r="E12" i="7"/>
  <c r="E45" i="7"/>
  <c r="D25" i="7"/>
  <c r="C32" i="7"/>
  <c r="D21" i="7"/>
  <c r="C25" i="7"/>
  <c r="E32" i="7"/>
  <c r="D12" i="7"/>
  <c r="C5" i="5"/>
  <c r="C4" i="5"/>
  <c r="M10" i="4"/>
  <c r="M9" i="4"/>
  <c r="M20" i="4"/>
  <c r="M19" i="4"/>
  <c r="J8" i="4"/>
  <c r="M8" i="4"/>
  <c r="M15" i="4"/>
  <c r="M14" i="4"/>
  <c r="J5" i="4"/>
  <c r="M5" i="4"/>
  <c r="M4" i="4"/>
  <c r="M7" i="4"/>
  <c r="M3" i="4"/>
  <c r="M17" i="4"/>
  <c r="M2" i="4"/>
  <c r="F83" i="8" l="1"/>
  <c r="F84" i="8" s="1"/>
  <c r="J20" i="8"/>
  <c r="F14" i="8" s="1"/>
  <c r="G14" i="8" s="1"/>
  <c r="K20" i="8"/>
  <c r="G25" i="8"/>
  <c r="E25" i="8"/>
  <c r="X28" i="8"/>
  <c r="Y28" i="8"/>
  <c r="G38" i="8"/>
  <c r="O18" i="8"/>
  <c r="Q17" i="8"/>
  <c r="L20" i="8"/>
  <c r="G16" i="8" s="1"/>
  <c r="X17" i="8"/>
  <c r="Y16" i="8" s="1"/>
  <c r="T17" i="8"/>
  <c r="U14" i="8" s="1"/>
  <c r="Y15" i="8"/>
  <c r="V17" i="8"/>
  <c r="W15" i="8" s="1"/>
  <c r="K40" i="8"/>
  <c r="P18" i="8"/>
  <c r="K41" i="8"/>
  <c r="Q18" i="8"/>
  <c r="P17" i="8"/>
  <c r="O17" i="8"/>
  <c r="W28" i="8"/>
  <c r="G15" i="8"/>
  <c r="AY19" i="8"/>
  <c r="AZ19" i="8"/>
  <c r="AX19" i="8"/>
  <c r="Y14" i="8" l="1"/>
  <c r="U16" i="8"/>
  <c r="W14" i="8"/>
  <c r="U15" i="8"/>
  <c r="W16" i="8"/>
</calcChain>
</file>

<file path=xl/sharedStrings.xml><?xml version="1.0" encoding="utf-8"?>
<sst xmlns="http://schemas.openxmlformats.org/spreadsheetml/2006/main" count="1262" uniqueCount="569">
  <si>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</si>
  <si>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</si>
  <si>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</si>
  <si>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</si>
  <si>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</si>
  <si>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</si>
  <si>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</si>
  <si>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</si>
  <si>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Mã số</t>
  </si>
  <si>
    <t>Chỉ tiêu</t>
  </si>
  <si>
    <t>2022</t>
  </si>
  <si>
    <t>2023</t>
  </si>
  <si>
    <t>2024</t>
  </si>
  <si>
    <t>TÀI SẢN NGẮN HẠN (current assets)</t>
  </si>
  <si>
    <t>Current Assets</t>
  </si>
  <si>
    <t>Tiền và các khoản tương đương tiền</t>
  </si>
  <si>
    <t>Cash and Cash Equivalents</t>
  </si>
  <si>
    <t>Tiền</t>
  </si>
  <si>
    <t>Cash</t>
  </si>
  <si>
    <t>Các khoản tương đương tiền</t>
  </si>
  <si>
    <t>Cash Equivalents</t>
  </si>
  <si>
    <t>Đầu tư tài chính ngắn hạn</t>
  </si>
  <si>
    <t>Short-term Financial Investments</t>
  </si>
  <si>
    <t>Đầu tư nắm giữ đến ngày đáo hạn</t>
  </si>
  <si>
    <t>Held-to-Maturity Investments</t>
  </si>
  <si>
    <t>Các khoản phải thu ngắn hạn</t>
  </si>
  <si>
    <t>Short-term Accounts Receivables</t>
  </si>
  <si>
    <t>Phải thu ngắn hạn của khách hàng</t>
  </si>
  <si>
    <t>Accounts Receivable from Customer</t>
  </si>
  <si>
    <t>Trả trước cho người bán ngắn hạn</t>
  </si>
  <si>
    <t>Advances to Suppliers</t>
  </si>
  <si>
    <t>Phải thu về cho vay ngắn hạn</t>
  </si>
  <si>
    <t>Short-term Loans Receivable</t>
  </si>
  <si>
    <t>-</t>
  </si>
  <si>
    <t>Phải thu ngắn hạn khác</t>
  </si>
  <si>
    <t>Other Short-term Receivables</t>
  </si>
  <si>
    <t>Dự phòng phải thu ngắn hạn khó đòi</t>
  </si>
  <si>
    <t>Allowance for Doubtful Receivables</t>
  </si>
  <si>
    <t>Hàng tồn kho</t>
  </si>
  <si>
    <t>Inventories</t>
  </si>
  <si>
    <t>Inventory</t>
  </si>
  <si>
    <t>Dự phòng giảm giá hàng tồn kho</t>
  </si>
  <si>
    <t>Allowance for Inventory Write-down</t>
  </si>
  <si>
    <t>Tài sản ngắn hạn khác</t>
  </si>
  <si>
    <t>Other Current Assets</t>
  </si>
  <si>
    <t>Chi phí trả trước ngắn hạn</t>
  </si>
  <si>
    <t>Short-term Prepaid Expenses</t>
  </si>
  <si>
    <t>Thuế GTGT được khấu trừ</t>
  </si>
  <si>
    <t>Deductible VAT</t>
  </si>
  <si>
    <t>Thuế và các khoản khác phải thu Nhà nước</t>
  </si>
  <si>
    <t>Taxes and Other Receivables from the State</t>
  </si>
  <si>
    <t>TÀI SẢN DÀI HẠN (non-current assets)</t>
  </si>
  <si>
    <t>Non-current Assets</t>
  </si>
  <si>
    <t>Các khoản phải thu dài hạn</t>
  </si>
  <si>
    <t>Long-term Receivables</t>
  </si>
  <si>
    <t>Phải thu về cho vay dài hạn</t>
  </si>
  <si>
    <t>Long-term Loans Receivable</t>
  </si>
  <si>
    <t>Phải thu dài hạn khác</t>
  </si>
  <si>
    <t>Other Long-term Receivables</t>
  </si>
  <si>
    <t>Tài sản cố định</t>
  </si>
  <si>
    <t>Fixed Asset</t>
  </si>
  <si>
    <t>TSCĐ hữu hình</t>
  </si>
  <si>
    <t>Property, Plant and Equipment</t>
  </si>
  <si>
    <t>Nguyên giá</t>
  </si>
  <si>
    <t>Historical Cost</t>
  </si>
  <si>
    <t>Giá trị hao mòn lũy kế</t>
  </si>
  <si>
    <t>Accumulated Depreciation</t>
  </si>
  <si>
    <t>TSCĐ vô hình</t>
  </si>
  <si>
    <t>Intangible Assets</t>
  </si>
  <si>
    <t>Accumulated Amortization</t>
  </si>
  <si>
    <t>Tài sản dở dang dài hạn</t>
  </si>
  <si>
    <t>Long-term Work in Progress</t>
  </si>
  <si>
    <t>Chi phí xây dựng cơ bản dở dang</t>
  </si>
  <si>
    <t>Construction in Progress (CIP)</t>
  </si>
  <si>
    <t>Đầu tư tài chính dài hạn</t>
  </si>
  <si>
    <t>Long-term Financial Investments</t>
  </si>
  <si>
    <t>Đầu tư vào công ty con</t>
  </si>
  <si>
    <t>Investments in Subsidiaries</t>
  </si>
  <si>
    <t>Đầu tư vào công ty liên kết</t>
  </si>
  <si>
    <t>Investments in Associates</t>
  </si>
  <si>
    <t>Tài sản dài hạn khác</t>
  </si>
  <si>
    <t>Other Non-current Assets</t>
  </si>
  <si>
    <t>Chi phí trả trước dài hạn</t>
  </si>
  <si>
    <t>Long-term Prepaid Expenses</t>
  </si>
  <si>
    <t>Tài sản thuế thu nhập hoãn lại</t>
  </si>
  <si>
    <t>Deferred Tax Assets</t>
  </si>
  <si>
    <t>TỔNG TÀI SẢN</t>
  </si>
  <si>
    <t>Total Assets</t>
  </si>
  <si>
    <t>NỢ PHẢI TRẢ</t>
  </si>
  <si>
    <t>Liabilities</t>
  </si>
  <si>
    <t>Nợ ngắn hạn</t>
  </si>
  <si>
    <t>Current Liabilities</t>
  </si>
  <si>
    <t>Phải trả người bán ngắn hạn</t>
  </si>
  <si>
    <t>Accounts Payable</t>
  </si>
  <si>
    <t>Người mua trả tiền trước ngắn hạn</t>
  </si>
  <si>
    <t>Advances from Customers</t>
  </si>
  <si>
    <t>Thuế và các khoản phải nộp Nhà nước</t>
  </si>
  <si>
    <t>Taxes and Other Payables to the State Budget</t>
  </si>
  <si>
    <t>Phải trả người lao động</t>
  </si>
  <si>
    <t>Employee Payables</t>
  </si>
  <si>
    <t>Chi phí phải trả ngắn hạn</t>
  </si>
  <si>
    <t>Accrued Expenses</t>
  </si>
  <si>
    <t>Phải trả ngắn hạn khác</t>
  </si>
  <si>
    <t>Other Current Payables</t>
  </si>
  <si>
    <t>Vay ngắn hạn</t>
  </si>
  <si>
    <t>Short-term Borrowings</t>
  </si>
  <si>
    <t>Quỹ khen thưởng, phúc lợi</t>
  </si>
  <si>
    <t>Bonus and Welfare Fund</t>
  </si>
  <si>
    <t>Nợ dài hạn</t>
  </si>
  <si>
    <t>Non-current Liabilities</t>
  </si>
  <si>
    <t>Phải trả dài hạn khác</t>
  </si>
  <si>
    <t>Other Long-term Payables</t>
  </si>
  <si>
    <t>Dự phòng phải trả dài hạn</t>
  </si>
  <si>
    <t>Long-term Provisions</t>
  </si>
  <si>
    <t>VỐN CHỦ SỞ HỮU</t>
  </si>
  <si>
    <t>Equity</t>
  </si>
  <si>
    <t>Vốn chủ sở hữu</t>
  </si>
  <si>
    <t>Owners' Equity</t>
  </si>
  <si>
    <t>Vốn góp của chủ sở hữu</t>
  </si>
  <si>
    <t>Contributed Capital</t>
  </si>
  <si>
    <t>411a</t>
  </si>
  <si>
    <t>Cổ phiếu phổ thông có quyền biểu quyết</t>
  </si>
  <si>
    <t>Ordinary Shares</t>
  </si>
  <si>
    <t>Thặng dư vốn cổ phần</t>
  </si>
  <si>
    <t>Share Premium</t>
  </si>
  <si>
    <t>Quỹ khác thuộc vốn chủ sở hữu</t>
  </si>
  <si>
    <t>Other Equity Funds</t>
  </si>
  <si>
    <t>Lợi nhuận sau thuế chưa phân phối</t>
  </si>
  <si>
    <t>Retained Earnings</t>
  </si>
  <si>
    <t>421a</t>
  </si>
  <si>
    <t>LN chưa phân phối lũy kế năm trước</t>
  </si>
  <si>
    <t>Retained Earnings Brought Forward</t>
  </si>
  <si>
    <t>421b</t>
  </si>
  <si>
    <t>LN chưa phân phối năm nay</t>
  </si>
  <si>
    <t>Current Year Retained Earnings</t>
  </si>
  <si>
    <t>TỔNG NGUỒN VỐN</t>
  </si>
  <si>
    <t>Total Liabilities and Equity</t>
  </si>
  <si>
    <t>Eng</t>
  </si>
  <si>
    <t>Thuyết minh</t>
  </si>
  <si>
    <t>Doanh thu bán hàng và cung cấp dịch vụ</t>
  </si>
  <si>
    <t>Revenue from sales and service provision</t>
  </si>
  <si>
    <t>Các khoản giảm trừ doanh thu</t>
  </si>
  <si>
    <t>Sales deductions</t>
  </si>
  <si>
    <t>Doanh thu thuần về bán hàng và cung cấp dịch vụ</t>
  </si>
  <si>
    <t>Net revenue from sales and service provision</t>
  </si>
  <si>
    <t>Giá vốn hàng bán và dịch vụ cung cấp</t>
  </si>
  <si>
    <t>Cost of goods sold and services provided</t>
  </si>
  <si>
    <t>Lợi nhuận gộp (20 = 10 - 11)</t>
  </si>
  <si>
    <t>Gross profit (20 = 10 - 11)</t>
  </si>
  <si>
    <t>Doanh thu hoạt động tài chính</t>
  </si>
  <si>
    <t>Financial income</t>
  </si>
  <si>
    <t>Chi phí tài chính</t>
  </si>
  <si>
    <t>Financial expenses</t>
  </si>
  <si>
    <t>Chi phí bán hàng</t>
  </si>
  <si>
    <t>Selling expenses</t>
  </si>
  <si>
    <t>Chi phí quản lý doanh nghiệp</t>
  </si>
  <si>
    <t>General and administrative expenses</t>
  </si>
  <si>
    <t>Lợi nhuận thuần từ hoạt động kinh doanh</t>
  </si>
  <si>
    <t>Operating profit</t>
  </si>
  <si>
    <t>Thu nhập khác</t>
  </si>
  <si>
    <t>Other income</t>
  </si>
  <si>
    <t>Chi phí khác</t>
  </si>
  <si>
    <t>Other expenses</t>
  </si>
  <si>
    <t>Lợi nhuận/(lỗ) khác (40 = 31 - 32)</t>
  </si>
  <si>
    <t>Other profit/(loss) (40 = 31 - 32)</t>
  </si>
  <si>
    <t>Tổng lợi nhuận kế toán trước thuế (50 = 30 + 40)</t>
  </si>
  <si>
    <t>Total accounting profit before tax (50 = 30 + 40)</t>
  </si>
  <si>
    <t>Chi phí thuế TNDN hiện hành</t>
  </si>
  <si>
    <t>Current corporate income tax expense</t>
  </si>
  <si>
    <t>Lợi ích thuế TNDN hoãn lại</t>
  </si>
  <si>
    <t>Deferred corporate income tax benefit</t>
  </si>
  <si>
    <t>Lợi nhuận thuần sau thuế TNDN (60 = 50 - 51 - 52)</t>
  </si>
  <si>
    <t>Net profit after corporate income tax (60 = 50 - 51 - 52)</t>
  </si>
  <si>
    <t>2022 (VND)</t>
  </si>
  <si>
    <t>2023 (VND)</t>
  </si>
  <si>
    <t>2024 (VND)</t>
  </si>
  <si>
    <t>LƯU CHUYỂN TIỀN TỪ HOẠT ĐỘNG KINH DOANH</t>
  </si>
  <si>
    <t>CASH FLOWS FROM OPERATING ACTIVITIES</t>
  </si>
  <si>
    <t>Lợi nhuận kế toán trước thuế</t>
  </si>
  <si>
    <t>Profit before Tax</t>
  </si>
  <si>
    <t>Khấu hao tài sản cố định</t>
  </si>
  <si>
    <t>Depreciation of Fixed Assets</t>
  </si>
  <si>
    <t>Các khoản hoàn nhập dự phòng</t>
  </si>
  <si>
    <t>Reversal of Provisions</t>
  </si>
  <si>
    <t>Lỗ/(lãi) chênh lệch tỷ giá hối đoái</t>
  </si>
  <si>
    <t>Foreign Exchange Loss/(Gain)</t>
  </si>
  <si>
    <t>Lãi từ hoạt động đầu tư</t>
  </si>
  <si>
    <t>Investment Income</t>
  </si>
  <si>
    <t>Chi phí lãi vay</t>
  </si>
  <si>
    <t>Interest Expense</t>
  </si>
  <si>
    <t>Lợi nhuận từ HĐKD trước thay đổi vốn lưu động</t>
  </si>
  <si>
    <t>Operating Profit before Changes in Working Capital</t>
  </si>
  <si>
    <t>(Tăng)/giảm các khoản phải thu</t>
  </si>
  <si>
    <t>(Increase)/Decrease in Receivables</t>
  </si>
  <si>
    <t>Tăng hàng tồn kho</t>
  </si>
  <si>
    <t>Increase in Inventories</t>
  </si>
  <si>
    <t>Tăng các khoản phải trả</t>
  </si>
  <si>
    <t>Increase in Payables</t>
  </si>
  <si>
    <t>Giảm chi phí trả trước</t>
  </si>
  <si>
    <t>Decrease in Prepaid Expenses</t>
  </si>
  <si>
    <t>Tiền lãi vay đã trả</t>
  </si>
  <si>
    <t>Interest Paid</t>
  </si>
  <si>
    <t>Thuế TNDN đã nộp</t>
  </si>
  <si>
    <t>Corporate Income Tax Paid</t>
  </si>
  <si>
    <t>–</t>
  </si>
  <si>
    <t>Tiền chi khác từ hoạt động kinh doanh</t>
  </si>
  <si>
    <t>Other Cash Payments for Operating Activities</t>
  </si>
  <si>
    <t>Lưu chuyển tiền thuần từ HĐKD</t>
  </si>
  <si>
    <t>Net Cash Flows from Operating Activities</t>
  </si>
  <si>
    <t>LƯU CHUYỂN TIỀN TỪ HOẠT ĐỘNG ĐẦU TƯ</t>
  </si>
  <si>
    <t>CASH FLOWS FROM INVESTING ACTIVITIES</t>
  </si>
  <si>
    <t>Tiền chi mua sắm TSCĐ và tài sản dài hạn</t>
  </si>
  <si>
    <t>Payments for Acquisition of Fixed Assets and Long-term Assets</t>
  </si>
  <si>
    <t>Tiền thu từ thanh lý TSCĐ</t>
  </si>
  <si>
    <t>Proceeds from Disposal of Fixed Assets</t>
  </si>
  <si>
    <t>Tiền chi cho vay và tiền gửi ngân hàng &gt;3 tháng</t>
  </si>
  <si>
    <t>Payments for Loans Granted and Bank Deposits over 3 Months</t>
  </si>
  <si>
    <t>Tiền thu hồi cho vay và tiền gửi &gt;3 tháng</t>
  </si>
  <si>
    <t>Collections from Loans Granted and Bank Deposits over 3 Months</t>
  </si>
  <si>
    <t>Tiền chi đầu tư vào công ty con</t>
  </si>
  <si>
    <t>Payments for Investments in Subsidiaries</t>
  </si>
  <si>
    <t>Tiền thu lãi tiền gửi, cổ tức</t>
  </si>
  <si>
    <t>Interest and Dividend Received</t>
  </si>
  <si>
    <t>Lưu chuyển tiền thuần từ HĐĐT</t>
  </si>
  <si>
    <t>Net Cash Flows from Investing Activities</t>
  </si>
  <si>
    <t>LƯU CHUYỂN TIỀN TỪ HOẠT ĐỘNG TÀI CHÍNH</t>
  </si>
  <si>
    <t>CASH FLOWS FROM FINANCING ACTIVITIES</t>
  </si>
  <si>
    <t>Tiền thu từ phát hành cổ phiếu</t>
  </si>
  <si>
    <t>Proceeds from Issuance of Shares</t>
  </si>
  <si>
    <t>Tiền thu từ đi vay</t>
  </si>
  <si>
    <t>Proceeds from Borrowings</t>
  </si>
  <si>
    <t>Tiền chi trả nợ gốc vay</t>
  </si>
  <si>
    <t>Repayment of Borrowings/Annual principal payment obligation</t>
  </si>
  <si>
    <t>Tiền chi trả cổ tức</t>
  </si>
  <si>
    <t>Dividend Payments</t>
  </si>
  <si>
    <t>Lưu chuyển tiền thuần từ HĐTC</t>
  </si>
  <si>
    <t>Net Cash Flows from Financing Activities</t>
  </si>
  <si>
    <t>Lưu chuyển tiền thuần trong năm</t>
  </si>
  <si>
    <t>Net Increase/(Decrease) in Cash and Cash Equivalents</t>
  </si>
  <si>
    <t>Tiền và tương đương tiền đầu năm</t>
  </si>
  <si>
    <t>Cash and Cash Equivalents at the Beginning of the Year</t>
  </si>
  <si>
    <t>Ảnh hưởng thay đổi tỷ giá</t>
  </si>
  <si>
    <t>Effect of Exchange Rate Changes</t>
  </si>
  <si>
    <t>Tiền và tương đương tiền cuối năm</t>
  </si>
  <si>
    <t>Cash and Cash Equivalents at the End of the Year</t>
  </si>
  <si>
    <t>Total asset trend</t>
  </si>
  <si>
    <t>Year</t>
  </si>
  <si>
    <t>Total Assets (trillion VND)</t>
  </si>
  <si>
    <t>Asset growth (%)</t>
  </si>
  <si>
    <t>Total Liabilities and Equity (trillion VND)</t>
  </si>
  <si>
    <t>Structure of Total assets</t>
  </si>
  <si>
    <t>CA(%)</t>
  </si>
  <si>
    <t>NCA(%)</t>
  </si>
  <si>
    <t>CA structure</t>
  </si>
  <si>
    <t>Short-term Receivables</t>
  </si>
  <si>
    <t>Accounts Receivable</t>
  </si>
  <si>
    <t xml:space="preserve"> - </t>
  </si>
  <si>
    <t>NCA structure</t>
  </si>
  <si>
    <t>Balance sheet capital</t>
  </si>
  <si>
    <t>Debt ratio</t>
  </si>
  <si>
    <t>Equity ratio</t>
  </si>
  <si>
    <t>Total Debt (trillion VND)</t>
  </si>
  <si>
    <t>Debt growth</t>
  </si>
  <si>
    <t>Total Equity (trillion VND)</t>
  </si>
  <si>
    <t>D/E ratio</t>
  </si>
  <si>
    <t>Taxes and Other Payables to the State</t>
  </si>
  <si>
    <t>ST Debt (trillion VND)</t>
  </si>
  <si>
    <t>LT Debt (trillion VND)</t>
  </si>
  <si>
    <t>Income statement</t>
  </si>
  <si>
    <t>Revenue (trillion VND)</t>
  </si>
  <si>
    <t>Revenue growth(%)</t>
  </si>
  <si>
    <t>Net profit (trillion VND)</t>
  </si>
  <si>
    <t>Profit growth (%)</t>
  </si>
  <si>
    <t>Administrative Expense %</t>
  </si>
  <si>
    <t>Selling Expense %</t>
  </si>
  <si>
    <t>Financial Expenses %</t>
  </si>
  <si>
    <t>COGS %</t>
  </si>
  <si>
    <t>Gross Margin %</t>
  </si>
  <si>
    <t>Thuyết minh số 27(b) BCTC HSG 2022</t>
  </si>
  <si>
    <t>Thuyết minh số 4(b) BCTC HSG 2023</t>
  </si>
  <si>
    <t>Thuyết minh số 34(b) BCTC HSG 2024</t>
  </si>
  <si>
    <t>Items</t>
  </si>
  <si>
    <t>Geographic Segment</t>
  </si>
  <si>
    <t>Net Revenue</t>
  </si>
  <si>
    <t>International</t>
  </si>
  <si>
    <t>Domestic</t>
  </si>
  <si>
    <t>Total</t>
  </si>
  <si>
    <t>Cashflow statement</t>
  </si>
  <si>
    <t>trillion VND</t>
  </si>
  <si>
    <t> </t>
  </si>
  <si>
    <t>Repayment of Borrowings</t>
  </si>
  <si>
    <t>1. Fund mobilization parttcipants</t>
  </si>
  <si>
    <t>1.1. Creditors</t>
  </si>
  <si>
    <t>1.2. Suppliers</t>
  </si>
  <si>
    <t>1.3. Government / Tax Authorities</t>
  </si>
  <si>
    <t>1.4. Key owners</t>
  </si>
  <si>
    <t>1.5. Share holders</t>
  </si>
  <si>
    <t>4. Cost of capital</t>
  </si>
  <si>
    <t>Banks</t>
  </si>
  <si>
    <t>Company</t>
  </si>
  <si>
    <t>% of Equity</t>
  </si>
  <si>
    <t>Vietcombank</t>
  </si>
  <si>
    <t>Accounts payable</t>
  </si>
  <si>
    <t>Mr. Le Phuoc Vu</t>
  </si>
  <si>
    <t>17,02%</t>
  </si>
  <si>
    <t>Share dividends (shares)</t>
  </si>
  <si>
    <t>Vietinbank</t>
  </si>
  <si>
    <t>Other stakeholders</t>
  </si>
  <si>
    <t>82,98%</t>
  </si>
  <si>
    <t>ESOP</t>
  </si>
  <si>
    <t>FUNDING</t>
  </si>
  <si>
    <t>OPERATION RESULTS OF INVESTMENT</t>
  </si>
  <si>
    <t>BIDV</t>
  </si>
  <si>
    <t>Notes of FSs</t>
  </si>
  <si>
    <t>21b</t>
  </si>
  <si>
    <t>24(i), (ii)</t>
  </si>
  <si>
    <t>24(i)</t>
  </si>
  <si>
    <t>37(a)</t>
  </si>
  <si>
    <t>Revenues + Incomes</t>
  </si>
  <si>
    <t>HSBC</t>
  </si>
  <si>
    <t>NỢ PHẢI TRẢ (300 = 310 + 330)</t>
  </si>
  <si>
    <t>30/9/2022 (VND)</t>
  </si>
  <si>
    <t>30/9/2023 (VND)</t>
  </si>
  <si>
    <t>30/9/2024 (VND)</t>
  </si>
  <si>
    <t>Kasikornbank</t>
  </si>
  <si>
    <t>Total Liabilities</t>
  </si>
  <si>
    <t>UOB</t>
  </si>
  <si>
    <t>Phải trả người bán</t>
  </si>
  <si>
    <t>total</t>
  </si>
  <si>
    <t>Người mua trả tiền trước</t>
  </si>
  <si>
    <t>%D = Liability / ( L+OE)</t>
  </si>
  <si>
    <t>2. Liabilities</t>
  </si>
  <si>
    <t>2.1. Short-term Liabilities</t>
  </si>
  <si>
    <t>2.1.2. Long-term Libabilities</t>
  </si>
  <si>
    <t>2.1.3. Creditor Composition</t>
  </si>
  <si>
    <t>Thuế phải nộp Nhà nước</t>
  </si>
  <si>
    <t>18(a)</t>
  </si>
  <si>
    <t xml:space="preserve">%OE = 100% - %D	</t>
  </si>
  <si>
    <t>Total Interest-free Capital</t>
  </si>
  <si>
    <t>%i</t>
  </si>
  <si>
    <t>Credit group</t>
  </si>
  <si>
    <t>%</t>
  </si>
  <si>
    <t>CIT=Tax paid/ NI before tax</t>
  </si>
  <si>
    <t>Bank</t>
  </si>
  <si>
    <t>Chi phí phải trả</t>
  </si>
  <si>
    <t>Rd=Interest paid/ averaged Liabilities</t>
  </si>
  <si>
    <t>Long-term Liabilities</t>
  </si>
  <si>
    <t>Supplier</t>
  </si>
  <si>
    <t>Other Short-term Payables</t>
  </si>
  <si>
    <t>Rf</t>
  </si>
  <si>
    <t>vietstock hsg</t>
  </si>
  <si>
    <t>Trong đó: Chi phí lãi vay</t>
  </si>
  <si>
    <t>Of which: Interest expenses</t>
  </si>
  <si>
    <t>Government</t>
  </si>
  <si>
    <t>Beta</t>
  </si>
  <si>
    <t>i%</t>
  </si>
  <si>
    <t>Risk premium</t>
  </si>
  <si>
    <t>Re=Rf+Beta*Risk pre</t>
  </si>
  <si>
    <t>2022 (%)</t>
  </si>
  <si>
    <t>2023 (%)</t>
  </si>
  <si>
    <t>2024 (%)</t>
  </si>
  <si>
    <t>(WACC)= %D*Rd*(1-CIT) + %OE* Re</t>
  </si>
  <si>
    <t>Total interest-free capital</t>
  </si>
  <si>
    <t>Win Faith Trading Limited</t>
  </si>
  <si>
    <t>HSG Bình Định</t>
  </si>
  <si>
    <t>HSG Nhơn Hội</t>
  </si>
  <si>
    <t>ST borrowings</t>
  </si>
  <si>
    <t>HSG Hà Nam</t>
  </si>
  <si>
    <t>VỐN CHỦ SỞ HỮU (400 = 410)</t>
  </si>
  <si>
    <t>Total Equity (400 = 410)</t>
  </si>
  <si>
    <t>Gang Thép Hưng Nghiệp Formosa Hà Tĩnh</t>
  </si>
  <si>
    <t>ST Loans (i%)</t>
  </si>
  <si>
    <t>Thép Kim Quốc</t>
  </si>
  <si>
    <t>Thép Hòa Phát Dung Quất</t>
  </si>
  <si>
    <t>Vốn cổ phần</t>
  </si>
  <si>
    <t>Share Capital</t>
  </si>
  <si>
    <t>Tổng</t>
  </si>
  <si>
    <t>- Cổ phiếu phổ thông có quyền biểu quyết</t>
  </si>
  <si>
    <t>Common Shares with Voting Rights</t>
  </si>
  <si>
    <t>Costs</t>
  </si>
  <si>
    <t>Khác</t>
  </si>
  <si>
    <t>17(a)</t>
  </si>
  <si>
    <t>- LNST chưa phân phối đến cuối năm trước</t>
  </si>
  <si>
    <t>Retained Earnings at the End of Previous Year</t>
  </si>
  <si>
    <t>- LNST chưa phân phối năm nay</t>
  </si>
  <si>
    <t>Retained Earnings of the Current Year</t>
  </si>
  <si>
    <t>2.2. Owner's Equity</t>
  </si>
  <si>
    <t>2.3. Cost of Liabilities Financing</t>
  </si>
  <si>
    <t>Total Equity</t>
  </si>
  <si>
    <t>Interest expenses</t>
  </si>
  <si>
    <t>Owner's Equity</t>
  </si>
  <si>
    <t>EBIT</t>
  </si>
  <si>
    <t>ICR</t>
  </si>
  <si>
    <t>RE Ratio</t>
  </si>
  <si>
    <t>Profit</t>
  </si>
  <si>
    <t>=ebit/interest</t>
  </si>
  <si>
    <t>3. Matching of fund structure</t>
  </si>
  <si>
    <t>3.1. Financial Implications</t>
  </si>
  <si>
    <t>3.2. Working capital Analysis</t>
  </si>
  <si>
    <t>Non-current assets</t>
  </si>
  <si>
    <t>WC</t>
  </si>
  <si>
    <t>Long-term funding</t>
  </si>
  <si>
    <t xml:space="preserve">part 4 -&gt; </t>
  </si>
  <si>
    <t>5. Long-term Liabilities</t>
  </si>
  <si>
    <t>5.1. Long-term Liabilities</t>
  </si>
  <si>
    <t>5.1.1. ROC – Trend analysis</t>
  </si>
  <si>
    <t>5.2. Owner's  Equity</t>
  </si>
  <si>
    <t>5.2.1. Tỷ suất sinh lời trên vốn chủ sở hữu (ROE) – Phân tích xu hướng</t>
  </si>
  <si>
    <t>HSG(2024)</t>
  </si>
  <si>
    <t>HPG(2024)</t>
  </si>
  <si>
    <t>NKG (2024)</t>
  </si>
  <si>
    <t>Net Income</t>
  </si>
  <si>
    <t>Total profit before tax</t>
  </si>
  <si>
    <t>Average Equity</t>
  </si>
  <si>
    <t>ROE</t>
  </si>
  <si>
    <t>ROE= NI/ averaged OE</t>
  </si>
  <si>
    <t>resources</t>
  </si>
  <si>
    <t>FSs of HPG</t>
  </si>
  <si>
    <t>FSs of NKG</t>
  </si>
  <si>
    <t>Balance sheet of FS 2022</t>
  </si>
  <si>
    <t>Capital</t>
  </si>
  <si>
    <t>Average Capital</t>
  </si>
  <si>
    <t>ROC = EBIT/ Averaged Capital</t>
  </si>
  <si>
    <t>6. Risk of Financing</t>
  </si>
  <si>
    <t>6.1. (Daily Level) Liquidity Risk</t>
  </si>
  <si>
    <t>6.2. (Annual obligations) Debt obligations' fulfilling</t>
  </si>
  <si>
    <t>6.3. Default risk  ~ Bankruptcy</t>
  </si>
  <si>
    <t>WC = Current asset - Current liabilities</t>
  </si>
  <si>
    <t>Working Capital</t>
  </si>
  <si>
    <t>Market cap = market capitalization = No of outstanding stock * market price</t>
  </si>
  <si>
    <t>Sales = Operation revenue + financial income + Other income</t>
  </si>
  <si>
    <t>Current liquidity ratio = Current assets/ Current liability</t>
  </si>
  <si>
    <t>Interest Coverage Ratio (ICR) =EBIT/ interest paid</t>
  </si>
  <si>
    <t>Quick liquidity ratio</t>
  </si>
  <si>
    <t>Market Cap </t>
  </si>
  <si>
    <t>Closing Price</t>
  </si>
  <si>
    <t>Notes of FSs: 25</t>
  </si>
  <si>
    <t>acid liquidity ratio = cash and equivalents / current liability</t>
  </si>
  <si>
    <t>Number of Outstanding Shares</t>
  </si>
  <si>
    <t>Sales</t>
  </si>
  <si>
    <t>Annual principal payment obligation</t>
  </si>
  <si>
    <t>Altman Z score</t>
  </si>
  <si>
    <t>Cash flow repayment capacity</t>
  </si>
  <si>
    <t>Bond Interest</t>
  </si>
  <si>
    <t>resource: Vietstock</t>
  </si>
  <si>
    <t>Interest Coverage Ratio</t>
  </si>
  <si>
    <t>Credit Rating</t>
  </si>
  <si>
    <t>CCC</t>
  </si>
  <si>
    <t>B+</t>
  </si>
  <si>
    <t>BBB</t>
  </si>
  <si>
    <t>Default Spread</t>
  </si>
  <si>
    <t>Reasonable Cost of Debt</t>
  </si>
  <si>
    <t>Real Cost of Debt</t>
  </si>
  <si>
    <t>I. Investment Strategy &amp; Portfolio</t>
  </si>
  <si>
    <t>1. Operation Investment Portfolio</t>
  </si>
  <si>
    <t>Under-operation</t>
  </si>
  <si>
    <t>Cash and Cash equivalents</t>
  </si>
  <si>
    <t>Accounts Receivables</t>
  </si>
  <si>
    <t>In which: from customer</t>
  </si>
  <si>
    <t>Long-term Accounts Receivables</t>
  </si>
  <si>
    <t>Tangible Fixed Assets</t>
  </si>
  <si>
    <t>Tangible Fixed Assets - Historical Cost</t>
  </si>
  <si>
    <t>Tangible Fixed Assets - Accumulated Depreciation</t>
  </si>
  <si>
    <t>Intangible Fixed assets</t>
  </si>
  <si>
    <t>Intangible Fixed Assets - Historical Cost</t>
  </si>
  <si>
    <t>Intangible Fixed Assets - Accumulated Amortization</t>
  </si>
  <si>
    <t>Under-construction</t>
  </si>
  <si>
    <t>Long-term Construction in Progress</t>
  </si>
  <si>
    <t>Out of operation / Others</t>
  </si>
  <si>
    <t>Other short-term Assets</t>
  </si>
  <si>
    <t>Other long-term Assets</t>
  </si>
  <si>
    <t>Deferred Income Tax Assets</t>
  </si>
  <si>
    <t>2. Financial Investments Portfolio</t>
  </si>
  <si>
    <t>Investment in Subsidiaries</t>
  </si>
  <si>
    <t>II. Investment Efficiency Performance</t>
  </si>
  <si>
    <t>1. Overall Assessment</t>
  </si>
  <si>
    <t>Current Asset (Book Value)</t>
  </si>
  <si>
    <t>Non-current Asset (Book Value)</t>
  </si>
  <si>
    <t>Total Asset (Book Value)</t>
  </si>
  <si>
    <t>Avg. of Total Asset (Book Value)</t>
  </si>
  <si>
    <t>ROA</t>
  </si>
  <si>
    <t>Total Revenue</t>
  </si>
  <si>
    <t>Total Asset Efficiency</t>
  </si>
  <si>
    <t>2. Operation Assets</t>
  </si>
  <si>
    <t>Short-term Assets' turnover</t>
  </si>
  <si>
    <t>Cost of Goods Sold</t>
  </si>
  <si>
    <t>Operating Revenue</t>
  </si>
  <si>
    <t>Avg. Inventory</t>
  </si>
  <si>
    <t>Avg. Accounts Receivable</t>
  </si>
  <si>
    <t>Inventory Turnover (times)</t>
  </si>
  <si>
    <t>Inventory Turnover Period (days)</t>
  </si>
  <si>
    <t>AR Turnover (times)</t>
  </si>
  <si>
    <t>AR Collection Period (day)</t>
  </si>
  <si>
    <t xml:space="preserve"> Long-Term Operating Assets Efficiency</t>
  </si>
  <si>
    <t>Avg. Fixed Asset</t>
  </si>
  <si>
    <t>Averaged under-operation Fixed Asset</t>
  </si>
  <si>
    <t>Avg. under-operation Fixed Asset</t>
  </si>
  <si>
    <t>Fixed Asset Turnover (ORevenue / Avg Fixed Assets)</t>
  </si>
  <si>
    <t>Fixed Asset Turnover (ORevenue / Avg under-operation Fixed Assets)</t>
  </si>
  <si>
    <t>3. Financial Assets</t>
  </si>
  <si>
    <t>Financial Revenue</t>
  </si>
  <si>
    <t>Financial Assets</t>
  </si>
  <si>
    <t>Average Financial Assets</t>
  </si>
  <si>
    <t>Financial assets' return</t>
  </si>
  <si>
    <t>5.1.1. Profit Recovery and Retained Earnings Growth</t>
  </si>
  <si>
    <t>Income Statement</t>
  </si>
  <si>
    <t>5.1.2. Retention and Sustainable Growth</t>
  </si>
  <si>
    <t>Cash dividend per share</t>
  </si>
  <si>
    <t>(Source: HSG Annual Reports)</t>
  </si>
  <si>
    <t>Shares Outstanding</t>
  </si>
  <si>
    <t>Dividend Payment</t>
  </si>
  <si>
    <t>Payout Ratio</t>
  </si>
  <si>
    <t>Retention Ratio</t>
  </si>
  <si>
    <t>—</t>
  </si>
  <si>
    <t>Owner's Equity 
(Balance Sheet)</t>
  </si>
  <si>
    <t>g-equity</t>
  </si>
  <si>
    <t>5.2. Dividend Policy Evolution</t>
  </si>
  <si>
    <t>Dividend Type</t>
  </si>
  <si>
    <t>Rate</t>
  </si>
  <si>
    <t>FY 2021-22</t>
  </si>
  <si>
    <t>Share</t>
  </si>
  <si>
    <t>FY 2022-23</t>
  </si>
  <si>
    <t>FY 2023-24</t>
  </si>
  <si>
    <t>1-0</t>
  </si>
  <si>
    <t>NI</t>
  </si>
  <si>
    <t>24/23</t>
  </si>
  <si>
    <t>ROA1</t>
  </si>
  <si>
    <t>+</t>
  </si>
  <si>
    <t>Contribution (%)</t>
  </si>
  <si>
    <t>Total assets</t>
  </si>
  <si>
    <t>Impact factor 1</t>
  </si>
  <si>
    <t>NI/SALE</t>
  </si>
  <si>
    <t>Employee Cost / Revenue</t>
  </si>
  <si>
    <t>LT capital</t>
  </si>
  <si>
    <t>ROCE</t>
  </si>
  <si>
    <t>Impact factor 2</t>
  </si>
  <si>
    <t>Sale/ Ave Operating assets</t>
  </si>
  <si>
    <t>Revenue / Employee </t>
  </si>
  <si>
    <t>Sale (Operation revenue)</t>
  </si>
  <si>
    <t>Impact factor 3</t>
  </si>
  <si>
    <t>Ave Operating assets/Ave Total assets</t>
  </si>
  <si>
    <t>Operating assets</t>
  </si>
  <si>
    <t>Ave Operating assets/Ave Total assets:</t>
  </si>
  <si>
    <t>ROA2</t>
  </si>
  <si>
    <t>Financial assets</t>
  </si>
  <si>
    <t>NI/Financial income</t>
  </si>
  <si>
    <t>LT assets</t>
  </si>
  <si>
    <t>Financial income/ Ave financial assets</t>
  </si>
  <si>
    <t>OE</t>
  </si>
  <si>
    <t>Ave Financial assets/Ave Total assets</t>
  </si>
  <si>
    <t>Employee Cost</t>
  </si>
  <si>
    <t>Notes of FSs mục 32 hoặc 33 (tùy năm)</t>
  </si>
  <si>
    <t>Sale/ Ave Long term assets</t>
  </si>
  <si>
    <t>Number of Employees</t>
  </si>
  <si>
    <t>Notes of FSs mục 1</t>
  </si>
  <si>
    <t>Ave Longterm assets/ Ave Long term Capital employed</t>
  </si>
  <si>
    <t>Hoa Phat Group</t>
  </si>
  <si>
    <t>Fiscal Year</t>
  </si>
  <si>
    <t>FY 2024</t>
  </si>
  <si>
    <t>FY 2023</t>
  </si>
  <si>
    <t>FY 2022</t>
  </si>
  <si>
    <t>Return on Equity (ROE)</t>
  </si>
  <si>
    <t>Return on Assets (ROA)</t>
  </si>
  <si>
    <t>Return on Capital Employed (ROCE)</t>
  </si>
  <si>
    <t>SALE/AVE TOTAL ASSET</t>
  </si>
  <si>
    <t>Nam Kim</t>
  </si>
  <si>
    <t>AVE TOTAL CAPITAL/ AVE OE</t>
  </si>
  <si>
    <t>Sale/Ave Total assets</t>
  </si>
  <si>
    <t>Ave Total Captital/Ave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</si>
</sst>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00"/>
    <numFmt numFmtId="167" formatCode="0.00000"/>
    <numFmt numFmtId="168" formatCode="#,##0.000000"/>
    <numFmt numFmtId="169" formatCode="#,##0.0"/>
    <numFmt numFmtId="170" formatCode="_-* #,##0.00000_-;\-* #,##0.00000_-;_-* &quot;-&quot;??_-;_-@_-"/>
    <numFmt numFmtId="171" formatCode="0.0000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0"/>
      <color theme="1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b/>
      <sz val="11"/>
      <color rgb="FF000000"/>
      <name val="Times New Roman"/>
      <family val="1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</font>
    <font>
      <b/>
      <sz val="11"/>
      <color rgb="FF000000"/>
      <name val="Arial"/>
      <family val="2"/>
    </font>
    <font>
      <sz val="11"/>
      <color rgb="FF747474"/>
      <name val="Arial"/>
      <family val="2"/>
    </font>
    <font>
      <sz val="11"/>
      <color rgb="FF000000"/>
      <name val="Arial"/>
      <family val="2"/>
    </font>
    <font>
      <sz val="11"/>
      <color rgb="FF000000"/>
      <name val="Aptos Narrow"/>
      <family val="2"/>
    </font>
    <font>
      <i/>
      <sz val="11"/>
      <color rgb="FF000000"/>
      <name val="Aptos Narrow"/>
      <family val="2"/>
    </font>
    <font>
      <sz val="11"/>
      <name val="Aptos Narrow"/>
      <family val="2"/>
      <scheme val="minor"/>
    </font>
    <font>
      <sz val="45"/>
      <color theme="1"/>
      <name val="Aptos Narrow"/>
      <family val="2"/>
      <scheme val="minor"/>
    </font>
    <font>
      <sz val="11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DAE9F8"/>
        <bgColor rgb="FF000000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indexed="64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0">
    <xf numFmtId="0" fontId="0" fillId="0" borderId="0" xfId="0"/>
    <xf numFmtId="2" fontId="0" fillId="0" borderId="0" xfId="0" applyNumberFormat="1"/>
    <xf numFmtId="0" fontId="2" fillId="0" borderId="0" xfId="0" applyFont="1"/>
    <xf numFmtId="165" fontId="0" fillId="0" borderId="0" xfId="1" applyNumberFormat="1" applyFont="1"/>
    <xf numFmtId="2" fontId="2" fillId="0" borderId="0" xfId="0" applyNumberFormat="1" applyFont="1"/>
    <xf numFmtId="165" fontId="2" fillId="0" borderId="0" xfId="1" applyNumberFormat="1" applyFont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165" fontId="3" fillId="0" borderId="0" xfId="1" applyNumberFormat="1" applyFont="1"/>
    <xf numFmtId="0" fontId="2" fillId="2" borderId="0" xfId="0" applyFont="1" applyFill="1"/>
    <xf numFmtId="165" fontId="2" fillId="2" borderId="0" xfId="1" applyNumberFormat="1" applyFont="1" applyFill="1"/>
    <xf numFmtId="165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/>
    <xf numFmtId="1" fontId="4" fillId="0" borderId="0" xfId="0" applyNumberFormat="1" applyFont="1"/>
    <xf numFmtId="1" fontId="4" fillId="3" borderId="0" xfId="0" applyNumberFormat="1" applyFont="1" applyFill="1"/>
    <xf numFmtId="1" fontId="5" fillId="0" borderId="0" xfId="0" applyNumberFormat="1" applyFont="1"/>
    <xf numFmtId="9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4" fontId="0" fillId="0" borderId="0" xfId="1" applyNumberFormat="1" applyFont="1" applyBorder="1" applyAlignment="1">
      <alignment horizontal="center"/>
    </xf>
    <xf numFmtId="9" fontId="0" fillId="0" borderId="0" xfId="1" applyNumberFormat="1" applyFont="1" applyBorder="1" applyAlignment="1">
      <alignment horizontal="center"/>
    </xf>
    <xf numFmtId="2" fontId="0" fillId="0" borderId="6" xfId="0" applyNumberFormat="1" applyBorder="1"/>
    <xf numFmtId="0" fontId="0" fillId="0" borderId="7" xfId="0" applyBorder="1" applyAlignment="1">
      <alignment horizontal="center"/>
    </xf>
    <xf numFmtId="4" fontId="0" fillId="0" borderId="8" xfId="1" applyNumberFormat="1" applyFont="1" applyBorder="1" applyAlignment="1">
      <alignment horizontal="center"/>
    </xf>
    <xf numFmtId="9" fontId="0" fillId="0" borderId="8" xfId="1" applyNumberFormat="1" applyFont="1" applyBorder="1" applyAlignment="1">
      <alignment horizontal="center"/>
    </xf>
    <xf numFmtId="2" fontId="0" fillId="0" borderId="9" xfId="0" applyNumberFormat="1" applyBorder="1"/>
    <xf numFmtId="9" fontId="0" fillId="0" borderId="6" xfId="0" applyNumberFormat="1" applyBorder="1"/>
    <xf numFmtId="9" fontId="0" fillId="0" borderId="8" xfId="0" applyNumberFormat="1" applyBorder="1" applyAlignment="1">
      <alignment horizontal="center"/>
    </xf>
    <xf numFmtId="9" fontId="0" fillId="0" borderId="9" xfId="0" applyNumberFormat="1" applyBorder="1"/>
    <xf numFmtId="0" fontId="0" fillId="0" borderId="5" xfId="0" applyBorder="1"/>
    <xf numFmtId="1" fontId="4" fillId="0" borderId="6" xfId="0" applyNumberFormat="1" applyFont="1" applyBorder="1"/>
    <xf numFmtId="2" fontId="4" fillId="3" borderId="5" xfId="0" applyNumberFormat="1" applyFont="1" applyFill="1" applyBorder="1"/>
    <xf numFmtId="1" fontId="4" fillId="3" borderId="6" xfId="0" applyNumberFormat="1" applyFont="1" applyFill="1" applyBorder="1"/>
    <xf numFmtId="2" fontId="5" fillId="0" borderId="5" xfId="0" applyNumberFormat="1" applyFont="1" applyBorder="1"/>
    <xf numFmtId="1" fontId="5" fillId="0" borderId="6" xfId="0" applyNumberFormat="1" applyFont="1" applyBorder="1"/>
    <xf numFmtId="0" fontId="4" fillId="3" borderId="5" xfId="0" applyFont="1" applyFill="1" applyBorder="1"/>
    <xf numFmtId="0" fontId="5" fillId="0" borderId="5" xfId="0" applyFont="1" applyBorder="1"/>
    <xf numFmtId="0" fontId="5" fillId="0" borderId="7" xfId="0" applyFont="1" applyBorder="1"/>
    <xf numFmtId="1" fontId="5" fillId="0" borderId="8" xfId="0" applyNumberFormat="1" applyFont="1" applyBorder="1"/>
    <xf numFmtId="1" fontId="5" fillId="0" borderId="9" xfId="0" applyNumberFormat="1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9" fontId="4" fillId="0" borderId="5" xfId="0" applyNumberFormat="1" applyFont="1" applyBorder="1"/>
    <xf numFmtId="9" fontId="0" fillId="0" borderId="0" xfId="0" applyNumberFormat="1"/>
    <xf numFmtId="9" fontId="5" fillId="0" borderId="5" xfId="0" applyNumberFormat="1" applyFont="1" applyBorder="1"/>
    <xf numFmtId="9" fontId="5" fillId="0" borderId="7" xfId="0" applyNumberFormat="1" applyFont="1" applyBorder="1"/>
    <xf numFmtId="9" fontId="0" fillId="0" borderId="8" xfId="0" applyNumberFormat="1" applyBorder="1"/>
    <xf numFmtId="0" fontId="6" fillId="0" borderId="0" xfId="0" applyFont="1"/>
    <xf numFmtId="0" fontId="0" fillId="0" borderId="0" xfId="0" applyAlignment="1">
      <alignment wrapText="1"/>
    </xf>
    <xf numFmtId="0" fontId="0" fillId="0" borderId="6" xfId="0" applyBorder="1" applyAlignment="1">
      <alignment horizontal="center"/>
    </xf>
    <xf numFmtId="0" fontId="2" fillId="0" borderId="5" xfId="0" applyFont="1" applyBorder="1"/>
    <xf numFmtId="1" fontId="2" fillId="0" borderId="0" xfId="1" applyNumberFormat="1" applyFont="1" applyBorder="1"/>
    <xf numFmtId="9" fontId="2" fillId="0" borderId="0" xfId="1" applyNumberFormat="1" applyFont="1" applyBorder="1"/>
    <xf numFmtId="1" fontId="0" fillId="0" borderId="0" xfId="1" applyNumberFormat="1" applyFont="1" applyBorder="1"/>
    <xf numFmtId="1" fontId="0" fillId="0" borderId="8" xfId="1" applyNumberFormat="1" applyFont="1" applyBorder="1"/>
    <xf numFmtId="1" fontId="2" fillId="4" borderId="0" xfId="1" applyNumberFormat="1" applyFont="1" applyFill="1" applyBorder="1"/>
    <xf numFmtId="0" fontId="2" fillId="4" borderId="5" xfId="0" applyFont="1" applyFill="1" applyBorder="1"/>
    <xf numFmtId="49" fontId="0" fillId="0" borderId="0" xfId="1" applyNumberFormat="1" applyFont="1"/>
    <xf numFmtId="49" fontId="0" fillId="0" borderId="0" xfId="1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0" applyFont="1" applyAlignment="1">
      <alignment wrapText="1"/>
    </xf>
    <xf numFmtId="0" fontId="0" fillId="0" borderId="10" xfId="0" applyBorder="1"/>
    <xf numFmtId="0" fontId="8" fillId="0" borderId="10" xfId="0" applyFont="1" applyBorder="1" applyAlignment="1">
      <alignment wrapText="1" readingOrder="1"/>
    </xf>
    <xf numFmtId="0" fontId="4" fillId="6" borderId="5" xfId="0" applyFont="1" applyFill="1" applyBorder="1"/>
    <xf numFmtId="1" fontId="4" fillId="6" borderId="0" xfId="0" applyNumberFormat="1" applyFont="1" applyFill="1"/>
    <xf numFmtId="1" fontId="4" fillId="6" borderId="6" xfId="0" applyNumberFormat="1" applyFont="1" applyFill="1" applyBorder="1"/>
    <xf numFmtId="1" fontId="9" fillId="0" borderId="0" xfId="0" applyNumberFormat="1" applyFont="1"/>
    <xf numFmtId="1" fontId="9" fillId="0" borderId="6" xfId="0" applyNumberFormat="1" applyFont="1" applyBorder="1"/>
    <xf numFmtId="1" fontId="4" fillId="0" borderId="8" xfId="0" applyNumberFormat="1" applyFont="1" applyBorder="1"/>
    <xf numFmtId="1" fontId="4" fillId="0" borderId="9" xfId="0" applyNumberFormat="1" applyFont="1" applyBorder="1"/>
    <xf numFmtId="0" fontId="3" fillId="0" borderId="5" xfId="0" applyFont="1" applyBorder="1"/>
    <xf numFmtId="165" fontId="0" fillId="5" borderId="0" xfId="1" applyNumberFormat="1" applyFont="1" applyFill="1"/>
    <xf numFmtId="165" fontId="0" fillId="0" borderId="0" xfId="1" applyNumberFormat="1" applyFont="1" applyBorder="1"/>
    <xf numFmtId="0" fontId="0" fillId="0" borderId="3" xfId="1" applyNumberFormat="1" applyFont="1" applyBorder="1"/>
    <xf numFmtId="0" fontId="0" fillId="0" borderId="4" xfId="1" applyNumberFormat="1" applyFont="1" applyBorder="1"/>
    <xf numFmtId="165" fontId="0" fillId="0" borderId="6" xfId="1" applyNumberFormat="1" applyFont="1" applyBorder="1"/>
    <xf numFmtId="165" fontId="0" fillId="0" borderId="8" xfId="1" applyNumberFormat="1" applyFont="1" applyBorder="1"/>
    <xf numFmtId="1" fontId="0" fillId="0" borderId="6" xfId="1" applyNumberFormat="1" applyFont="1" applyBorder="1"/>
    <xf numFmtId="165" fontId="0" fillId="0" borderId="3" xfId="1" applyNumberFormat="1" applyFont="1" applyBorder="1"/>
    <xf numFmtId="165" fontId="0" fillId="0" borderId="9" xfId="1" applyNumberFormat="1" applyFont="1" applyBorder="1"/>
    <xf numFmtId="0" fontId="5" fillId="5" borderId="0" xfId="0" applyFont="1" applyFill="1"/>
    <xf numFmtId="43" fontId="0" fillId="0" borderId="0" xfId="1" applyFont="1" applyAlignment="1">
      <alignment wrapText="1"/>
    </xf>
    <xf numFmtId="9" fontId="0" fillId="0" borderId="0" xfId="2" applyFont="1" applyAlignment="1">
      <alignment wrapText="1"/>
    </xf>
    <xf numFmtId="9" fontId="2" fillId="0" borderId="0" xfId="2" applyFont="1" applyAlignment="1">
      <alignment wrapText="1"/>
    </xf>
    <xf numFmtId="14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2" applyNumberFormat="1" applyFont="1" applyBorder="1" applyAlignment="1">
      <alignment wrapText="1"/>
    </xf>
    <xf numFmtId="0" fontId="2" fillId="7" borderId="1" xfId="0" applyFont="1" applyFill="1" applyBorder="1" applyAlignment="1">
      <alignment horizontal="center" vertical="center" wrapText="1"/>
    </xf>
    <xf numFmtId="43" fontId="2" fillId="7" borderId="1" xfId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3" fontId="2" fillId="4" borderId="1" xfId="1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3" fontId="2" fillId="8" borderId="1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/>
    </xf>
    <xf numFmtId="0" fontId="0" fillId="0" borderId="5" xfId="0" applyBorder="1" applyAlignment="1">
      <alignment horizontal="center" wrapText="1"/>
    </xf>
    <xf numFmtId="2" fontId="0" fillId="0" borderId="6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10" fillId="9" borderId="0" xfId="0" applyFont="1" applyFill="1" applyAlignment="1">
      <alignment horizontal="center"/>
    </xf>
    <xf numFmtId="3" fontId="8" fillId="0" borderId="10" xfId="0" applyNumberFormat="1" applyFont="1" applyBorder="1" applyAlignment="1">
      <alignment wrapText="1" readingOrder="1"/>
    </xf>
    <xf numFmtId="3" fontId="8" fillId="0" borderId="10" xfId="1" applyNumberFormat="1" applyFont="1" applyBorder="1" applyAlignment="1">
      <alignment wrapText="1" readingOrder="1"/>
    </xf>
    <xf numFmtId="168" fontId="8" fillId="0" borderId="10" xfId="0" applyNumberFormat="1" applyFont="1" applyBorder="1" applyAlignment="1">
      <alignment wrapText="1" readingOrder="1"/>
    </xf>
    <xf numFmtId="168" fontId="0" fillId="0" borderId="0" xfId="0" applyNumberFormat="1"/>
    <xf numFmtId="0" fontId="5" fillId="0" borderId="10" xfId="0" applyFont="1" applyBorder="1" applyAlignment="1">
      <alignment wrapText="1"/>
    </xf>
    <xf numFmtId="10" fontId="5" fillId="0" borderId="10" xfId="0" applyNumberFormat="1" applyFont="1" applyBorder="1" applyAlignment="1">
      <alignment wrapText="1"/>
    </xf>
    <xf numFmtId="0" fontId="8" fillId="10" borderId="10" xfId="0" applyFont="1" applyFill="1" applyBorder="1" applyAlignment="1">
      <alignment wrapText="1" readingOrder="1"/>
    </xf>
    <xf numFmtId="168" fontId="8" fillId="10" borderId="10" xfId="0" applyNumberFormat="1" applyFont="1" applyFill="1" applyBorder="1" applyAlignment="1">
      <alignment wrapText="1" readingOrder="1"/>
    </xf>
    <xf numFmtId="0" fontId="8" fillId="0" borderId="10" xfId="0" quotePrefix="1" applyFont="1" applyBorder="1" applyAlignment="1">
      <alignment horizontal="center" wrapText="1" readingOrder="1"/>
    </xf>
    <xf numFmtId="1" fontId="2" fillId="0" borderId="6" xfId="1" applyNumberFormat="1" applyFont="1" applyBorder="1"/>
    <xf numFmtId="0" fontId="10" fillId="0" borderId="2" xfId="0" applyFont="1" applyBorder="1" applyAlignment="1">
      <alignment horizontal="center"/>
    </xf>
    <xf numFmtId="0" fontId="2" fillId="11" borderId="5" xfId="0" applyFont="1" applyFill="1" applyBorder="1"/>
    <xf numFmtId="0" fontId="2" fillId="11" borderId="0" xfId="0" applyFont="1" applyFill="1"/>
    <xf numFmtId="1" fontId="2" fillId="11" borderId="0" xfId="1" applyNumberFormat="1" applyFont="1" applyFill="1" applyBorder="1"/>
    <xf numFmtId="1" fontId="2" fillId="11" borderId="6" xfId="1" applyNumberFormat="1" applyFont="1" applyFill="1" applyBorder="1"/>
    <xf numFmtId="0" fontId="2" fillId="11" borderId="7" xfId="0" applyFont="1" applyFill="1" applyBorder="1"/>
    <xf numFmtId="0" fontId="2" fillId="11" borderId="8" xfId="0" applyFont="1" applyFill="1" applyBorder="1"/>
    <xf numFmtId="1" fontId="2" fillId="11" borderId="8" xfId="1" applyNumberFormat="1" applyFont="1" applyFill="1" applyBorder="1"/>
    <xf numFmtId="1" fontId="2" fillId="11" borderId="9" xfId="1" applyNumberFormat="1" applyFont="1" applyFill="1" applyBorder="1"/>
    <xf numFmtId="0" fontId="12" fillId="0" borderId="0" xfId="0" applyFont="1"/>
    <xf numFmtId="0" fontId="11" fillId="0" borderId="0" xfId="0" applyFont="1"/>
    <xf numFmtId="0" fontId="13" fillId="0" borderId="0" xfId="0" applyFont="1"/>
    <xf numFmtId="0" fontId="12" fillId="0" borderId="2" xfId="0" applyFont="1" applyBorder="1"/>
    <xf numFmtId="0" fontId="12" fillId="0" borderId="3" xfId="0" applyFont="1" applyBorder="1"/>
    <xf numFmtId="0" fontId="12" fillId="0" borderId="4" xfId="0" applyFont="1" applyBorder="1"/>
    <xf numFmtId="0" fontId="12" fillId="0" borderId="5" xfId="0" applyFont="1" applyBorder="1"/>
    <xf numFmtId="0" fontId="11" fillId="0" borderId="5" xfId="0" applyFont="1" applyBorder="1"/>
    <xf numFmtId="0" fontId="11" fillId="0" borderId="7" xfId="0" applyFont="1" applyBorder="1"/>
    <xf numFmtId="1" fontId="11" fillId="0" borderId="0" xfId="0" applyNumberFormat="1" applyFont="1"/>
    <xf numFmtId="1" fontId="12" fillId="0" borderId="0" xfId="0" applyNumberFormat="1" applyFont="1"/>
    <xf numFmtId="0" fontId="0" fillId="3" borderId="5" xfId="0" applyFill="1" applyBorder="1"/>
    <xf numFmtId="0" fontId="2" fillId="3" borderId="5" xfId="0" applyFont="1" applyFill="1" applyBorder="1"/>
    <xf numFmtId="0" fontId="0" fillId="3" borderId="0" xfId="0" applyFill="1"/>
    <xf numFmtId="1" fontId="0" fillId="3" borderId="0" xfId="1" applyNumberFormat="1" applyFont="1" applyFill="1" applyBorder="1"/>
    <xf numFmtId="1" fontId="0" fillId="3" borderId="6" xfId="1" applyNumberFormat="1" applyFont="1" applyFill="1" applyBorder="1"/>
    <xf numFmtId="0" fontId="2" fillId="3" borderId="0" xfId="0" applyFont="1" applyFill="1"/>
    <xf numFmtId="1" fontId="2" fillId="3" borderId="0" xfId="1" applyNumberFormat="1" applyFont="1" applyFill="1" applyBorder="1"/>
    <xf numFmtId="1" fontId="2" fillId="3" borderId="6" xfId="1" applyNumberFormat="1" applyFont="1" applyFill="1" applyBorder="1"/>
    <xf numFmtId="166" fontId="11" fillId="0" borderId="0" xfId="0" applyNumberFormat="1" applyFont="1"/>
    <xf numFmtId="166" fontId="11" fillId="0" borderId="6" xfId="0" applyNumberFormat="1" applyFont="1" applyBorder="1"/>
    <xf numFmtId="166" fontId="12" fillId="0" borderId="8" xfId="0" applyNumberFormat="1" applyFont="1" applyBorder="1"/>
    <xf numFmtId="166" fontId="12" fillId="0" borderId="9" xfId="0" applyNumberFormat="1" applyFont="1" applyBorder="1"/>
    <xf numFmtId="10" fontId="11" fillId="4" borderId="0" xfId="2" applyNumberFormat="1" applyFont="1" applyFill="1" applyBorder="1"/>
    <xf numFmtId="0" fontId="11" fillId="4" borderId="5" xfId="0" applyFont="1" applyFill="1" applyBorder="1"/>
    <xf numFmtId="10" fontId="11" fillId="4" borderId="6" xfId="2" applyNumberFormat="1" applyFont="1" applyFill="1" applyBorder="1"/>
    <xf numFmtId="0" fontId="12" fillId="0" borderId="7" xfId="0" applyFont="1" applyBorder="1"/>
    <xf numFmtId="0" fontId="0" fillId="7" borderId="1" xfId="0" applyFill="1" applyBorder="1" applyAlignment="1">
      <alignment horizontal="center" wrapText="1"/>
    </xf>
    <xf numFmtId="166" fontId="2" fillId="7" borderId="1" xfId="1" applyNumberFormat="1" applyFont="1" applyFill="1" applyBorder="1"/>
    <xf numFmtId="2" fontId="0" fillId="7" borderId="1" xfId="0" applyNumberFormat="1" applyFill="1" applyBorder="1" applyAlignment="1">
      <alignment horizontal="center"/>
    </xf>
    <xf numFmtId="10" fontId="0" fillId="7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66" fontId="0" fillId="3" borderId="1" xfId="1" applyNumberFormat="1" applyFont="1" applyFill="1" applyBorder="1" applyAlignment="1">
      <alignment horizontal="right"/>
    </xf>
    <xf numFmtId="10" fontId="0" fillId="3" borderId="1" xfId="2" applyNumberFormat="1" applyFont="1" applyFill="1" applyBorder="1" applyAlignment="1">
      <alignment horizontal="right"/>
    </xf>
    <xf numFmtId="166" fontId="12" fillId="0" borderId="0" xfId="0" applyNumberFormat="1" applyFont="1"/>
    <xf numFmtId="166" fontId="2" fillId="0" borderId="0" xfId="0" applyNumberFormat="1" applyFont="1"/>
    <xf numFmtId="0" fontId="5" fillId="0" borderId="0" xfId="0" applyFont="1" applyAlignment="1">
      <alignment wrapText="1"/>
    </xf>
    <xf numFmtId="0" fontId="14" fillId="0" borderId="10" xfId="0" applyFont="1" applyBorder="1" applyAlignment="1">
      <alignment wrapText="1" readingOrder="1"/>
    </xf>
    <xf numFmtId="0" fontId="7" fillId="0" borderId="10" xfId="0" applyFont="1" applyBorder="1" applyAlignment="1">
      <alignment wrapText="1" readingOrder="1"/>
    </xf>
    <xf numFmtId="0" fontId="2" fillId="0" borderId="1" xfId="0" applyFont="1" applyBorder="1" applyAlignment="1">
      <alignment horizontal="center" vertical="center" wrapText="1"/>
    </xf>
    <xf numFmtId="10" fontId="2" fillId="0" borderId="1" xfId="2" applyNumberFormat="1" applyFon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2" fontId="0" fillId="0" borderId="1" xfId="2" applyNumberFormat="1" applyFont="1" applyBorder="1" applyAlignment="1">
      <alignment horizontal="center" vertical="center" wrapText="1"/>
    </xf>
    <xf numFmtId="165" fontId="0" fillId="5" borderId="0" xfId="1" applyNumberFormat="1" applyFont="1" applyFill="1" applyBorder="1"/>
    <xf numFmtId="0" fontId="0" fillId="5" borderId="3" xfId="1" applyNumberFormat="1" applyFont="1" applyFill="1" applyBorder="1"/>
    <xf numFmtId="0" fontId="0" fillId="5" borderId="4" xfId="1" applyNumberFormat="1" applyFont="1" applyFill="1" applyBorder="1"/>
    <xf numFmtId="43" fontId="0" fillId="5" borderId="0" xfId="1" applyFont="1" applyFill="1" applyAlignment="1">
      <alignment wrapText="1"/>
    </xf>
    <xf numFmtId="9" fontId="0" fillId="5" borderId="0" xfId="2" applyFont="1" applyFill="1" applyAlignment="1">
      <alignment wrapText="1"/>
    </xf>
    <xf numFmtId="165" fontId="0" fillId="0" borderId="0" xfId="1" quotePrefix="1" applyNumberFormat="1" applyFont="1"/>
    <xf numFmtId="0" fontId="22" fillId="5" borderId="0" xfId="0" applyFont="1" applyFill="1"/>
    <xf numFmtId="165" fontId="22" fillId="5" borderId="0" xfId="1" applyNumberFormat="1" applyFont="1" applyFill="1"/>
    <xf numFmtId="0" fontId="22" fillId="5" borderId="1" xfId="0" applyFont="1" applyFill="1" applyBorder="1" applyAlignment="1">
      <alignment horizontal="center" vertical="center"/>
    </xf>
    <xf numFmtId="3" fontId="22" fillId="5" borderId="1" xfId="0" applyNumberFormat="1" applyFont="1" applyFill="1" applyBorder="1" applyAlignment="1">
      <alignment horizontal="center" vertical="center"/>
    </xf>
    <xf numFmtId="165" fontId="0" fillId="0" borderId="2" xfId="1" applyNumberFormat="1" applyFont="1" applyBorder="1"/>
    <xf numFmtId="165" fontId="0" fillId="0" borderId="5" xfId="1" applyNumberFormat="1" applyFont="1" applyBorder="1"/>
    <xf numFmtId="165" fontId="0" fillId="0" borderId="7" xfId="1" applyNumberFormat="1" applyFont="1" applyBorder="1"/>
    <xf numFmtId="0" fontId="0" fillId="0" borderId="0" xfId="1" applyNumberFormat="1" applyFont="1"/>
    <xf numFmtId="3" fontId="2" fillId="0" borderId="4" xfId="0" applyNumberFormat="1" applyFont="1" applyBorder="1" applyAlignment="1">
      <alignment horizontal="center"/>
    </xf>
    <xf numFmtId="0" fontId="2" fillId="0" borderId="3" xfId="1" applyNumberFormat="1" applyFont="1" applyBorder="1"/>
    <xf numFmtId="10" fontId="0" fillId="0" borderId="8" xfId="2" applyNumberFormat="1" applyFont="1" applyBorder="1"/>
    <xf numFmtId="10" fontId="0" fillId="0" borderId="9" xfId="2" applyNumberFormat="1" applyFont="1" applyBorder="1"/>
    <xf numFmtId="165" fontId="2" fillId="0" borderId="0" xfId="1" applyNumberFormat="1" applyFont="1" applyBorder="1"/>
    <xf numFmtId="165" fontId="2" fillId="0" borderId="20" xfId="1" applyNumberFormat="1" applyFont="1" applyBorder="1"/>
    <xf numFmtId="165" fontId="0" fillId="0" borderId="20" xfId="1" applyNumberFormat="1" applyFont="1" applyBorder="1"/>
    <xf numFmtId="0" fontId="2" fillId="0" borderId="22" xfId="0" applyFont="1" applyBorder="1"/>
    <xf numFmtId="165" fontId="2" fillId="0" borderId="22" xfId="1" applyNumberFormat="1" applyFont="1" applyBorder="1"/>
    <xf numFmtId="165" fontId="2" fillId="0" borderId="23" xfId="1" applyNumberFormat="1" applyFont="1" applyBorder="1"/>
    <xf numFmtId="0" fontId="0" fillId="0" borderId="0" xfId="0" applyAlignment="1">
      <alignment horizontal="left"/>
    </xf>
    <xf numFmtId="0" fontId="0" fillId="12" borderId="0" xfId="0" applyFill="1" applyAlignment="1">
      <alignment horizontal="left"/>
    </xf>
    <xf numFmtId="0" fontId="2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0" fillId="12" borderId="0" xfId="0" applyFill="1" applyAlignment="1">
      <alignment wrapText="1"/>
    </xf>
    <xf numFmtId="0" fontId="2" fillId="0" borderId="26" xfId="0" applyFont="1" applyBorder="1"/>
    <xf numFmtId="165" fontId="2" fillId="0" borderId="26" xfId="1" applyNumberFormat="1" applyFont="1" applyBorder="1"/>
    <xf numFmtId="165" fontId="2" fillId="0" borderId="27" xfId="1" applyNumberFormat="1" applyFont="1" applyBorder="1"/>
    <xf numFmtId="165" fontId="3" fillId="0" borderId="0" xfId="1" applyNumberFormat="1" applyFont="1" applyBorder="1"/>
    <xf numFmtId="165" fontId="3" fillId="0" borderId="20" xfId="1" applyNumberFormat="1" applyFont="1" applyBorder="1"/>
    <xf numFmtId="0" fontId="3" fillId="0" borderId="19" xfId="0" applyFont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horizontal="center" wrapText="1"/>
    </xf>
    <xf numFmtId="9" fontId="18" fillId="0" borderId="0" xfId="0" applyNumberFormat="1" applyFont="1" applyAlignment="1">
      <alignment horizontal="center" wrapText="1"/>
    </xf>
    <xf numFmtId="0" fontId="19" fillId="0" borderId="0" xfId="0" applyFont="1" applyAlignment="1">
      <alignment horizontal="center" wrapText="1"/>
    </xf>
    <xf numFmtId="9" fontId="19" fillId="0" borderId="0" xfId="0" applyNumberFormat="1" applyFont="1" applyAlignment="1">
      <alignment horizontal="center" wrapText="1"/>
    </xf>
    <xf numFmtId="0" fontId="20" fillId="0" borderId="0" xfId="0" applyFont="1" applyAlignment="1">
      <alignment wrapText="1"/>
    </xf>
    <xf numFmtId="3" fontId="20" fillId="0" borderId="0" xfId="0" applyNumberFormat="1" applyFont="1" applyAlignment="1">
      <alignment wrapText="1"/>
    </xf>
    <xf numFmtId="3" fontId="20" fillId="0" borderId="0" xfId="0" applyNumberFormat="1" applyFont="1"/>
    <xf numFmtId="10" fontId="20" fillId="0" borderId="0" xfId="0" applyNumberFormat="1" applyFont="1"/>
    <xf numFmtId="0" fontId="20" fillId="0" borderId="0" xfId="0" applyFont="1"/>
    <xf numFmtId="0" fontId="21" fillId="0" borderId="0" xfId="0" applyFont="1"/>
    <xf numFmtId="3" fontId="21" fillId="0" borderId="0" xfId="0" applyNumberFormat="1" applyFont="1"/>
    <xf numFmtId="0" fontId="2" fillId="10" borderId="18" xfId="0" applyFont="1" applyFill="1" applyBorder="1" applyAlignment="1">
      <alignment horizontal="center"/>
    </xf>
    <xf numFmtId="0" fontId="2" fillId="10" borderId="19" xfId="0" applyFont="1" applyFill="1" applyBorder="1" applyAlignment="1">
      <alignment horizontal="left"/>
    </xf>
    <xf numFmtId="165" fontId="0" fillId="10" borderId="0" xfId="0" applyNumberFormat="1" applyFill="1"/>
    <xf numFmtId="165" fontId="0" fillId="10" borderId="20" xfId="0" applyNumberFormat="1" applyFill="1" applyBorder="1"/>
    <xf numFmtId="0" fontId="2" fillId="10" borderId="21" xfId="0" applyFont="1" applyFill="1" applyBorder="1" applyAlignment="1">
      <alignment horizontal="left"/>
    </xf>
    <xf numFmtId="165" fontId="0" fillId="10" borderId="22" xfId="0" applyNumberFormat="1" applyFill="1" applyBorder="1"/>
    <xf numFmtId="165" fontId="0" fillId="10" borderId="23" xfId="0" applyNumberFormat="1" applyFill="1" applyBorder="1"/>
    <xf numFmtId="0" fontId="2" fillId="10" borderId="0" xfId="0" applyFont="1" applyFill="1" applyAlignment="1">
      <alignment horizontal="center"/>
    </xf>
    <xf numFmtId="0" fontId="16" fillId="10" borderId="18" xfId="0" applyFont="1" applyFill="1" applyBorder="1"/>
    <xf numFmtId="0" fontId="16" fillId="10" borderId="19" xfId="0" applyFont="1" applyFill="1" applyBorder="1"/>
    <xf numFmtId="0" fontId="20" fillId="10" borderId="20" xfId="0" applyFont="1" applyFill="1" applyBorder="1" applyAlignment="1">
      <alignment wrapText="1"/>
    </xf>
    <xf numFmtId="0" fontId="16" fillId="10" borderId="24" xfId="0" applyFont="1" applyFill="1" applyBorder="1" applyAlignment="1">
      <alignment wrapText="1"/>
    </xf>
    <xf numFmtId="3" fontId="20" fillId="10" borderId="17" xfId="0" applyNumberFormat="1" applyFont="1" applyFill="1" applyBorder="1" applyAlignment="1">
      <alignment wrapText="1"/>
    </xf>
    <xf numFmtId="3" fontId="20" fillId="10" borderId="25" xfId="0" applyNumberFormat="1" applyFont="1" applyFill="1" applyBorder="1" applyAlignment="1">
      <alignment wrapText="1"/>
    </xf>
    <xf numFmtId="3" fontId="20" fillId="10" borderId="20" xfId="0" applyNumberFormat="1" applyFont="1" applyFill="1" applyBorder="1"/>
    <xf numFmtId="3" fontId="20" fillId="10" borderId="17" xfId="0" applyNumberFormat="1" applyFont="1" applyFill="1" applyBorder="1"/>
    <xf numFmtId="3" fontId="20" fillId="10" borderId="25" xfId="0" applyNumberFormat="1" applyFont="1" applyFill="1" applyBorder="1"/>
    <xf numFmtId="0" fontId="16" fillId="10" borderId="19" xfId="0" applyFont="1" applyFill="1" applyBorder="1" applyAlignment="1">
      <alignment wrapText="1"/>
    </xf>
    <xf numFmtId="0" fontId="20" fillId="10" borderId="20" xfId="0" applyFont="1" applyFill="1" applyBorder="1"/>
    <xf numFmtId="0" fontId="16" fillId="10" borderId="20" xfId="0" applyFont="1" applyFill="1" applyBorder="1" applyAlignment="1">
      <alignment wrapText="1"/>
    </xf>
    <xf numFmtId="0" fontId="20" fillId="10" borderId="19" xfId="0" applyFont="1" applyFill="1" applyBorder="1" applyAlignment="1">
      <alignment wrapText="1"/>
    </xf>
    <xf numFmtId="3" fontId="20" fillId="10" borderId="20" xfId="0" applyNumberFormat="1" applyFont="1" applyFill="1" applyBorder="1" applyAlignment="1">
      <alignment wrapText="1"/>
    </xf>
    <xf numFmtId="0" fontId="20" fillId="10" borderId="19" xfId="0" applyFont="1" applyFill="1" applyBorder="1"/>
    <xf numFmtId="10" fontId="20" fillId="10" borderId="20" xfId="0" applyNumberFormat="1" applyFont="1" applyFill="1" applyBorder="1"/>
    <xf numFmtId="0" fontId="16" fillId="10" borderId="21" xfId="0" applyFont="1" applyFill="1" applyBorder="1" applyAlignment="1">
      <alignment wrapText="1"/>
    </xf>
    <xf numFmtId="10" fontId="20" fillId="10" borderId="22" xfId="0" applyNumberFormat="1" applyFont="1" applyFill="1" applyBorder="1"/>
    <xf numFmtId="10" fontId="20" fillId="10" borderId="23" xfId="0" applyNumberFormat="1" applyFont="1" applyFill="1" applyBorder="1"/>
    <xf numFmtId="0" fontId="17" fillId="10" borderId="19" xfId="0" applyFont="1" applyFill="1" applyBorder="1" applyAlignment="1">
      <alignment wrapText="1"/>
    </xf>
    <xf numFmtId="0" fontId="17" fillId="10" borderId="21" xfId="0" applyFont="1" applyFill="1" applyBorder="1" applyAlignment="1">
      <alignment wrapText="1"/>
    </xf>
    <xf numFmtId="0" fontId="19" fillId="10" borderId="22" xfId="0" applyFont="1" applyFill="1" applyBorder="1" applyAlignment="1">
      <alignment horizontal="center" wrapText="1"/>
    </xf>
    <xf numFmtId="0" fontId="0" fillId="2" borderId="18" xfId="0" applyFill="1" applyBorder="1"/>
    <xf numFmtId="0" fontId="0" fillId="2" borderId="26" xfId="0" applyFill="1" applyBorder="1"/>
    <xf numFmtId="0" fontId="0" fillId="2" borderId="27" xfId="0" applyFill="1" applyBorder="1"/>
    <xf numFmtId="0" fontId="0" fillId="10" borderId="19" xfId="0" applyFill="1" applyBorder="1"/>
    <xf numFmtId="0" fontId="0" fillId="10" borderId="0" xfId="0" applyFill="1"/>
    <xf numFmtId="0" fontId="0" fillId="10" borderId="20" xfId="0" applyFill="1" applyBorder="1"/>
    <xf numFmtId="0" fontId="0" fillId="2" borderId="19" xfId="0" applyFill="1" applyBorder="1"/>
    <xf numFmtId="0" fontId="0" fillId="2" borderId="0" xfId="0" applyFill="1"/>
    <xf numFmtId="0" fontId="0" fillId="2" borderId="20" xfId="0" applyFill="1" applyBorder="1"/>
    <xf numFmtId="0" fontId="20" fillId="10" borderId="0" xfId="0" applyFont="1" applyFill="1" applyAlignment="1">
      <alignment wrapText="1"/>
    </xf>
    <xf numFmtId="3" fontId="20" fillId="10" borderId="0" xfId="0" applyNumberFormat="1" applyFont="1" applyFill="1"/>
    <xf numFmtId="0" fontId="20" fillId="10" borderId="0" xfId="0" applyFont="1" applyFill="1"/>
    <xf numFmtId="0" fontId="16" fillId="10" borderId="0" xfId="0" applyFont="1" applyFill="1" applyAlignment="1">
      <alignment wrapText="1"/>
    </xf>
    <xf numFmtId="3" fontId="20" fillId="10" borderId="0" xfId="0" applyNumberFormat="1" applyFont="1" applyFill="1" applyAlignment="1">
      <alignment wrapText="1"/>
    </xf>
    <xf numFmtId="0" fontId="21" fillId="10" borderId="0" xfId="0" applyFont="1" applyFill="1"/>
    <xf numFmtId="3" fontId="21" fillId="10" borderId="0" xfId="0" applyNumberFormat="1" applyFont="1" applyFill="1"/>
    <xf numFmtId="10" fontId="20" fillId="10" borderId="0" xfId="0" applyNumberFormat="1" applyFont="1" applyFill="1"/>
    <xf numFmtId="0" fontId="19" fillId="10" borderId="0" xfId="0" applyFont="1" applyFill="1" applyAlignment="1">
      <alignment horizontal="center" wrapText="1"/>
    </xf>
    <xf numFmtId="0" fontId="3" fillId="10" borderId="0" xfId="0" applyFont="1" applyFill="1"/>
    <xf numFmtId="0" fontId="0" fillId="10" borderId="21" xfId="0" applyFill="1" applyBorder="1"/>
    <xf numFmtId="0" fontId="0" fillId="10" borderId="22" xfId="0" applyFill="1" applyBorder="1"/>
    <xf numFmtId="0" fontId="0" fillId="10" borderId="23" xfId="0" applyFill="1" applyBorder="1"/>
    <xf numFmtId="0" fontId="20" fillId="10" borderId="0" xfId="0" applyFont="1" applyFill="1" applyAlignment="1">
      <alignment horizontal="right"/>
    </xf>
    <xf numFmtId="9" fontId="19" fillId="10" borderId="20" xfId="0" applyNumberFormat="1" applyFont="1" applyFill="1" applyBorder="1" applyAlignment="1">
      <alignment horizontal="center" wrapText="1"/>
    </xf>
    <xf numFmtId="9" fontId="19" fillId="10" borderId="23" xfId="0" applyNumberFormat="1" applyFont="1" applyFill="1" applyBorder="1" applyAlignment="1">
      <alignment horizontal="center" wrapText="1"/>
    </xf>
    <xf numFmtId="0" fontId="2" fillId="10" borderId="30" xfId="0" applyFont="1" applyFill="1" applyBorder="1"/>
    <xf numFmtId="0" fontId="2" fillId="10" borderId="31" xfId="0" applyFont="1" applyFill="1" applyBorder="1"/>
    <xf numFmtId="0" fontId="16" fillId="10" borderId="30" xfId="0" applyFont="1" applyFill="1" applyBorder="1" applyAlignment="1">
      <alignment wrapText="1"/>
    </xf>
    <xf numFmtId="0" fontId="16" fillId="10" borderId="31" xfId="0" applyFont="1" applyFill="1" applyBorder="1" applyAlignment="1">
      <alignment wrapText="1"/>
    </xf>
    <xf numFmtId="0" fontId="16" fillId="10" borderId="29" xfId="0" applyFont="1" applyFill="1" applyBorder="1" applyAlignment="1">
      <alignment wrapText="1"/>
    </xf>
    <xf numFmtId="10" fontId="20" fillId="10" borderId="28" xfId="0" applyNumberFormat="1" applyFont="1" applyFill="1" applyBorder="1"/>
    <xf numFmtId="10" fontId="20" fillId="10" borderId="32" xfId="0" applyNumberFormat="1" applyFont="1" applyFill="1" applyBorder="1"/>
    <xf numFmtId="3" fontId="20" fillId="10" borderId="28" xfId="0" applyNumberFormat="1" applyFont="1" applyFill="1" applyBorder="1"/>
    <xf numFmtId="3" fontId="20" fillId="10" borderId="32" xfId="0" applyNumberFormat="1" applyFont="1" applyFill="1" applyBorder="1"/>
    <xf numFmtId="0" fontId="16" fillId="10" borderId="33" xfId="0" applyFont="1" applyFill="1" applyBorder="1" applyAlignment="1">
      <alignment wrapText="1"/>
    </xf>
    <xf numFmtId="3" fontId="20" fillId="10" borderId="34" xfId="0" applyNumberFormat="1" applyFont="1" applyFill="1" applyBorder="1" applyAlignment="1">
      <alignment horizontal="right"/>
    </xf>
    <xf numFmtId="3" fontId="20" fillId="10" borderId="34" xfId="0" applyNumberFormat="1" applyFont="1" applyFill="1" applyBorder="1"/>
    <xf numFmtId="3" fontId="20" fillId="10" borderId="35" xfId="0" applyNumberFormat="1" applyFont="1" applyFill="1" applyBorder="1"/>
    <xf numFmtId="0" fontId="16" fillId="10" borderId="29" xfId="0" applyFont="1" applyFill="1" applyBorder="1"/>
    <xf numFmtId="10" fontId="20" fillId="10" borderId="28" xfId="0" applyNumberFormat="1" applyFont="1" applyFill="1" applyBorder="1" applyAlignment="1">
      <alignment horizontal="right"/>
    </xf>
    <xf numFmtId="0" fontId="16" fillId="10" borderId="30" xfId="0" applyFont="1" applyFill="1" applyBorder="1" applyAlignment="1">
      <alignment horizontal="center" wrapText="1"/>
    </xf>
    <xf numFmtId="0" fontId="16" fillId="10" borderId="31" xfId="0" applyFont="1" applyFill="1" applyBorder="1" applyAlignment="1">
      <alignment horizontal="center" wrapText="1"/>
    </xf>
    <xf numFmtId="0" fontId="5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 applyAlignment="1">
      <alignment wrapText="1"/>
    </xf>
    <xf numFmtId="0" fontId="4" fillId="0" borderId="7" xfId="0" applyFont="1" applyBorder="1" applyAlignment="1">
      <alignment wrapText="1"/>
    </xf>
    <xf numFmtId="165" fontId="5" fillId="0" borderId="0" xfId="1" applyNumberFormat="1" applyFont="1" applyBorder="1"/>
    <xf numFmtId="165" fontId="5" fillId="0" borderId="6" xfId="1" applyNumberFormat="1" applyFont="1" applyBorder="1"/>
    <xf numFmtId="171" fontId="4" fillId="0" borderId="8" xfId="0" applyNumberFormat="1" applyFont="1" applyBorder="1"/>
    <xf numFmtId="171" fontId="4" fillId="0" borderId="9" xfId="0" applyNumberFormat="1" applyFont="1" applyBorder="1"/>
    <xf numFmtId="0" fontId="0" fillId="5" borderId="0" xfId="0" applyFill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0" fillId="0" borderId="9" xfId="0" applyNumberFormat="1" applyBorder="1"/>
    <xf numFmtId="0" fontId="0" fillId="0" borderId="7" xfId="0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/>
    <xf numFmtId="3" fontId="0" fillId="0" borderId="8" xfId="0" applyNumberFormat="1" applyBorder="1"/>
    <xf numFmtId="0" fontId="0" fillId="0" borderId="8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5" borderId="2" xfId="0" applyFill="1" applyBorder="1"/>
    <xf numFmtId="0" fontId="0" fillId="5" borderId="3" xfId="0" applyFill="1" applyBorder="1"/>
    <xf numFmtId="0" fontId="0" fillId="8" borderId="1" xfId="0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0" fillId="5" borderId="0" xfId="0" applyFill="1" applyAlignment="1">
      <alignment wrapText="1"/>
    </xf>
    <xf numFmtId="0" fontId="0" fillId="5" borderId="1" xfId="0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3" fontId="0" fillId="10" borderId="6" xfId="0" applyNumberFormat="1" applyFill="1" applyBorder="1"/>
    <xf numFmtId="0" fontId="4" fillId="5" borderId="0" xfId="0" applyFont="1" applyFill="1"/>
    <xf numFmtId="0" fontId="0" fillId="0" borderId="2" xfId="0" applyBorder="1" applyAlignment="1">
      <alignment vertical="top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165" fontId="5" fillId="0" borderId="0" xfId="1" applyNumberFormat="1" applyFont="1" applyBorder="1" applyAlignment="1">
      <alignment vertical="center" wrapText="1"/>
    </xf>
    <xf numFmtId="165" fontId="5" fillId="0" borderId="6" xfId="1" applyNumberFormat="1" applyFont="1" applyBorder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165" fontId="5" fillId="0" borderId="6" xfId="0" applyNumberFormat="1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4" fillId="0" borderId="6" xfId="0" applyNumberFormat="1" applyFont="1" applyBorder="1" applyAlignment="1">
      <alignment vertical="center" wrapText="1"/>
    </xf>
    <xf numFmtId="3" fontId="5" fillId="0" borderId="0" xfId="0" applyNumberFormat="1" applyFont="1" applyAlignment="1">
      <alignment vertical="center" wrapText="1"/>
    </xf>
    <xf numFmtId="3" fontId="5" fillId="0" borderId="6" xfId="0" applyNumberFormat="1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164" fontId="4" fillId="0" borderId="8" xfId="0" applyNumberFormat="1" applyFont="1" applyBorder="1" applyAlignment="1">
      <alignment vertical="center" wrapText="1"/>
    </xf>
    <xf numFmtId="164" fontId="4" fillId="0" borderId="9" xfId="0" applyNumberFormat="1" applyFont="1" applyBorder="1" applyAlignment="1">
      <alignment vertical="center" wrapText="1"/>
    </xf>
    <xf numFmtId="2" fontId="4" fillId="0" borderId="0" xfId="0" applyNumberFormat="1" applyFont="1" applyAlignment="1">
      <alignment vertical="center" wrapText="1"/>
    </xf>
    <xf numFmtId="2" fontId="4" fillId="0" borderId="6" xfId="0" applyNumberFormat="1" applyFont="1" applyBorder="1" applyAlignment="1">
      <alignment vertical="center" wrapText="1"/>
    </xf>
    <xf numFmtId="165" fontId="4" fillId="0" borderId="0" xfId="1" applyNumberFormat="1" applyFont="1" applyBorder="1" applyAlignment="1">
      <alignment vertical="center" wrapText="1"/>
    </xf>
    <xf numFmtId="165" fontId="4" fillId="0" borderId="6" xfId="1" applyNumberFormat="1" applyFont="1" applyBorder="1" applyAlignment="1">
      <alignment vertical="center" wrapText="1"/>
    </xf>
    <xf numFmtId="166" fontId="4" fillId="0" borderId="8" xfId="0" applyNumberFormat="1" applyFont="1" applyBorder="1" applyAlignment="1">
      <alignment vertical="center" wrapText="1"/>
    </xf>
    <xf numFmtId="166" fontId="4" fillId="0" borderId="9" xfId="0" applyNumberFormat="1" applyFont="1" applyBorder="1" applyAlignment="1">
      <alignment vertical="center" wrapText="1"/>
    </xf>
    <xf numFmtId="169" fontId="5" fillId="0" borderId="5" xfId="0" applyNumberFormat="1" applyFont="1" applyBorder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3" fontId="4" fillId="0" borderId="6" xfId="0" applyNumberFormat="1" applyFont="1" applyBorder="1" applyAlignment="1">
      <alignment vertical="center" wrapText="1"/>
    </xf>
    <xf numFmtId="10" fontId="5" fillId="0" borderId="0" xfId="0" applyNumberFormat="1" applyFont="1" applyAlignment="1">
      <alignment vertical="center" wrapText="1"/>
    </xf>
    <xf numFmtId="10" fontId="5" fillId="0" borderId="6" xfId="0" applyNumberFormat="1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43" fontId="0" fillId="0" borderId="8" xfId="0" applyNumberFormat="1" applyBorder="1"/>
    <xf numFmtId="43" fontId="0" fillId="0" borderId="9" xfId="0" applyNumberFormat="1" applyBorder="1"/>
    <xf numFmtId="170" fontId="5" fillId="0" borderId="0" xfId="0" applyNumberFormat="1" applyFont="1" applyAlignment="1">
      <alignment vertical="center" wrapText="1"/>
    </xf>
    <xf numFmtId="170" fontId="5" fillId="0" borderId="6" xfId="0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6" xfId="0" applyFont="1" applyBorder="1" applyAlignment="1">
      <alignment vertical="center" wrapText="1"/>
    </xf>
    <xf numFmtId="10" fontId="4" fillId="0" borderId="0" xfId="0" applyNumberFormat="1" applyFont="1" applyAlignment="1">
      <alignment vertical="center" wrapText="1"/>
    </xf>
    <xf numFmtId="10" fontId="4" fillId="0" borderId="6" xfId="0" applyNumberFormat="1" applyFont="1" applyBorder="1" applyAlignment="1">
      <alignment vertical="center" wrapText="1"/>
    </xf>
    <xf numFmtId="10" fontId="4" fillId="0" borderId="8" xfId="0" applyNumberFormat="1" applyFont="1" applyBorder="1" applyAlignment="1">
      <alignment vertical="center" wrapText="1"/>
    </xf>
    <xf numFmtId="10" fontId="4" fillId="0" borderId="9" xfId="0" applyNumberFormat="1" applyFont="1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0" fillId="0" borderId="5" xfId="0" applyBorder="1" applyAlignment="1">
      <alignment wrapText="1"/>
    </xf>
    <xf numFmtId="3" fontId="0" fillId="0" borderId="0" xfId="0" applyNumberFormat="1" applyAlignment="1">
      <alignment horizontal="right" wrapText="1"/>
    </xf>
    <xf numFmtId="3" fontId="0" fillId="0" borderId="6" xfId="0" applyNumberFormat="1" applyBorder="1" applyAlignment="1">
      <alignment horizontal="right" wrapText="1"/>
    </xf>
    <xf numFmtId="0" fontId="0" fillId="0" borderId="2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0" fillId="0" borderId="5" xfId="0" applyBorder="1" applyAlignment="1">
      <alignment horizontal="right" wrapText="1"/>
    </xf>
    <xf numFmtId="3" fontId="2" fillId="0" borderId="0" xfId="0" applyNumberFormat="1" applyFont="1" applyAlignment="1">
      <alignment horizontal="right" wrapText="1"/>
    </xf>
    <xf numFmtId="0" fontId="0" fillId="0" borderId="6" xfId="0" applyBorder="1" applyAlignment="1">
      <alignment horizontal="right" wrapText="1"/>
    </xf>
    <xf numFmtId="0" fontId="2" fillId="0" borderId="5" xfId="0" applyFont="1" applyBorder="1" applyAlignment="1">
      <alignment horizontal="center" vertical="center" wrapText="1"/>
    </xf>
    <xf numFmtId="43" fontId="2" fillId="0" borderId="0" xfId="0" applyNumberFormat="1" applyFont="1" applyAlignment="1">
      <alignment horizontal="center" vertical="center" wrapText="1"/>
    </xf>
    <xf numFmtId="43" fontId="2" fillId="0" borderId="6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wrapText="1"/>
    </xf>
    <xf numFmtId="165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7" xfId="0" applyBorder="1" applyAlignment="1">
      <alignment horizontal="right" wrapText="1"/>
    </xf>
    <xf numFmtId="3" fontId="0" fillId="0" borderId="8" xfId="0" applyNumberFormat="1" applyBorder="1" applyAlignment="1">
      <alignment horizontal="right" wrapText="1"/>
    </xf>
    <xf numFmtId="3" fontId="2" fillId="0" borderId="8" xfId="0" applyNumberFormat="1" applyFont="1" applyBorder="1" applyAlignment="1">
      <alignment horizontal="right" wrapText="1"/>
    </xf>
    <xf numFmtId="0" fontId="0" fillId="0" borderId="9" xfId="0" applyBorder="1" applyAlignment="1">
      <alignment horizontal="right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165" fontId="0" fillId="0" borderId="8" xfId="0" applyNumberFormat="1" applyBorder="1" applyAlignment="1">
      <alignment horizontal="right" wrapText="1"/>
    </xf>
    <xf numFmtId="0" fontId="0" fillId="0" borderId="8" xfId="0" applyBorder="1" applyAlignment="1">
      <alignment horizontal="right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wrapText="1"/>
    </xf>
    <xf numFmtId="3" fontId="0" fillId="0" borderId="9" xfId="0" applyNumberFormat="1" applyBorder="1" applyAlignment="1">
      <alignment horizontal="right" wrapText="1"/>
    </xf>
    <xf numFmtId="0" fontId="0" fillId="0" borderId="6" xfId="0" applyBorder="1" applyAlignment="1">
      <alignment wrapText="1"/>
    </xf>
    <xf numFmtId="43" fontId="0" fillId="0" borderId="3" xfId="0" applyNumberFormat="1" applyBorder="1" applyAlignment="1">
      <alignment horizontal="center" vertical="center" wrapText="1"/>
    </xf>
    <xf numFmtId="43" fontId="0" fillId="0" borderId="4" xfId="0" applyNumberFormat="1" applyBorder="1" applyAlignment="1">
      <alignment horizontal="center" vertical="center" wrapText="1"/>
    </xf>
    <xf numFmtId="43" fontId="0" fillId="0" borderId="0" xfId="0" applyNumberFormat="1" applyAlignment="1">
      <alignment horizontal="center" vertical="center" wrapText="1"/>
    </xf>
    <xf numFmtId="43" fontId="0" fillId="0" borderId="6" xfId="0" applyNumberFormat="1" applyBorder="1" applyAlignment="1">
      <alignment horizontal="center" vertical="center" wrapText="1"/>
    </xf>
    <xf numFmtId="0" fontId="0" fillId="0" borderId="3" xfId="0" applyBorder="1" applyAlignment="1">
      <alignment horizontal="right" wrapText="1"/>
    </xf>
    <xf numFmtId="3" fontId="0" fillId="0" borderId="3" xfId="0" applyNumberFormat="1" applyBorder="1" applyAlignment="1">
      <alignment horizontal="right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43" fontId="5" fillId="0" borderId="0" xfId="0" applyNumberFormat="1" applyFont="1" applyAlignment="1">
      <alignment horizontal="right" vertical="center" wrapText="1"/>
    </xf>
    <xf numFmtId="43" fontId="5" fillId="0" borderId="6" xfId="0" applyNumberFormat="1" applyFont="1" applyBorder="1" applyAlignment="1">
      <alignment horizontal="right" vertical="center" wrapText="1"/>
    </xf>
    <xf numFmtId="0" fontId="0" fillId="0" borderId="14" xfId="0" applyBorder="1" applyAlignment="1">
      <alignment horizontal="center" wrapText="1"/>
    </xf>
    <xf numFmtId="3" fontId="0" fillId="0" borderId="15" xfId="0" applyNumberFormat="1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5" fillId="0" borderId="8" xfId="0" applyFont="1" applyBorder="1" applyAlignment="1">
      <alignment horizontal="right" vertical="center" wrapText="1"/>
    </xf>
    <xf numFmtId="0" fontId="5" fillId="0" borderId="9" xfId="0" applyFont="1" applyBorder="1" applyAlignment="1">
      <alignment horizontal="right" vertical="center" wrapText="1"/>
    </xf>
    <xf numFmtId="0" fontId="1" fillId="0" borderId="0" xfId="0" applyFont="1"/>
    <xf numFmtId="165" fontId="1" fillId="0" borderId="0" xfId="1" applyNumberFormat="1" applyFont="1"/>
    <xf numFmtId="10" fontId="5" fillId="0" borderId="5" xfId="0" applyNumberFormat="1" applyFont="1" applyBorder="1"/>
    <xf numFmtId="10" fontId="5" fillId="0" borderId="0" xfId="0" applyNumberFormat="1" applyFont="1"/>
    <xf numFmtId="10" fontId="5" fillId="0" borderId="6" xfId="0" applyNumberFormat="1" applyFont="1" applyBorder="1"/>
    <xf numFmtId="10" fontId="1" fillId="0" borderId="0" xfId="0" applyNumberFormat="1" applyFont="1"/>
    <xf numFmtId="10" fontId="1" fillId="0" borderId="6" xfId="0" applyNumberFormat="1" applyFont="1" applyBorder="1"/>
    <xf numFmtId="0" fontId="1" fillId="0" borderId="5" xfId="0" applyFont="1" applyBorder="1"/>
    <xf numFmtId="1" fontId="1" fillId="0" borderId="0" xfId="1" applyNumberFormat="1" applyFont="1" applyBorder="1"/>
    <xf numFmtId="9" fontId="1" fillId="0" borderId="0" xfId="1" applyNumberFormat="1" applyFont="1" applyBorder="1"/>
    <xf numFmtId="9" fontId="1" fillId="0" borderId="0" xfId="0" applyNumberFormat="1" applyFont="1"/>
    <xf numFmtId="9" fontId="1" fillId="0" borderId="6" xfId="0" applyNumberFormat="1" applyFont="1" applyBorder="1"/>
    <xf numFmtId="10" fontId="1" fillId="0" borderId="0" xfId="1" applyNumberFormat="1" applyFont="1" applyBorder="1"/>
    <xf numFmtId="0" fontId="1" fillId="0" borderId="7" xfId="0" applyFont="1" applyBorder="1"/>
    <xf numFmtId="9" fontId="1" fillId="0" borderId="8" xfId="1" applyNumberFormat="1" applyFont="1" applyBorder="1"/>
    <xf numFmtId="9" fontId="1" fillId="0" borderId="8" xfId="0" applyNumberFormat="1" applyFont="1" applyBorder="1"/>
    <xf numFmtId="9" fontId="1" fillId="0" borderId="9" xfId="0" applyNumberFormat="1" applyFont="1" applyBorder="1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10" fontId="1" fillId="0" borderId="0" xfId="0" applyNumberFormat="1" applyFont="1" applyAlignment="1">
      <alignment horizontal="center"/>
    </xf>
    <xf numFmtId="10" fontId="1" fillId="0" borderId="6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 wrapText="1"/>
    </xf>
    <xf numFmtId="2" fontId="5" fillId="0" borderId="0" xfId="0" applyNumberFormat="1" applyFont="1" applyAlignment="1">
      <alignment horizontal="center"/>
    </xf>
    <xf numFmtId="2" fontId="5" fillId="0" borderId="6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167" fontId="5" fillId="0" borderId="0" xfId="0" applyNumberFormat="1" applyFont="1" applyAlignment="1">
      <alignment horizontal="center"/>
    </xf>
    <xf numFmtId="167" fontId="5" fillId="0" borderId="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167" fontId="5" fillId="0" borderId="8" xfId="0" applyNumberFormat="1" applyFont="1" applyBorder="1" applyAlignment="1">
      <alignment horizontal="center"/>
    </xf>
    <xf numFmtId="167" fontId="5" fillId="0" borderId="9" xfId="0" applyNumberFormat="1" applyFont="1" applyBorder="1" applyAlignment="1">
      <alignment horizontal="center"/>
    </xf>
    <xf numFmtId="0" fontId="2" fillId="0" borderId="7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 wrapText="1"/>
    </xf>
    <xf numFmtId="2" fontId="1" fillId="7" borderId="1" xfId="1" applyNumberFormat="1" applyFont="1" applyFill="1" applyBorder="1" applyAlignment="1">
      <alignment horizontal="center"/>
    </xf>
    <xf numFmtId="2" fontId="1" fillId="7" borderId="1" xfId="0" applyNumberFormat="1" applyFont="1" applyFill="1" applyBorder="1" applyAlignment="1">
      <alignment horizontal="center"/>
    </xf>
    <xf numFmtId="10" fontId="1" fillId="7" borderId="1" xfId="0" applyNumberFormat="1" applyFont="1" applyFill="1" applyBorder="1" applyAlignment="1">
      <alignment horizontal="center"/>
    </xf>
    <xf numFmtId="0" fontId="1" fillId="3" borderId="1" xfId="0" applyFont="1" applyFill="1" applyBorder="1"/>
    <xf numFmtId="166" fontId="1" fillId="3" borderId="1" xfId="1" applyNumberFormat="1" applyFont="1" applyFill="1" applyBorder="1"/>
    <xf numFmtId="0" fontId="1" fillId="3" borderId="1" xfId="0" applyFont="1" applyFill="1" applyBorder="1" applyAlignment="1">
      <alignment horizontal="left"/>
    </xf>
    <xf numFmtId="166" fontId="1" fillId="3" borderId="1" xfId="1" applyNumberFormat="1" applyFont="1" applyFill="1" applyBorder="1" applyAlignment="1">
      <alignment horizontal="right"/>
    </xf>
    <xf numFmtId="10" fontId="1" fillId="3" borderId="1" xfId="2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 wrapText="1"/>
    </xf>
    <xf numFmtId="0" fontId="24" fillId="13" borderId="0" xfId="0" applyFont="1" applyFill="1"/>
    <xf numFmtId="0" fontId="16" fillId="0" borderId="2" xfId="0" applyFont="1" applyBorder="1"/>
    <xf numFmtId="0" fontId="20" fillId="0" borderId="3" xfId="0" applyFont="1" applyBorder="1"/>
    <xf numFmtId="0" fontId="20" fillId="0" borderId="4" xfId="0" applyFont="1" applyBorder="1"/>
    <xf numFmtId="0" fontId="16" fillId="0" borderId="5" xfId="0" applyFont="1" applyBorder="1"/>
    <xf numFmtId="0" fontId="16" fillId="0" borderId="6" xfId="0" applyFont="1" applyBorder="1"/>
    <xf numFmtId="0" fontId="20" fillId="0" borderId="5" xfId="0" applyFont="1" applyBorder="1"/>
    <xf numFmtId="0" fontId="20" fillId="0" borderId="6" xfId="0" applyFont="1" applyBorder="1"/>
    <xf numFmtId="0" fontId="20" fillId="14" borderId="5" xfId="0" applyFont="1" applyFill="1" applyBorder="1"/>
    <xf numFmtId="0" fontId="20" fillId="14" borderId="0" xfId="0" applyFont="1" applyFill="1"/>
    <xf numFmtId="0" fontId="20" fillId="14" borderId="6" xfId="0" applyFont="1" applyFill="1" applyBorder="1"/>
    <xf numFmtId="0" fontId="16" fillId="0" borderId="3" xfId="0" applyFont="1" applyBorder="1"/>
    <xf numFmtId="0" fontId="3" fillId="3" borderId="0" xfId="0" applyFont="1" applyFill="1" applyAlignment="1">
      <alignment horizontal="right"/>
    </xf>
    <xf numFmtId="0" fontId="3" fillId="3" borderId="0" xfId="0" applyFont="1" applyFill="1"/>
    <xf numFmtId="165" fontId="3" fillId="3" borderId="0" xfId="1" applyNumberFormat="1" applyFont="1" applyFill="1"/>
    <xf numFmtId="165" fontId="2" fillId="3" borderId="0" xfId="1" applyNumberFormat="1" applyFont="1" applyFill="1"/>
    <xf numFmtId="165" fontId="7" fillId="0" borderId="10" xfId="1" applyNumberFormat="1" applyFont="1" applyBorder="1" applyAlignment="1">
      <alignment wrapText="1" readingOrder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0" borderId="0" xfId="0" applyAlignment="1">
      <alignment horizontal="center"/>
    </xf>
    <xf numFmtId="0" fontId="23" fillId="0" borderId="0" xfId="0" applyFont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10" borderId="19" xfId="0" applyFont="1" applyFill="1" applyBorder="1" applyAlignment="1">
      <alignment horizontal="left" vertical="center"/>
    </xf>
    <xf numFmtId="0" fontId="11" fillId="0" borderId="0" xfId="0" applyFont="1" applyAlignme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BC1F5"/>
      <color rgb="FFFF9D53"/>
      <color rgb="FFDF45D2"/>
      <color rgb="FF065F80"/>
      <color rgb="FFFF9E52"/>
      <color rgb="FF2F641C"/>
      <color rgb="FF0E9ED5"/>
      <color rgb="FFFDD200"/>
      <color rgb="FFA02B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Assets Trend (trillion VND)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 Financial statement'!$B$2</c:f>
              <c:strCache>
                <c:ptCount val="1"/>
                <c:pt idx="0">
                  <c:v>Total Assets (trillion VND)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'2. Financial statement'!$A$3:$A$5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statement'!$B$3:$B$5</c:f>
              <c:numCache>
                <c:formatCode>#,##0.00</c:formatCode>
                <c:ptCount val="3"/>
                <c:pt idx="0">
                  <c:v>17.377161315995</c:v>
                </c:pt>
                <c:pt idx="1">
                  <c:v>18.111796269189</c:v>
                </c:pt>
                <c:pt idx="2">
                  <c:v>20.311783916069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8-E94F-A9D8-0039C6979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9123520"/>
        <c:axId val="2069125248"/>
      </c:barChart>
      <c:catAx>
        <c:axId val="206912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2069125248"/>
        <c:crosses val="autoZero"/>
        <c:auto val="1"/>
        <c:lblAlgn val="ctr"/>
        <c:lblOffset val="100"/>
        <c:noMultiLvlLbl val="0"/>
      </c:catAx>
      <c:valAx>
        <c:axId val="206912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20691235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Structure of Total Assets (2022-2024)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'2. Financial statement'!$A$9</c:f>
              <c:strCache>
                <c:ptCount val="1"/>
                <c:pt idx="0">
                  <c:v>CA(%)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'2. Financial statement'!$B$8:$D$8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statement'!$B$9:$D$9</c:f>
              <c:numCache>
                <c:formatCode>0%</c:formatCode>
                <c:ptCount val="3"/>
                <c:pt idx="0">
                  <c:v>0.70543364393933483</c:v>
                </c:pt>
                <c:pt idx="1">
                  <c:v>0.7280782363446644</c:v>
                </c:pt>
                <c:pt idx="2">
                  <c:v>0.76546140319633871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7E-964C-A46D-3003CB1FB85D}"/>
            </c:ext>
          </c:extLst>
        </c:ser>
        <c:ser>
          <c:idx val="2"/>
          <c:order val="1"/>
          <c:tx>
            <c:strRef>
              <c:f>'2. Financial statement'!$A$10</c:f>
              <c:strCache>
                <c:ptCount val="1"/>
                <c:pt idx="0">
                  <c:v>NCA(%)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'2. Financial statement'!$B$8:$D$8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statement'!$B$10:$D$10</c:f>
              <c:numCache>
                <c:formatCode>0%</c:formatCode>
                <c:ptCount val="3"/>
                <c:pt idx="0">
                  <c:v>0.29456635606066517</c:v>
                </c:pt>
                <c:pt idx="1">
                  <c:v>0.2719217636553356</c:v>
                </c:pt>
                <c:pt idx="2">
                  <c:v>0.23453859680366132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7E-964C-A46D-3003CB1FB8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503760863"/>
        <c:axId val="1394286896"/>
      </c:barChart>
      <c:catAx>
        <c:axId val="50376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394286896"/>
        <c:crosses val="autoZero"/>
        <c:auto val="1"/>
        <c:lblAlgn val="ctr"/>
        <c:lblOffset val="100"/>
        <c:noMultiLvlLbl val="0"/>
      </c:catAx>
      <c:valAx>
        <c:axId val="13942868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0376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Structure of CA (2022)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'2. Financial statement'!$A$12:$D$12</c:f>
              <c:strCache>
                <c:ptCount val="4"/>
                <c:pt idx="0">
                  <c:v>CA structure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29-4962-A0F2-2A106C89592D}"/>
              </c:ext>
            </c:extLst>
          </c:dPt>
          <c:dPt>
            <c:idx val="1"/>
            <c:bubble3D val="0"/>
            <c:spPr>
              <a:solidFill>
                <a:schemeClr val="accent2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29-4962-A0F2-2A106C89592D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EE9A-5641-8201-743C3C8995B2}"/>
              </c:ext>
            </c:extLst>
          </c:dPt>
          <c:dPt>
            <c:idx val="3"/>
            <c:bubble3D val="0"/>
            <c:spPr>
              <a:solidFill>
                <a:schemeClr val="accent2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E9A-5641-8201-743C3C8995B2}"/>
              </c:ext>
            </c:extLst>
          </c:dPt>
          <c:dPt>
            <c:idx val="4"/>
            <c:bubble3D val="0"/>
            <c:spPr>
              <a:solidFill>
                <a:schemeClr val="accent2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829-4962-A0F2-2A106C8959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('2. Financial statement'!$A$15,'2. Financial statement'!$A$18,'2. Financial statement'!$A$20,'2. Financial statement'!$A$26,'2. Financial statement'!$A$29)</c:f>
              <c:strCache>
                <c:ptCount val="5"/>
                <c:pt idx="0">
                  <c:v>Cash and Cash Equivalents</c:v>
                </c:pt>
                <c:pt idx="1">
                  <c:v>Short-term Financial Investments</c:v>
                </c:pt>
                <c:pt idx="2">
                  <c:v>Short-term Receivables</c:v>
                </c:pt>
                <c:pt idx="3">
                  <c:v>Inventories</c:v>
                </c:pt>
                <c:pt idx="4">
                  <c:v>Other Current Assets</c:v>
                </c:pt>
              </c:strCache>
            </c:strRef>
          </c:cat>
          <c:val>
            <c:numRef>
              <c:f>('2. Financial statement'!$E$15,'2. Financial statement'!$E$18,'2. Financial statement'!$E$20,'2. Financial statement'!$E$26,'2. Financial statement'!$E$29)</c:f>
              <c:numCache>
                <c:formatCode>0.00%</c:formatCode>
                <c:ptCount val="5"/>
                <c:pt idx="0">
                  <c:v>1.9808033560043431E-2</c:v>
                </c:pt>
                <c:pt idx="1">
                  <c:v>4.0788243480476769E-4</c:v>
                </c:pt>
                <c:pt idx="2">
                  <c:v>0.67831890935853212</c:v>
                </c:pt>
                <c:pt idx="3">
                  <c:v>0.25985148017473453</c:v>
                </c:pt>
                <c:pt idx="4">
                  <c:v>4.1613694471885142E-2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E9A-5641-8201-743C3C8995B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Structure of CA (2023)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'2. Financial statement'!$A$12:$D$12</c:f>
              <c:strCache>
                <c:ptCount val="4"/>
                <c:pt idx="0">
                  <c:v>CA structure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E4-5641-8889-1CCE0E0CBCFE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E4-5641-8889-1CCE0E0CBCFE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E4-5641-8889-1CCE0E0CBCFE}"/>
              </c:ext>
            </c:extLst>
          </c:dPt>
          <c:dPt>
            <c:idx val="3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E4-5641-8889-1CCE0E0CBCFE}"/>
              </c:ext>
            </c:extLst>
          </c:dPt>
          <c:dPt>
            <c:idx val="4"/>
            <c:bubble3D val="0"/>
            <c:spPr>
              <a:solidFill>
                <a:schemeClr val="accent6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2E4-5641-8889-1CCE0E0CBC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('2. Financial statement'!$A$15,'2. Financial statement'!$A$18,'2. Financial statement'!$A$20,'2. Financial statement'!$A$26,'2. Financial statement'!$A$29)</c:f>
              <c:strCache>
                <c:ptCount val="5"/>
                <c:pt idx="0">
                  <c:v>Cash and Cash Equivalents</c:v>
                </c:pt>
                <c:pt idx="1">
                  <c:v>Short-term Financial Investments</c:v>
                </c:pt>
                <c:pt idx="2">
                  <c:v>Short-term Receivables</c:v>
                </c:pt>
                <c:pt idx="3">
                  <c:v>Inventories</c:v>
                </c:pt>
                <c:pt idx="4">
                  <c:v>Other Current Assets</c:v>
                </c:pt>
              </c:strCache>
            </c:strRef>
          </c:cat>
          <c:val>
            <c:numRef>
              <c:f>('2. Financial statement'!$F$15,'2. Financial statement'!$F$18,'2. Financial statement'!$F$20,'2. Financial statement'!$F$26,'2. Financial statement'!$F$29)</c:f>
              <c:numCache>
                <c:formatCode>0.00%</c:formatCode>
                <c:ptCount val="5"/>
                <c:pt idx="0">
                  <c:v>3.80218719814319E-2</c:v>
                </c:pt>
                <c:pt idx="1">
                  <c:v>1.5592070555081529E-3</c:v>
                </c:pt>
                <c:pt idx="2">
                  <c:v>0.63739822868628715</c:v>
                </c:pt>
                <c:pt idx="3">
                  <c:v>0.28433659244425818</c:v>
                </c:pt>
                <c:pt idx="4">
                  <c:v>3.868409983251464E-2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E9A-5641-8201-743C3C8995B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Structure of CA (2024)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'2. Financial statement'!$A$12:$D$12</c:f>
              <c:strCache>
                <c:ptCount val="4"/>
                <c:pt idx="0">
                  <c:v>CA structure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E4-5641-8889-1CCE0E0CBCFE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E4-5641-8889-1CCE0E0CBCFE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E4-5641-8889-1CCE0E0CBCFE}"/>
              </c:ext>
            </c:extLst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E4-5641-8889-1CCE0E0CBCFE}"/>
              </c:ext>
            </c:extLst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2E4-5641-8889-1CCE0E0CBC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('2. Financial statement'!$A$15,'2. Financial statement'!$A$18,'2. Financial statement'!$A$20,'2. Financial statement'!$A$26,'2. Financial statement'!$A$29)</c:f>
              <c:strCache>
                <c:ptCount val="5"/>
                <c:pt idx="0">
                  <c:v>Cash and Cash Equivalents</c:v>
                </c:pt>
                <c:pt idx="1">
                  <c:v>Short-term Financial Investments</c:v>
                </c:pt>
                <c:pt idx="2">
                  <c:v>Short-term Receivables</c:v>
                </c:pt>
                <c:pt idx="3">
                  <c:v>Inventories</c:v>
                </c:pt>
                <c:pt idx="4">
                  <c:v>Other Current Assets</c:v>
                </c:pt>
              </c:strCache>
            </c:strRef>
          </c:cat>
          <c:val>
            <c:numRef>
              <c:f>('2. Financial statement'!$G$15,'2. Financial statement'!$G$18,'2. Financial statement'!$G$20,'2. Financial statement'!$G$26,'2. Financial statement'!$G$29)</c:f>
              <c:numCache>
                <c:formatCode>0.00%</c:formatCode>
                <c:ptCount val="5"/>
                <c:pt idx="0">
                  <c:v>2.7513631174210174E-2</c:v>
                </c:pt>
                <c:pt idx="1">
                  <c:v>1.3685935712715131E-3</c:v>
                </c:pt>
                <c:pt idx="2">
                  <c:v>0.68262705791017275</c:v>
                </c:pt>
                <c:pt idx="3">
                  <c:v>0.25361295330414135</c:v>
                </c:pt>
                <c:pt idx="4">
                  <c:v>3.4877764040204193E-2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E9A-5641-8201-743C3C8995B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Structure of NCA (2022)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'2. Financial statement'!$A$12:$D$12</c:f>
              <c:strCache>
                <c:ptCount val="4"/>
                <c:pt idx="0">
                  <c:v>CA structure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EC-D244-95CC-B12B3B317F35}"/>
              </c:ext>
            </c:extLst>
          </c:dPt>
          <c:dPt>
            <c:idx val="1"/>
            <c:bubble3D val="0"/>
            <c:spPr>
              <a:solidFill>
                <a:schemeClr val="accent2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EC-D244-95CC-B12B3B317F35}"/>
              </c:ext>
            </c:extLst>
          </c:dPt>
          <c:dPt>
            <c:idx val="2"/>
            <c:bubble3D val="0"/>
            <c:spPr>
              <a:solidFill>
                <a:schemeClr val="accent2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EE9A-5641-8201-743C3C8995B2}"/>
              </c:ext>
            </c:extLst>
          </c:dPt>
          <c:dPt>
            <c:idx val="3"/>
            <c:bubble3D val="0"/>
            <c:spPr>
              <a:solidFill>
                <a:schemeClr val="accent2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E9A-5641-8201-743C3C8995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('2. Financial statement'!$A$40,'2. Financial statement'!$A$47,'2. Financial statement'!$A$49,'2. Financial statement'!$A$53)</c:f>
              <c:strCache>
                <c:ptCount val="4"/>
                <c:pt idx="0">
                  <c:v>Fixed Asset</c:v>
                </c:pt>
                <c:pt idx="1">
                  <c:v>Long-term Work in Progress</c:v>
                </c:pt>
                <c:pt idx="2">
                  <c:v>Long-term Financial Investments</c:v>
                </c:pt>
                <c:pt idx="3">
                  <c:v>Other Non-current Assets</c:v>
                </c:pt>
              </c:strCache>
            </c:strRef>
          </c:cat>
          <c:val>
            <c:numRef>
              <c:f>('2. Financial statement'!$E$40,'2. Financial statement'!$E$47,'2. Financial statement'!$E$49,'2. Financial statement'!$E$53)</c:f>
              <c:numCache>
                <c:formatCode>0.00%</c:formatCode>
                <c:ptCount val="4"/>
                <c:pt idx="0">
                  <c:v>0.23413048607306552</c:v>
                </c:pt>
                <c:pt idx="1">
                  <c:v>2.0715670809507251E-2</c:v>
                </c:pt>
                <c:pt idx="2">
                  <c:v>0.66302616685059712</c:v>
                </c:pt>
                <c:pt idx="3">
                  <c:v>3.5007506061323058E-2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E9A-5641-8201-743C3C8995B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Structure of NCA (2023)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'2. Financial statement'!$A$12:$D$12</c:f>
              <c:strCache>
                <c:ptCount val="4"/>
                <c:pt idx="0">
                  <c:v>CA structure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EC-D244-95CC-B12B3B317F35}"/>
              </c:ext>
            </c:extLst>
          </c:dPt>
          <c:dPt>
            <c:idx val="1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EC-D244-95CC-B12B3B317F35}"/>
              </c:ext>
            </c:extLst>
          </c:dPt>
          <c:dPt>
            <c:idx val="2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EE9A-5641-8201-743C3C8995B2}"/>
              </c:ext>
            </c:extLst>
          </c:dPt>
          <c:dPt>
            <c:idx val="3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E9A-5641-8201-743C3C8995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('2. Financial statement'!$A$40,'2. Financial statement'!$A$47,'2. Financial statement'!$A$49,'2. Financial statement'!$A$53)</c:f>
              <c:strCache>
                <c:ptCount val="4"/>
                <c:pt idx="0">
                  <c:v>Fixed Asset</c:v>
                </c:pt>
                <c:pt idx="1">
                  <c:v>Long-term Work in Progress</c:v>
                </c:pt>
                <c:pt idx="2">
                  <c:v>Long-term Financial Investments</c:v>
                </c:pt>
                <c:pt idx="3">
                  <c:v>Other Non-current Assets</c:v>
                </c:pt>
              </c:strCache>
            </c:strRef>
          </c:cat>
          <c:val>
            <c:numRef>
              <c:f>('2. Financial statement'!$F$40,'2. Financial statement'!$F$47,'2. Financial statement'!$F$49,'2. Financial statement'!$F$53)</c:f>
              <c:numCache>
                <c:formatCode>0.00%</c:formatCode>
                <c:ptCount val="4"/>
                <c:pt idx="0">
                  <c:v>0.20635832256462239</c:v>
                </c:pt>
                <c:pt idx="1">
                  <c:v>5.5188932347886941E-3</c:v>
                </c:pt>
                <c:pt idx="2">
                  <c:v>0.72890479880406023</c:v>
                </c:pt>
                <c:pt idx="3">
                  <c:v>3.0602398582126884E-2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E9A-5641-8201-743C3C8995B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Structure of NCA (2024)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tx>
            <c:strRef>
              <c:f>'2. Financial statement'!$A$12:$D$12</c:f>
              <c:strCache>
                <c:ptCount val="4"/>
                <c:pt idx="0">
                  <c:v>CA structure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D4-457D-9379-B63D2B8418C2}"/>
              </c:ext>
            </c:extLst>
          </c:dPt>
          <c:dPt>
            <c:idx val="1"/>
            <c:bubble3D val="0"/>
            <c:spPr>
              <a:solidFill>
                <a:schemeClr val="accent4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D4-457D-9379-B63D2B8418C2}"/>
              </c:ext>
            </c:extLst>
          </c:dPt>
          <c:dPt>
            <c:idx val="2"/>
            <c:bubble3D val="0"/>
            <c:spPr>
              <a:solidFill>
                <a:schemeClr val="accent4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D4-457D-9379-B63D2B8418C2}"/>
              </c:ext>
            </c:extLst>
          </c:dPt>
          <c:dPt>
            <c:idx val="3"/>
            <c:bubble3D val="0"/>
            <c:spPr>
              <a:solidFill>
                <a:schemeClr val="accent4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D4-457D-9379-B63D2B8418C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('2. Financial statement'!$A$40,'2. Financial statement'!$A$47,'2. Financial statement'!$A$49,'2. Financial statement'!$A$53)</c:f>
              <c:strCache>
                <c:ptCount val="4"/>
                <c:pt idx="0">
                  <c:v>Fixed Asset</c:v>
                </c:pt>
                <c:pt idx="1">
                  <c:v>Long-term Work in Progress</c:v>
                </c:pt>
                <c:pt idx="2">
                  <c:v>Long-term Financial Investments</c:v>
                </c:pt>
                <c:pt idx="3">
                  <c:v>Other Non-current Assets</c:v>
                </c:pt>
              </c:strCache>
            </c:strRef>
          </c:cat>
          <c:val>
            <c:numRef>
              <c:f>('2. Financial statement'!$G$40,'2. Financial statement'!$G$47,'2. Financial statement'!$G$49,'2. Financial statement'!$G$53)</c:f>
              <c:numCache>
                <c:formatCode>0.00%</c:formatCode>
                <c:ptCount val="4"/>
                <c:pt idx="0">
                  <c:v>0.17725032705333069</c:v>
                </c:pt>
                <c:pt idx="1">
                  <c:v>1.8948799698743422E-3</c:v>
                </c:pt>
                <c:pt idx="2">
                  <c:v>0.75475915255117054</c:v>
                </c:pt>
                <c:pt idx="3">
                  <c:v>2.9205427392608292E-2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70F-D54D-AEEA-7B11A79A953F}"/>
            </c:ext>
          </c:extLst>
        </c:ser>
        <c:ser>
          <c:idx val="0"/>
          <c:order val="1"/>
          <c:tx>
            <c:strRef>
              <c:f>'2. Financial statement'!$A$12:$D$12</c:f>
              <c:strCache>
                <c:ptCount val="4"/>
                <c:pt idx="0">
                  <c:v>CA structure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('2. Financial statement'!$A$40,'2. Financial statement'!$A$47,'2. Financial statement'!$A$49,'2. Financial statement'!$A$53)</c:f>
              <c:strCache>
                <c:ptCount val="4"/>
                <c:pt idx="0">
                  <c:v>Fixed Asset</c:v>
                </c:pt>
                <c:pt idx="1">
                  <c:v>Long-term Work in Progress</c:v>
                </c:pt>
                <c:pt idx="2">
                  <c:v>Long-term Financial Investments</c:v>
                </c:pt>
                <c:pt idx="3">
                  <c:v>Other Non-current Assets</c:v>
                </c:pt>
              </c:strCache>
            </c:strRef>
          </c:cat>
          <c:val>
            <c:numRef>
              <c:f>('2. Financial statement'!$G$40,'2. Financial statement'!$G$47,'2. Financial statement'!$G$49,'2. Financial statement'!$G$53)</c:f>
              <c:numCache>
                <c:formatCode>0.00%</c:formatCode>
                <c:ptCount val="4"/>
                <c:pt idx="0">
                  <c:v>0.17725032705333069</c:v>
                </c:pt>
                <c:pt idx="1">
                  <c:v>1.8948799698743422E-3</c:v>
                </c:pt>
                <c:pt idx="2">
                  <c:v>0.75475915255117054</c:v>
                </c:pt>
                <c:pt idx="3">
                  <c:v>2.9205427392608292E-2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70F-D54D-AEEA-7B11A79A953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 Structure (2022-2024)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'2. Financial statement'!$F$58</c:f>
              <c:strCache>
                <c:ptCount val="1"/>
                <c:pt idx="0">
                  <c:v>Debt ratio</c:v>
                </c:pt>
              </c:strCache>
            </c:strRef>
          </c:tx>
          <c:spPr>
            <a:solidFill>
              <a:srgbClr val="FBC1F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Financial statement'!$G$57:$I$57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statement'!$G$60:$I$60</c:f>
              <c:numCache>
                <c:formatCode>0.00</c:formatCode>
                <c:ptCount val="3"/>
                <c:pt idx="0">
                  <c:v>6.2100333887690002</c:v>
                </c:pt>
                <c:pt idx="1">
                  <c:v>6.8298452987139999</c:v>
                </c:pt>
                <c:pt idx="2">
                  <c:v>8.8788139316860004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3C-EB42-8902-FC9A3C627156}"/>
            </c:ext>
          </c:extLst>
        </c:ser>
        <c:ser>
          <c:idx val="2"/>
          <c:order val="1"/>
          <c:tx>
            <c:strRef>
              <c:f>'2. Financial statement'!$F$59</c:f>
              <c:strCache>
                <c:ptCount val="1"/>
                <c:pt idx="0">
                  <c:v>Equity ratio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Financial statement'!$G$57:$I$57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statement'!$G$62:$I$62</c:f>
              <c:numCache>
                <c:formatCode>0.00</c:formatCode>
                <c:ptCount val="3"/>
                <c:pt idx="0">
                  <c:v>11.167127927226</c:v>
                </c:pt>
                <c:pt idx="1">
                  <c:v>11.281950970475</c:v>
                </c:pt>
                <c:pt idx="2">
                  <c:v>11.432969984383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3C-EB42-8902-FC9A3C62715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1107501503"/>
        <c:axId val="1426449727"/>
      </c:barChart>
      <c:catAx>
        <c:axId val="11075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426449727"/>
        <c:crosses val="autoZero"/>
        <c:auto val="1"/>
        <c:lblAlgn val="ctr"/>
        <c:lblOffset val="100"/>
        <c:noMultiLvlLbl val="0"/>
      </c:catAx>
      <c:valAx>
        <c:axId val="142644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075015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Debt, Equity and D/E Trend (2022-2024)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 Financial statement'!$F$60</c:f>
              <c:strCache>
                <c:ptCount val="1"/>
                <c:pt idx="0">
                  <c:v>Total Debt (trillion VND)</c:v>
                </c:pt>
              </c:strCache>
            </c:strRef>
          </c:tx>
          <c:spPr>
            <a:solidFill>
              <a:srgbClr val="FBC1F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BC1F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531-6A46-A56E-1B3308AE08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Financial statement'!$G$57:$I$57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statement'!$G$60:$I$60</c:f>
              <c:numCache>
                <c:formatCode>0.00</c:formatCode>
                <c:ptCount val="3"/>
                <c:pt idx="0">
                  <c:v>6.2100333887690002</c:v>
                </c:pt>
                <c:pt idx="1">
                  <c:v>6.8298452987139999</c:v>
                </c:pt>
                <c:pt idx="2">
                  <c:v>8.8788139316860004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1-6A46-A56E-1B3308AE08FD}"/>
            </c:ext>
          </c:extLst>
        </c:ser>
        <c:ser>
          <c:idx val="1"/>
          <c:order val="1"/>
          <c:tx>
            <c:strRef>
              <c:f>'2. Financial statement'!$F$62</c:f>
              <c:strCache>
                <c:ptCount val="1"/>
                <c:pt idx="0">
                  <c:v>Total Equity (trillion VND)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Financial statement'!$G$57:$I$57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statement'!$G$62:$I$62</c:f>
              <c:numCache>
                <c:formatCode>0.00</c:formatCode>
                <c:ptCount val="3"/>
                <c:pt idx="0">
                  <c:v>11.167127927226</c:v>
                </c:pt>
                <c:pt idx="1">
                  <c:v>11.281950970475</c:v>
                </c:pt>
                <c:pt idx="2">
                  <c:v>11.432969984383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31-6A46-A56E-1B3308AE08F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346161407"/>
        <c:axId val="1512201727"/>
      </c:barChart>
      <c:lineChart>
        <c:grouping val="standard"/>
        <c:varyColors val="0"/>
        <c:ser>
          <c:idx val="3"/>
          <c:order val="2"/>
          <c:tx>
            <c:strRef>
              <c:f>'2. Financial statement'!$F$63</c:f>
              <c:strCache>
                <c:ptCount val="1"/>
                <c:pt idx="0">
                  <c:v>D/E ratio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7369835588115563E-2"/>
                  <c:y val="-4.19707064297800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531-6A46-A56E-1B3308AE08FD}"/>
                </c:ext>
              </c:extLst>
            </c:dLbl>
            <c:dLbl>
              <c:idx val="1"/>
              <c:layout>
                <c:manualLayout>
                  <c:x val="-8.4597070256851953E-2"/>
                  <c:y val="-5.12975300808423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531-6A46-A56E-1B3308AE08FD}"/>
                </c:ext>
              </c:extLst>
            </c:dLbl>
            <c:dLbl>
              <c:idx val="2"/>
              <c:layout>
                <c:manualLayout>
                  <c:x val="-4.855112095042536E-2"/>
                  <c:y val="-5.596094190637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531-6A46-A56E-1B3308AE08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Financial statement'!$G$57:$I$57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statement'!$G$63:$I$63</c:f>
              <c:numCache>
                <c:formatCode>0.00</c:formatCode>
                <c:ptCount val="3"/>
                <c:pt idx="0">
                  <c:v>0.55609942227209896</c:v>
                </c:pt>
                <c:pt idx="1">
                  <c:v>0.60537803404639734</c:v>
                </c:pt>
                <c:pt idx="2">
                  <c:v>0.77659732718743435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31-6A46-A56E-1B3308AE0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298319"/>
        <c:axId val="1115331935"/>
      </c:lineChart>
      <c:catAx>
        <c:axId val="134616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512201727"/>
        <c:crosses val="autoZero"/>
        <c:auto val="1"/>
        <c:lblAlgn val="ctr"/>
        <c:lblOffset val="100"/>
        <c:noMultiLvlLbl val="0"/>
      </c:catAx>
      <c:valAx>
        <c:axId val="151220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346161407"/>
        <c:crosses val="autoZero"/>
        <c:crossBetween val="between"/>
      </c:valAx>
      <c:valAx>
        <c:axId val="1115331935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15298319"/>
        <c:crosses val="max"/>
        <c:crossBetween val="between"/>
      </c:valAx>
      <c:catAx>
        <c:axId val="11152983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53319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Debt Structure (2022-2024)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 Financial statement'!$F$65</c:f>
              <c:strCache>
                <c:ptCount val="1"/>
                <c:pt idx="0">
                  <c:v>ST Debt (trillion VND)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'2. Financial statement'!$G$57:$I$57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statement'!$G$65:$I$65</c:f>
              <c:numCache>
                <c:formatCode>0.00000</c:formatCode>
                <c:ptCount val="3"/>
                <c:pt idx="0">
                  <c:v>6.1957996895819996</c:v>
                </c:pt>
                <c:pt idx="1">
                  <c:v>6.8156094825469999</c:v>
                </c:pt>
                <c:pt idx="2">
                  <c:v>8.8648534205609995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6-AA41-B81F-95D952B9B7AD}"/>
            </c:ext>
          </c:extLst>
        </c:ser>
        <c:ser>
          <c:idx val="1"/>
          <c:order val="1"/>
          <c:tx>
            <c:strRef>
              <c:f>'2. Financial statement'!$F$66</c:f>
              <c:strCache>
                <c:ptCount val="1"/>
                <c:pt idx="0">
                  <c:v>LT Debt (trillion VND)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'2. Financial statement'!$G$57:$I$57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statement'!$G$66:$I$66</c:f>
              <c:numCache>
                <c:formatCode>0.00000</c:formatCode>
                <c:ptCount val="3"/>
                <c:pt idx="0">
                  <c:v>1.4233699187E-2</c:v>
                </c:pt>
                <c:pt idx="1">
                  <c:v>1.4235816167000001E-2</c:v>
                </c:pt>
                <c:pt idx="2">
                  <c:v>1.3960511125E-2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16-AA41-B81F-95D952B9B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7995600"/>
        <c:axId val="1044843759"/>
      </c:barChart>
      <c:catAx>
        <c:axId val="137799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044843759"/>
        <c:crosses val="autoZero"/>
        <c:auto val="1"/>
        <c:lblAlgn val="ctr"/>
        <c:lblOffset val="100"/>
        <c:noMultiLvlLbl val="0"/>
      </c:catAx>
      <c:valAx>
        <c:axId val="104484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3779956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Common-size Income Statement (% of Revenue)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'2. Financial statement'!$G$97</c:f>
              <c:strCache>
                <c:ptCount val="1"/>
                <c:pt idx="0">
                  <c:v>COGS %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Financial statement'!$H$85:$J$85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statement'!$H$97:$J$97</c:f>
              <c:numCache>
                <c:formatCode>0.00%</c:formatCode>
                <c:ptCount val="3"/>
                <c:pt idx="0">
                  <c:v>0.95318287851516537</c:v>
                </c:pt>
                <c:pt idx="1">
                  <c:v>0.95954480954646071</c:v>
                </c:pt>
                <c:pt idx="2">
                  <c:v>0.95145218017698552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0-CC40-9AA3-683733400281}"/>
            </c:ext>
          </c:extLst>
        </c:ser>
        <c:ser>
          <c:idx val="3"/>
          <c:order val="1"/>
          <c:tx>
            <c:strRef>
              <c:f>'2. Financial statement'!$G$96</c:f>
              <c:strCache>
                <c:ptCount val="1"/>
                <c:pt idx="0">
                  <c:v>Financial Expenses %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Financial statement'!$H$85:$J$85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statement'!$H$96:$J$96</c:f>
              <c:numCache>
                <c:formatCode>0.00%</c:formatCode>
                <c:ptCount val="3"/>
                <c:pt idx="0">
                  <c:v>5.1717196286002656E-3</c:v>
                </c:pt>
                <c:pt idx="1">
                  <c:v>5.7070422186454792E-3</c:v>
                </c:pt>
                <c:pt idx="2">
                  <c:v>3.7706553567230052E-3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C20-CC40-9AA3-683733400281}"/>
            </c:ext>
          </c:extLst>
        </c:ser>
        <c:ser>
          <c:idx val="1"/>
          <c:order val="2"/>
          <c:tx>
            <c:strRef>
              <c:f>'2. Financial statement'!$G$95</c:f>
              <c:strCache>
                <c:ptCount val="1"/>
                <c:pt idx="0">
                  <c:v>Selling Expense %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Financial statement'!$H$85:$J$85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statement'!$H$95:$J$95</c:f>
              <c:numCache>
                <c:formatCode>0.00%</c:formatCode>
                <c:ptCount val="3"/>
                <c:pt idx="0">
                  <c:v>4.2729174675608501E-2</c:v>
                </c:pt>
                <c:pt idx="1">
                  <c:v>4.0335313143704095E-2</c:v>
                </c:pt>
                <c:pt idx="2">
                  <c:v>4.2851141305287117E-2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20-CC40-9AA3-683733400281}"/>
            </c:ext>
          </c:extLst>
        </c:ser>
        <c:ser>
          <c:idx val="2"/>
          <c:order val="3"/>
          <c:tx>
            <c:strRef>
              <c:f>'2. Financial statement'!$G$94</c:f>
              <c:strCache>
                <c:ptCount val="1"/>
                <c:pt idx="0">
                  <c:v>Administrative Expense %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Financial statement'!$H$85:$J$85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statement'!$H$94:$J$94</c:f>
              <c:numCache>
                <c:formatCode>0.00%</c:formatCode>
                <c:ptCount val="3"/>
                <c:pt idx="0">
                  <c:v>3.9785616606320641E-3</c:v>
                </c:pt>
                <c:pt idx="1">
                  <c:v>4.6108616595061944E-3</c:v>
                </c:pt>
                <c:pt idx="2">
                  <c:v>4.622334330600596E-3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20-CC40-9AA3-68373340028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1193119792"/>
        <c:axId val="1062239759"/>
      </c:barChart>
      <c:catAx>
        <c:axId val="119311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062239759"/>
        <c:crosses val="autoZero"/>
        <c:auto val="1"/>
        <c:lblAlgn val="ctr"/>
        <c:lblOffset val="100"/>
        <c:noMultiLvlLbl val="0"/>
      </c:catAx>
      <c:valAx>
        <c:axId val="106223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9311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Structure by Market (2022–2024)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'2. Financial statement'!$B$105</c:f>
              <c:strCache>
                <c:ptCount val="1"/>
                <c:pt idx="0">
                  <c:v>International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Financial statement'!$C$104:$E$104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statement'!$C$107:$E$107</c:f>
              <c:numCache>
                <c:formatCode>0.00%</c:formatCode>
                <c:ptCount val="3"/>
                <c:pt idx="0">
                  <c:v>0.30760794455962637</c:v>
                </c:pt>
                <c:pt idx="1">
                  <c:v>0.2473369697940799</c:v>
                </c:pt>
                <c:pt idx="2">
                  <c:v>0.27983385641473751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0E-AF48-B364-AD1EE018183F}"/>
            </c:ext>
          </c:extLst>
        </c:ser>
        <c:ser>
          <c:idx val="2"/>
          <c:order val="1"/>
          <c:tx>
            <c:strRef>
              <c:f>'2. Financial statement'!$B$106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rgbClr val="FBC1F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Financial statement'!$C$104:$E$104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statement'!$C$108:$E$108</c:f>
              <c:numCache>
                <c:formatCode>0.00%</c:formatCode>
                <c:ptCount val="3"/>
                <c:pt idx="0">
                  <c:v>0.69239205544037374</c:v>
                </c:pt>
                <c:pt idx="1">
                  <c:v>0.75266303020592007</c:v>
                </c:pt>
                <c:pt idx="2">
                  <c:v>0.72016614358526243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0E-AF48-B364-AD1EE01818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5"/>
        <c:overlap val="100"/>
        <c:axId val="1237075887"/>
        <c:axId val="1236908495"/>
      </c:barChart>
      <c:catAx>
        <c:axId val="123707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236908495"/>
        <c:crosses val="autoZero"/>
        <c:auto val="1"/>
        <c:lblAlgn val="ctr"/>
        <c:lblOffset val="100"/>
        <c:noMultiLvlLbl val="0"/>
      </c:catAx>
      <c:valAx>
        <c:axId val="123690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23707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Financial statement'!$G$88</c:f>
              <c:strCache>
                <c:ptCount val="1"/>
                <c:pt idx="0">
                  <c:v>Net profit (trillion VND)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9162754303599379E-2"/>
                  <c:y val="-8.46354166666666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3C-CD40-B1B9-2F0EE1B47714}"/>
                </c:ext>
              </c:extLst>
            </c:dLbl>
            <c:dLbl>
              <c:idx val="1"/>
              <c:layout>
                <c:manualLayout>
                  <c:x val="-8.1338028169014157E-2"/>
                  <c:y val="-7.16145833333333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3C-CD40-B1B9-2F0EE1B47714}"/>
                </c:ext>
              </c:extLst>
            </c:dLbl>
            <c:dLbl>
              <c:idx val="2"/>
              <c:layout>
                <c:manualLayout>
                  <c:x val="-7.3513302034428796E-2"/>
                  <c:y val="8.46354166666666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3C-CD40-B1B9-2F0EE1B47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Financial statement'!$H$85:$J$85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statement'!$H$88:$J$88</c:f>
              <c:numCache>
                <c:formatCode>0.000</c:formatCode>
                <c:ptCount val="3"/>
                <c:pt idx="0">
                  <c:v>4.8170557443999999E-2</c:v>
                </c:pt>
                <c:pt idx="1">
                  <c:v>0.248288982544</c:v>
                </c:pt>
                <c:pt idx="2">
                  <c:v>0.52892230716199995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3C-CD40-B1B9-2F0EE1B4771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1963055"/>
        <c:axId val="715589871"/>
      </c:lineChart>
      <c:catAx>
        <c:axId val="1501963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15589871"/>
        <c:crosses val="autoZero"/>
        <c:auto val="1"/>
        <c:lblAlgn val="ctr"/>
        <c:lblOffset val="100"/>
        <c:noMultiLvlLbl val="0"/>
      </c:catAx>
      <c:valAx>
        <c:axId val="71558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50196305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Financial statement'!$G$86</c:f>
              <c:strCache>
                <c:ptCount val="1"/>
                <c:pt idx="0">
                  <c:v>Revenue (trillion VND)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5998463901689739E-2"/>
                  <c:y val="6.47668393782382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035-414E-B118-B22F0D792CDB}"/>
                </c:ext>
              </c:extLst>
            </c:dLbl>
            <c:dLbl>
              <c:idx val="1"/>
              <c:layout>
                <c:manualLayout>
                  <c:x val="-7.2158218125960058E-2"/>
                  <c:y val="7.12435233160622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035-414E-B118-B22F0D792CDB}"/>
                </c:ext>
              </c:extLst>
            </c:dLbl>
            <c:dLbl>
              <c:idx val="2"/>
              <c:layout>
                <c:manualLayout>
                  <c:x val="-7.2158218125960197E-2"/>
                  <c:y val="-5.1813471502590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35-414E-B118-B22F0D792C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Financial statement'!$H$85:$J$85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statement'!$H$86:$J$86</c:f>
              <c:numCache>
                <c:formatCode>0.00</c:formatCode>
                <c:ptCount val="3"/>
                <c:pt idx="0">
                  <c:v>81.189481215098994</c:v>
                </c:pt>
                <c:pt idx="1">
                  <c:v>52.604763167190001</c:v>
                </c:pt>
                <c:pt idx="2">
                  <c:v>66.712547798751004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3C-CD40-B1B9-2F0EE1B4771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1963055"/>
        <c:axId val="715589871"/>
      </c:lineChart>
      <c:catAx>
        <c:axId val="1501963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15589871"/>
        <c:crosses val="autoZero"/>
        <c:auto val="1"/>
        <c:lblAlgn val="ctr"/>
        <c:lblOffset val="100"/>
        <c:noMultiLvlLbl val="0"/>
      </c:catAx>
      <c:valAx>
        <c:axId val="71558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50196305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Financial statement'!$G$98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Financial statement'!$H$85:$J$85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statement'!$H$98:$J$98</c:f>
              <c:numCache>
                <c:formatCode>0.00%</c:formatCode>
                <c:ptCount val="3"/>
                <c:pt idx="0">
                  <c:v>4.6817121484834634E-2</c:v>
                </c:pt>
                <c:pt idx="1">
                  <c:v>4.0455190453539291E-2</c:v>
                </c:pt>
                <c:pt idx="2">
                  <c:v>4.8547819823014482E-2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B3-6041-878F-D78D6D47B24A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22780015"/>
        <c:axId val="1122918799"/>
      </c:lineChart>
      <c:catAx>
        <c:axId val="112278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22918799"/>
        <c:crosses val="autoZero"/>
        <c:auto val="1"/>
        <c:lblAlgn val="ctr"/>
        <c:lblOffset val="100"/>
        <c:noMultiLvlLbl val="0"/>
      </c:catAx>
      <c:valAx>
        <c:axId val="112291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2278001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Cash Flow by Activities (trillion VND) (2022-2024)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Operating Activities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'2. Financial statement'!$B$112:$D$112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statement'!$B$128:$D$128</c:f>
              <c:numCache>
                <c:formatCode>General</c:formatCode>
                <c:ptCount val="3"/>
                <c:pt idx="0">
                  <c:v>1.0720000000000001</c:v>
                </c:pt>
                <c:pt idx="1">
                  <c:v>1.286</c:v>
                </c:pt>
                <c:pt idx="2">
                  <c:v>-1.4510000000000001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7-9143-9058-A693992B3AD8}"/>
            </c:ext>
          </c:extLst>
        </c:ser>
        <c:ser>
          <c:idx val="1"/>
          <c:order val="1"/>
          <c:tx>
            <c:v>Investing Activities</c:v>
          </c:tx>
          <c:spPr>
            <a:solidFill>
              <a:srgbClr val="FFC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'2. Financial statement'!$B$112:$D$112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statement'!$B$137:$D$137</c:f>
              <c:numCache>
                <c:formatCode>General</c:formatCode>
                <c:ptCount val="3"/>
                <c:pt idx="0">
                  <c:v>-7.5999999999999998E-2</c:v>
                </c:pt>
                <c:pt idx="1">
                  <c:v>-0.38800000000000001</c:v>
                </c:pt>
                <c:pt idx="2">
                  <c:v>-0.746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77-9143-9058-A693992B3AD8}"/>
            </c:ext>
          </c:extLst>
        </c:ser>
        <c:ser>
          <c:idx val="2"/>
          <c:order val="2"/>
          <c:tx>
            <c:v>Financing Activities</c:v>
          </c:tx>
          <c:spPr>
            <a:solidFill>
              <a:srgbClr val="50DAF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'2. Financial statement'!$B$112:$D$112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statement'!$B$144:$D$144</c:f>
              <c:numCache>
                <c:formatCode>General</c:formatCode>
                <c:ptCount val="3"/>
                <c:pt idx="0">
                  <c:v>0</c:v>
                </c:pt>
                <c:pt idx="1">
                  <c:v>-0.64200000000000002</c:v>
                </c:pt>
                <c:pt idx="2">
                  <c:v>2.121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77-9143-9058-A693992B3A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70169503"/>
        <c:axId val="1169716479"/>
      </c:barChart>
      <c:catAx>
        <c:axId val="117016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169716479"/>
        <c:crosses val="autoZero"/>
        <c:auto val="1"/>
        <c:lblAlgn val="ctr"/>
        <c:lblOffset val="100"/>
        <c:noMultiLvlLbl val="0"/>
      </c:catAx>
      <c:valAx>
        <c:axId val="1169716479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170169503"/>
        <c:crosses val="autoZero"/>
        <c:crossBetween val="between"/>
      </c:valAx>
      <c:dTable>
        <c:showHorzBorder val="1"/>
        <c:showVertBorder val="1"/>
        <c:showOutline val="1"/>
        <c:showKeys val="0"/>
      </c:dTable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400" b="0" i="0" u="none" strike="noStrike" baseline="0"/>
              <a:t>Working Capital Components (2022-2024)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Receivables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'2. Financial statement'!$B$112:$D$112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statement'!$B$121:$D$121</c:f>
              <c:numCache>
                <c:formatCode>General</c:formatCode>
                <c:ptCount val="3"/>
                <c:pt idx="0">
                  <c:v>1.8260000000000001</c:v>
                </c:pt>
                <c:pt idx="1">
                  <c:v>0.45600000000000002</c:v>
                </c:pt>
                <c:pt idx="2">
                  <c:v>-1.8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FF-F34A-A566-739F05435C59}"/>
            </c:ext>
          </c:extLst>
        </c:ser>
        <c:ser>
          <c:idx val="1"/>
          <c:order val="1"/>
          <c:tx>
            <c:v>Inventories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'2. Financial statement'!$B$112:$D$112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statement'!$B$122:$D$122</c:f>
              <c:numCache>
                <c:formatCode>General</c:formatCode>
                <c:ptCount val="3"/>
                <c:pt idx="0">
                  <c:v>3.0870000000000002</c:v>
                </c:pt>
                <c:pt idx="1">
                  <c:v>-0.50900000000000001</c:v>
                </c:pt>
                <c:pt idx="2">
                  <c:v>-0.188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FF-F34A-A566-739F05435C59}"/>
            </c:ext>
          </c:extLst>
        </c:ser>
        <c:ser>
          <c:idx val="2"/>
          <c:order val="2"/>
          <c:tx>
            <c:v>Payables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'2. Financial statement'!$B$112:$D$112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statement'!$B$123:$D$123</c:f>
              <c:numCache>
                <c:formatCode>General</c:formatCode>
                <c:ptCount val="3"/>
                <c:pt idx="0">
                  <c:v>-3.6779999999999999</c:v>
                </c:pt>
                <c:pt idx="1">
                  <c:v>1.5449999999999999</c:v>
                </c:pt>
                <c:pt idx="2">
                  <c:v>0.27500000000000002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FF-F34A-A566-739F05435C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39130559"/>
        <c:axId val="1239318079"/>
      </c:barChart>
      <c:catAx>
        <c:axId val="133913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239318079"/>
        <c:crosses val="autoZero"/>
        <c:auto val="1"/>
        <c:lblAlgn val="ctr"/>
        <c:lblOffset val="100"/>
        <c:noMultiLvlLbl val="0"/>
      </c:catAx>
      <c:valAx>
        <c:axId val="1239318079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339130559"/>
        <c:crosses val="autoZero"/>
        <c:crossBetween val="between"/>
      </c:valAx>
      <c:dTable>
        <c:showHorzBorder val="1"/>
        <c:showVertBorder val="1"/>
        <c:showOutline val="1"/>
        <c:showKeys val="0"/>
      </c:dTable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V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'2. Financial statement'!$A$128</c:f>
              <c:strCache>
                <c:ptCount val="1"/>
                <c:pt idx="0">
                  <c:v>Net Cash Flows from Operating Activities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Financial statement'!$B$112:$D$112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statement'!$B$128:$D$128</c:f>
              <c:numCache>
                <c:formatCode>General</c:formatCode>
                <c:ptCount val="3"/>
                <c:pt idx="0">
                  <c:v>1.0720000000000001</c:v>
                </c:pt>
                <c:pt idx="1">
                  <c:v>1.286</c:v>
                </c:pt>
                <c:pt idx="2">
                  <c:v>-1.4510000000000001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7A-3341-AEBE-721BD21DC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4216047"/>
        <c:axId val="1978099087"/>
      </c:lineChart>
      <c:catAx>
        <c:axId val="117421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978099087"/>
        <c:crosses val="autoZero"/>
        <c:auto val="1"/>
        <c:lblAlgn val="ctr"/>
        <c:lblOffset val="100"/>
        <c:noMultiLvlLbl val="0"/>
      </c:catAx>
      <c:valAx>
        <c:axId val="197809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7421604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Investment Components (2022-2024)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Fixed Assets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Financial statement'!$B$112:$D$112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statement'!$B$131:$D$131</c:f>
              <c:numCache>
                <c:formatCode>General</c:formatCode>
                <c:ptCount val="3"/>
                <c:pt idx="0">
                  <c:v>-0.32900000000000001</c:v>
                </c:pt>
                <c:pt idx="1">
                  <c:v>-0.17899999999999999</c:v>
                </c:pt>
                <c:pt idx="2">
                  <c:v>-0.56100000000000005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F-7046-AC17-5AE906A113C9}"/>
            </c:ext>
          </c:extLst>
        </c:ser>
        <c:ser>
          <c:idx val="1"/>
          <c:order val="1"/>
          <c:tx>
            <c:v>Disposal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Financial statement'!$B$112:$D$112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statement'!$B$132:$D$132</c:f>
              <c:numCache>
                <c:formatCode>General</c:formatCode>
                <c:ptCount val="3"/>
                <c:pt idx="0">
                  <c:v>2.4E-2</c:v>
                </c:pt>
                <c:pt idx="1">
                  <c:v>3.4000000000000002E-2</c:v>
                </c:pt>
                <c:pt idx="2">
                  <c:v>3.6999999999999998E-2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0F-7046-AC17-5AE906A113C9}"/>
            </c:ext>
          </c:extLst>
        </c:ser>
        <c:ser>
          <c:idx val="2"/>
          <c:order val="2"/>
          <c:tx>
            <c:v>Loans &amp; Deposits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Financial statement'!$B$112:$D$112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statement'!$B$133:$D$133</c:f>
              <c:numCache>
                <c:formatCode>General</c:formatCode>
                <c:ptCount val="3"/>
                <c:pt idx="0">
                  <c:v>-3.0000000000000001E-3</c:v>
                </c:pt>
                <c:pt idx="1">
                  <c:v>-0.13600000000000001</c:v>
                </c:pt>
                <c:pt idx="2">
                  <c:v>-0.28799999999999998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0F-7046-AC17-5AE906A113C9}"/>
            </c:ext>
          </c:extLst>
        </c:ser>
        <c:ser>
          <c:idx val="3"/>
          <c:order val="3"/>
          <c:tx>
            <c:v>Interest Received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Financial statement'!$B$112:$D$112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statement'!$B$136:$D$136</c:f>
              <c:numCache>
                <c:formatCode>General</c:formatCode>
                <c:ptCount val="3"/>
                <c:pt idx="0">
                  <c:v>0.23100000000000001</c:v>
                </c:pt>
                <c:pt idx="1">
                  <c:v>8.9999999999999993E-3</c:v>
                </c:pt>
                <c:pt idx="2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0F-7046-AC17-5AE906A113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9130559"/>
        <c:axId val="1239318079"/>
      </c:barChart>
      <c:catAx>
        <c:axId val="133913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239318079"/>
        <c:crosses val="autoZero"/>
        <c:auto val="1"/>
        <c:lblAlgn val="ctr"/>
        <c:lblOffset val="100"/>
        <c:noMultiLvlLbl val="0"/>
      </c:catAx>
      <c:valAx>
        <c:axId val="12393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339130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V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'2. Financial statement'!$A$137</c:f>
              <c:strCache>
                <c:ptCount val="1"/>
                <c:pt idx="0">
                  <c:v>Net Cash Flows from Investing Activities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Financial statement'!$B$112:$D$112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'2. Financial statement'!$B$137:$D$137</c:f>
              <c:numCache>
                <c:formatCode>General</c:formatCode>
                <c:ptCount val="3"/>
                <c:pt idx="0">
                  <c:v>-7.5999999999999998E-2</c:v>
                </c:pt>
                <c:pt idx="1">
                  <c:v>-0.38800000000000001</c:v>
                </c:pt>
                <c:pt idx="2">
                  <c:v>-0.746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7A-3341-AEBE-721BD21DCD8B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74216047"/>
        <c:axId val="1978099087"/>
      </c:lineChart>
      <c:catAx>
        <c:axId val="117421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978099087"/>
        <c:crosses val="autoZero"/>
        <c:auto val="1"/>
        <c:lblAlgn val="ctr"/>
        <c:lblOffset val="100"/>
        <c:noMultiLvlLbl val="0"/>
      </c:catAx>
      <c:valAx>
        <c:axId val="197809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7421604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400" b="0" i="0" u="none" strike="noStrike" baseline="0"/>
              <a:t>Financial Components (2023-2024)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 Financial statement'!$A$140</c:f>
              <c:strCache>
                <c:ptCount val="1"/>
                <c:pt idx="0">
                  <c:v>Proceeds from Issuance of Shares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'2. Financial statement'!$C$112:$D$112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'2. Financial statement'!$C$140:$D$140</c:f>
              <c:numCache>
                <c:formatCode>General</c:formatCode>
                <c:ptCount val="2"/>
                <c:pt idx="0">
                  <c:v>0</c:v>
                </c:pt>
                <c:pt idx="1">
                  <c:v>2.1999999999999999E-2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C-6B48-9D35-A994CAA23FE1}"/>
            </c:ext>
          </c:extLst>
        </c:ser>
        <c:ser>
          <c:idx val="1"/>
          <c:order val="1"/>
          <c:tx>
            <c:v>Proceeds from Borrowings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'2. Financial statement'!$C$112:$D$112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'2. Financial statement'!$C$141:$D$141</c:f>
              <c:numCache>
                <c:formatCode>General</c:formatCode>
                <c:ptCount val="2"/>
                <c:pt idx="0">
                  <c:v>21.42</c:v>
                </c:pt>
                <c:pt idx="1">
                  <c:v>31.260999999999999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2C-6B48-9D35-A994CAA23FE1}"/>
            </c:ext>
          </c:extLst>
        </c:ser>
        <c:ser>
          <c:idx val="2"/>
          <c:order val="2"/>
          <c:tx>
            <c:v>Repayment of Borrowings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'2. Financial statement'!$C$112:$D$112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'2. Financial statement'!$C$142:$D$142</c:f>
              <c:numCache>
                <c:formatCode>General</c:formatCode>
                <c:ptCount val="2"/>
                <c:pt idx="0">
                  <c:v>-22.062000000000001</c:v>
                </c:pt>
                <c:pt idx="1">
                  <c:v>-28.853999999999999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2C-6B48-9D35-A994CAA23FE1}"/>
            </c:ext>
          </c:extLst>
        </c:ser>
        <c:ser>
          <c:idx val="3"/>
          <c:order val="3"/>
          <c:tx>
            <c:v>Dividend Payment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'2. Financial statement'!$C$112:$D$112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'2. Financial statement'!$C$143:$D$143</c:f>
              <c:numCache>
                <c:formatCode>General</c:formatCode>
                <c:ptCount val="2"/>
                <c:pt idx="0">
                  <c:v>0</c:v>
                </c:pt>
                <c:pt idx="1">
                  <c:v>-0.308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2C-6B48-9D35-A994CAA23F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339130559"/>
        <c:axId val="1239318079"/>
      </c:barChart>
      <c:catAx>
        <c:axId val="133913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239318079"/>
        <c:crosses val="autoZero"/>
        <c:auto val="1"/>
        <c:lblAlgn val="ctr"/>
        <c:lblOffset val="100"/>
        <c:noMultiLvlLbl val="0"/>
      </c:catAx>
      <c:valAx>
        <c:axId val="1239318079"/>
        <c:scaling>
          <c:orientation val="minMax"/>
        </c:scaling>
        <c:delete val="1"/>
        <c:axPos val="l"/>
        <c:majorGridlines/>
        <c:minorGridlines/>
        <c:numFmt formatCode="General" sourceLinked="1"/>
        <c:majorTickMark val="none"/>
        <c:minorTickMark val="none"/>
        <c:tickLblPos val="nextTo"/>
        <c:crossAx val="1339130559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V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'2. Financial statement'!$A$144</c:f>
              <c:strCache>
                <c:ptCount val="1"/>
                <c:pt idx="0">
                  <c:v>Net Cash Flows from Financing Activities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Financial statement'!$C$112:$D$112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'2. Financial statement'!$C$144:$D$144</c:f>
              <c:numCache>
                <c:formatCode>General</c:formatCode>
                <c:ptCount val="2"/>
                <c:pt idx="0">
                  <c:v>-0.64200000000000002</c:v>
                </c:pt>
                <c:pt idx="1">
                  <c:v>2.121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7A-3341-AEBE-721BD21DCD8B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74216047"/>
        <c:axId val="1978099087"/>
      </c:lineChart>
      <c:catAx>
        <c:axId val="117421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978099087"/>
        <c:crosses val="autoZero"/>
        <c:auto val="1"/>
        <c:lblAlgn val="ctr"/>
        <c:lblOffset val="100"/>
        <c:noMultiLvlLbl val="0"/>
      </c:catAx>
      <c:valAx>
        <c:axId val="197809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7421604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</a:t>
            </a:r>
            <a:r>
              <a:rPr lang="en-US" baseline="0"/>
              <a:t> of NCA and LT funding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 Financing'!$D$46</c:f>
              <c:strCache>
                <c:ptCount val="1"/>
                <c:pt idx="0">
                  <c:v>Non-current 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'3. Financing'!$E$45:$G$45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'3. Financing'!$E$46:$G$46</c:f>
              <c:numCache>
                <c:formatCode>_(* #,##0_);_(* \(#,##0\);_(* "-"??_);_(@_)</c:formatCode>
                <c:ptCount val="3"/>
                <c:pt idx="0">
                  <c:v>5118727087531</c:v>
                </c:pt>
                <c:pt idx="1">
                  <c:v>4924991584484</c:v>
                </c:pt>
                <c:pt idx="2">
                  <c:v>4763897298254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4-4A17-BE40-39D11696E546}"/>
            </c:ext>
          </c:extLst>
        </c:ser>
        <c:ser>
          <c:idx val="1"/>
          <c:order val="1"/>
          <c:tx>
            <c:strRef>
              <c:f>'3. Financing'!$D$47</c:f>
              <c:strCache>
                <c:ptCount val="1"/>
                <c:pt idx="0">
                  <c:v>Long-term funding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'3. Financing'!$E$45:$G$45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'3. Financing'!$E$47:$G$47</c:f>
              <c:numCache>
                <c:formatCode>_(* #,##0_);_(* \(#,##0\);_(* "-"??_);_(@_)</c:formatCode>
                <c:ptCount val="3"/>
                <c:pt idx="0">
                  <c:v>11181361626413</c:v>
                </c:pt>
                <c:pt idx="1">
                  <c:v>11296186786642</c:v>
                </c:pt>
                <c:pt idx="2">
                  <c:v>11446930495508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54-4A17-BE40-39D11696E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8878368"/>
        <c:axId val="1718874048"/>
      </c:barChart>
      <c:catAx>
        <c:axId val="171887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718874048"/>
        <c:crosses val="autoZero"/>
        <c:auto val="1"/>
        <c:lblAlgn val="ctr"/>
        <c:lblOffset val="100"/>
        <c:noMultiLvlLbl val="0"/>
      </c:catAx>
      <c:valAx>
        <c:axId val="171887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7188783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Working</a:t>
            </a:r>
            <a:r>
              <a:rPr lang="en-US" baseline="0"/>
              <a:t> Capital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Financing'!$J$46</c:f>
              <c:strCache>
                <c:ptCount val="1"/>
                <c:pt idx="0">
                  <c:v>WC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'3. Financing'!$K$45:$M$45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'3. Financing'!$K$46:$M$46</c:f>
              <c:numCache>
                <c:formatCode>_(* #,##0_);_(* \(#,##0\);_(* "-"??_);_(@_)</c:formatCode>
                <c:ptCount val="3"/>
                <c:pt idx="0">
                  <c:v>6062634538882</c:v>
                </c:pt>
                <c:pt idx="1">
                  <c:v>6371195202158</c:v>
                </c:pt>
                <c:pt idx="2">
                  <c:v>6683033197254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AB-4057-88DE-424FF264FAC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07673200"/>
        <c:axId val="1707651600"/>
      </c:lineChart>
      <c:catAx>
        <c:axId val="170767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707651600"/>
        <c:crosses val="autoZero"/>
        <c:auto val="1"/>
        <c:lblAlgn val="ctr"/>
        <c:lblOffset val="100"/>
        <c:noMultiLvlLbl val="0"/>
      </c:catAx>
      <c:valAx>
        <c:axId val="170765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7076732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Financing'!$D$87</c:f>
              <c:strCache>
                <c:ptCount val="1"/>
                <c:pt idx="0">
                  <c:v>ROC = EBIT/ Averaged Capital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'3. Financing'!$E$86:$G$86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'3. Financing'!$E$87:$G$87</c:f>
              <c:numCache>
                <c:formatCode>0.00%</c:formatCode>
                <c:ptCount val="3"/>
                <c:pt idx="0">
                  <c:v>2.0070527589507555E-2</c:v>
                </c:pt>
                <c:pt idx="1">
                  <c:v>4.393599220822568E-2</c:v>
                </c:pt>
                <c:pt idx="2">
                  <c:v>5.5784553602146451E-2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69-47BF-9688-473E44DC869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08031711"/>
        <c:axId val="1608030271"/>
      </c:lineChart>
      <c:catAx>
        <c:axId val="160803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608030271"/>
        <c:crosses val="autoZero"/>
        <c:auto val="1"/>
        <c:lblAlgn val="ctr"/>
        <c:lblOffset val="100"/>
        <c:noMultiLvlLbl val="0"/>
      </c:catAx>
      <c:valAx>
        <c:axId val="160803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608031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ROE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Financing'!$L$80</c:f>
              <c:strCache>
                <c:ptCount val="1"/>
                <c:pt idx="0">
                  <c:v> ROE= NI/ averaged OE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'3. Financing'!$M$79:$O$79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'3. Financing'!$M$80:$O$80</c:f>
              <c:numCache>
                <c:formatCode>0.00%</c:formatCode>
                <c:ptCount val="3"/>
                <c:pt idx="0">
                  <c:v>4.2845352566035742E-3</c:v>
                </c:pt>
                <c:pt idx="1">
                  <c:v>2.1971890568715447E-2</c:v>
                </c:pt>
                <c:pt idx="2">
                  <c:v>4.6495350378238418E-2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0F-4334-9045-C64CFC0F8BB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1750271"/>
        <c:axId val="31758431"/>
      </c:lineChart>
      <c:catAx>
        <c:axId val="3175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1758431"/>
        <c:crosses val="autoZero"/>
        <c:auto val="1"/>
        <c:lblAlgn val="ctr"/>
        <c:lblOffset val="100"/>
        <c:noMultiLvlLbl val="0"/>
      </c:catAx>
      <c:valAx>
        <c:axId val="3175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175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2.xml"/><Relationship Id="rId18" Type="http://schemas.openxmlformats.org/officeDocument/2006/relationships/customXml" Target="../ink/ink3.xml"/><Relationship Id="rId3" Type="http://schemas.openxmlformats.org/officeDocument/2006/relationships/image" Target="../media/image1.png"/><Relationship Id="rId21" Type="http://schemas.openxmlformats.org/officeDocument/2006/relationships/image" Target="../media/image11.png"/><Relationship Id="rId7" Type="http://schemas.openxmlformats.org/officeDocument/2006/relationships/image" Target="../media/image4.png"/><Relationship Id="rId17" Type="http://schemas.openxmlformats.org/officeDocument/2006/relationships/image" Target="../media/image9.png"/><Relationship Id="rId2" Type="http://schemas.openxmlformats.org/officeDocument/2006/relationships/chart" Target="../charts/chart25.xml"/><Relationship Id="rId20" Type="http://schemas.openxmlformats.org/officeDocument/2006/relationships/customXml" Target="../ink/ink4.xml"/><Relationship Id="rId1" Type="http://schemas.openxmlformats.org/officeDocument/2006/relationships/chart" Target="../charts/chart24.xml"/><Relationship Id="rId6" Type="http://schemas.openxmlformats.org/officeDocument/2006/relationships/customXml" Target="../ink/ink1.xml"/><Relationship Id="rId5" Type="http://schemas.openxmlformats.org/officeDocument/2006/relationships/image" Target="../media/image3.png"/><Relationship Id="rId23" Type="http://schemas.openxmlformats.org/officeDocument/2006/relationships/chart" Target="../charts/chart27.xml"/><Relationship Id="rId19" Type="http://schemas.openxmlformats.org/officeDocument/2006/relationships/image" Target="../media/image10.png"/><Relationship Id="rId4" Type="http://schemas.openxmlformats.org/officeDocument/2006/relationships/image" Target="../media/image2.png"/><Relationship Id="rId22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267801</xdr:colOff>
      <xdr:row>0</xdr:row>
      <xdr:rowOff>126329</xdr:rowOff>
    </xdr:from>
    <xdr:to>
      <xdr:col>11</xdr:col>
      <xdr:colOff>515188</xdr:colOff>
      <xdr:row>13</xdr:row>
      <xdr:rowOff>71887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F82BFA-DC6B-A200-03A1-B92E3F6CB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662411</xdr:colOff>
      <xdr:row>0</xdr:row>
      <xdr:rowOff>134668</xdr:rowOff>
    </xdr:from>
    <xdr:to>
      <xdr:col>16</xdr:col>
      <xdr:colOff>71885</xdr:colOff>
      <xdr:row>13</xdr:row>
      <xdr:rowOff>59906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180CB9-963F-21B5-1DB8-19F8DD2E7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131409</xdr:colOff>
      <xdr:row>15</xdr:row>
      <xdr:rowOff>113294</xdr:rowOff>
    </xdr:from>
    <xdr:to>
      <xdr:col>10</xdr:col>
      <xdr:colOff>271636</xdr:colOff>
      <xdr:row>32</xdr:row>
      <xdr:rowOff>119812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1DF1E3-E3E4-080D-7B98-046B285EB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578100</xdr:colOff>
      <xdr:row>16</xdr:row>
      <xdr:rowOff>48178</xdr:rowOff>
    </xdr:from>
    <xdr:to>
      <xdr:col>13</xdr:col>
      <xdr:colOff>711297</xdr:colOff>
      <xdr:row>33</xdr:row>
      <xdr:rowOff>33067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6FDE3C-2E17-D6D5-B2E9-312093D403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315791</xdr:colOff>
      <xdr:row>16</xdr:row>
      <xdr:rowOff>34091</xdr:rowOff>
    </xdr:from>
    <xdr:to>
      <xdr:col>17</xdr:col>
      <xdr:colOff>441961</xdr:colOff>
      <xdr:row>33</xdr:row>
      <xdr:rowOff>6997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AF9D84-75FC-1555-1B0E-802EEFCB5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337117</xdr:colOff>
      <xdr:row>33</xdr:row>
      <xdr:rowOff>119254</xdr:rowOff>
    </xdr:from>
    <xdr:to>
      <xdr:col>10</xdr:col>
      <xdr:colOff>467263</xdr:colOff>
      <xdr:row>50</xdr:row>
      <xdr:rowOff>131793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FC4E049-2385-763A-8271-A51B2ECCB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431294</xdr:colOff>
      <xdr:row>33</xdr:row>
      <xdr:rowOff>45468</xdr:rowOff>
    </xdr:from>
    <xdr:to>
      <xdr:col>13</xdr:col>
      <xdr:colOff>599057</xdr:colOff>
      <xdr:row>50</xdr:row>
      <xdr:rowOff>47926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5DC5BBE-3F59-9E14-8984-FD969B83F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453577</xdr:colOff>
      <xdr:row>33</xdr:row>
      <xdr:rowOff>163380</xdr:rowOff>
    </xdr:from>
    <xdr:to>
      <xdr:col>17</xdr:col>
      <xdr:colOff>611035</xdr:colOff>
      <xdr:row>50</xdr:row>
      <xdr:rowOff>167736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2C076D2-90D5-B04D-D298-52DE7B63F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205632</xdr:colOff>
      <xdr:row>51</xdr:row>
      <xdr:rowOff>155773</xdr:rowOff>
    </xdr:from>
    <xdr:to>
      <xdr:col>17</xdr:col>
      <xdr:colOff>567764</xdr:colOff>
      <xdr:row>64</xdr:row>
      <xdr:rowOff>239058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1ECBA1C-03DF-FE43-5BF0-C0DE9E80C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463868</xdr:colOff>
      <xdr:row>64</xdr:row>
      <xdr:rowOff>313763</xdr:rowOff>
    </xdr:from>
    <xdr:to>
      <xdr:col>17</xdr:col>
      <xdr:colOff>567765</xdr:colOff>
      <xdr:row>81</xdr:row>
      <xdr:rowOff>194234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6DB18D0-2F53-937F-A3C7-A795FA447F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283147</xdr:colOff>
      <xdr:row>67</xdr:row>
      <xdr:rowOff>193405</xdr:rowOff>
    </xdr:from>
    <xdr:to>
      <xdr:col>10</xdr:col>
      <xdr:colOff>268940</xdr:colOff>
      <xdr:row>81</xdr:row>
      <xdr:rowOff>179294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27C0687-EBE9-EA92-B6DE-C27C67846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309880</xdr:colOff>
      <xdr:row>84</xdr:row>
      <xdr:rowOff>60960</xdr:rowOff>
    </xdr:from>
    <xdr:to>
      <xdr:col>14</xdr:col>
      <xdr:colOff>294640</xdr:colOff>
      <xdr:row>96</xdr:row>
      <xdr:rowOff>30480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848D62D-0DE5-5F96-2DD5-E2412E11A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1061720</xdr:colOff>
      <xdr:row>98</xdr:row>
      <xdr:rowOff>172720</xdr:rowOff>
    </xdr:from>
    <xdr:to>
      <xdr:col>10</xdr:col>
      <xdr:colOff>41868</xdr:colOff>
      <xdr:row>108</xdr:row>
      <xdr:rowOff>195385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E53A869-BAEF-35AD-6575-754CADC52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431800</xdr:colOff>
      <xdr:row>96</xdr:row>
      <xdr:rowOff>172720</xdr:rowOff>
    </xdr:from>
    <xdr:to>
      <xdr:col>18</xdr:col>
      <xdr:colOff>386080</xdr:colOff>
      <xdr:row>106</xdr:row>
      <xdr:rowOff>172720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9CEBE2E-67BE-1B50-77CC-12FDFC6BB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299720</xdr:colOff>
      <xdr:row>96</xdr:row>
      <xdr:rowOff>172720</xdr:rowOff>
    </xdr:from>
    <xdr:to>
      <xdr:col>14</xdr:col>
      <xdr:colOff>314960</xdr:colOff>
      <xdr:row>106</xdr:row>
      <xdr:rowOff>182880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7C8ADDA-7E40-382F-22CE-861C312FC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416560</xdr:colOff>
      <xdr:row>84</xdr:row>
      <xdr:rowOff>40640</xdr:rowOff>
    </xdr:from>
    <xdr:to>
      <xdr:col>18</xdr:col>
      <xdr:colOff>365760</xdr:colOff>
      <xdr:row>96</xdr:row>
      <xdr:rowOff>20320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53A7D580-8C20-8492-DB4C-DB90C8E5C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</xdr:col>
      <xdr:colOff>270933</xdr:colOff>
      <xdr:row>111</xdr:row>
      <xdr:rowOff>16933</xdr:rowOff>
    </xdr:from>
    <xdr:to>
      <xdr:col>8</xdr:col>
      <xdr:colOff>406400</xdr:colOff>
      <xdr:row>130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2A9E55A-7444-3241-96A8-D922704236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0</xdr:colOff>
      <xdr:row>111</xdr:row>
      <xdr:rowOff>0</xdr:rowOff>
    </xdr:from>
    <xdr:to>
      <xdr:col>13</xdr:col>
      <xdr:colOff>609600</xdr:colOff>
      <xdr:row>130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E1DDA87-FA50-0C41-938B-9E28FDBF9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14</xdr:col>
      <xdr:colOff>101600</xdr:colOff>
      <xdr:row>111</xdr:row>
      <xdr:rowOff>84666</xdr:rowOff>
    </xdr:from>
    <xdr:to>
      <xdr:col>18</xdr:col>
      <xdr:colOff>558801</xdr:colOff>
      <xdr:row>129</xdr:row>
      <xdr:rowOff>169334</xdr:rowOff>
    </xdr:to>
    <xdr:graphicFrame macro="">
      <xdr:nvGraphicFramePr>
        <xdr:cNvPr id="16" name="Chart 14">
          <a:extLst>
            <a:ext uri="{FF2B5EF4-FFF2-40B4-BE49-F238E27FC236}">
              <a16:creationId xmlns:a16="http://schemas.microsoft.com/office/drawing/2014/main" id="{BEF55E1B-5D91-A844-BBDD-6414C12DC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</xdr:col>
      <xdr:colOff>237067</xdr:colOff>
      <xdr:row>130</xdr:row>
      <xdr:rowOff>169334</xdr:rowOff>
    </xdr:from>
    <xdr:to>
      <xdr:col>8</xdr:col>
      <xdr:colOff>440267</xdr:colOff>
      <xdr:row>148</xdr:row>
      <xdr:rowOff>152400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5689C76-B1A0-2245-95C4-5D10FC89D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</xdr:col>
      <xdr:colOff>846667</xdr:colOff>
      <xdr:row>131</xdr:row>
      <xdr:rowOff>0</xdr:rowOff>
    </xdr:from>
    <xdr:to>
      <xdr:col>12</xdr:col>
      <xdr:colOff>694267</xdr:colOff>
      <xdr:row>148</xdr:row>
      <xdr:rowOff>118534</xdr:rowOff>
    </xdr:to>
    <xdr:graphicFrame macro="">
      <xdr:nvGraphicFramePr>
        <xdr:cNvPr id="24" name="Chart 14">
          <a:extLst>
            <a:ext uri="{FF2B5EF4-FFF2-40B4-BE49-F238E27FC236}">
              <a16:creationId xmlns:a16="http://schemas.microsoft.com/office/drawing/2014/main" id="{7426E598-7F4B-2F8C-7385-E627E59950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</xdr:col>
      <xdr:colOff>220133</xdr:colOff>
      <xdr:row>149</xdr:row>
      <xdr:rowOff>135466</xdr:rowOff>
    </xdr:from>
    <xdr:to>
      <xdr:col>8</xdr:col>
      <xdr:colOff>389467</xdr:colOff>
      <xdr:row>168</xdr:row>
      <xdr:rowOff>67734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A8FF0729-B5C2-4148-ABF4-E3ECD1A0B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</xdr:col>
      <xdr:colOff>863600</xdr:colOff>
      <xdr:row>149</xdr:row>
      <xdr:rowOff>169333</xdr:rowOff>
    </xdr:from>
    <xdr:to>
      <xdr:col>12</xdr:col>
      <xdr:colOff>711200</xdr:colOff>
      <xdr:row>167</xdr:row>
      <xdr:rowOff>135467</xdr:rowOff>
    </xdr:to>
    <xdr:graphicFrame macro="">
      <xdr:nvGraphicFramePr>
        <xdr:cNvPr id="26" name="Chart 14">
          <a:extLst>
            <a:ext uri="{FF2B5EF4-FFF2-40B4-BE49-F238E27FC236}">
              <a16:creationId xmlns:a16="http://schemas.microsoft.com/office/drawing/2014/main" id="{77BF8247-4596-0F4B-BC37-90064E89E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430280</xdr:colOff>
      <xdr:row>48</xdr:row>
      <xdr:rowOff>131718</xdr:rowOff>
    </xdr:from>
    <xdr:to>
      <xdr:col>6</xdr:col>
      <xdr:colOff>591258</xdr:colOff>
      <xdr:row>62</xdr:row>
      <xdr:rowOff>27221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CF7F5F-F2B1-2044-EF9D-8B062016C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65216</xdr:colOff>
      <xdr:row>46</xdr:row>
      <xdr:rowOff>121509</xdr:rowOff>
    </xdr:from>
    <xdr:to>
      <xdr:col>12</xdr:col>
      <xdr:colOff>1149865</xdr:colOff>
      <xdr:row>61</xdr:row>
      <xdr:rowOff>153087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A8B5B5-5834-E140-FDEB-0FA3DAE26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1351221</xdr:colOff>
      <xdr:row>101</xdr:row>
      <xdr:rowOff>132907</xdr:rowOff>
    </xdr:from>
    <xdr:to>
      <xdr:col>22</xdr:col>
      <xdr:colOff>1443</xdr:colOff>
      <xdr:row>107</xdr:row>
      <xdr:rowOff>178537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01319D3-DD84-C578-96DB-055B75239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18023" y="24558256"/>
          <a:ext cx="4070941" cy="1716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158749</xdr:colOff>
      <xdr:row>109</xdr:row>
      <xdr:rowOff>33965</xdr:rowOff>
    </xdr:from>
    <xdr:to>
      <xdr:col>20</xdr:col>
      <xdr:colOff>2978</xdr:colOff>
      <xdr:row>128</xdr:row>
      <xdr:rowOff>64807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E72C2D-7A8C-492E-B8FD-ACCC3DAD3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323020" y="25182611"/>
          <a:ext cx="5935419" cy="3549801"/>
        </a:xfrm>
        <a:prstGeom prst="rect">
          <a:avLst/>
        </a:prstGeom>
      </xdr:spPr>
    </xdr:pic>
    <xdr:clientData/>
  </xdr:twoCellAnchor>
  <xdr:twoCellAnchor editAs="oneCell">
    <xdr:from>
      <xdr:col>20</xdr:col>
      <xdr:colOff>1401032</xdr:colOff>
      <xdr:row>111</xdr:row>
      <xdr:rowOff>124770</xdr:rowOff>
    </xdr:from>
    <xdr:to>
      <xdr:col>22</xdr:col>
      <xdr:colOff>630</xdr:colOff>
      <xdr:row>138</xdr:row>
      <xdr:rowOff>64878</xdr:rowOff>
    </xdr:to>
    <xdr:pic>
      <xdr:nvPicPr>
        <xdr:cNvPr id="6" name="Picture 5" descr="Why Moody’s downgraded India’s rating? - INSIGHTS IAS - Simplifying ...">
          <a:extLst>
            <a:ext uri="{FF2B5EF4-FFF2-40B4-BE49-F238E27FC236}">
              <a16:creationId xmlns:a16="http://schemas.microsoft.com/office/drawing/2014/main" id="{58AEFC0F-A100-4F2D-9142-7096B4521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59048" y="25383659"/>
          <a:ext cx="3623807" cy="4838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1101584</xdr:colOff>
      <xdr:row>117</xdr:row>
      <xdr:rowOff>18127</xdr:rowOff>
    </xdr:from>
    <xdr:to>
      <xdr:col>20</xdr:col>
      <xdr:colOff>91952</xdr:colOff>
      <xdr:row>117</xdr:row>
      <xdr:rowOff>18847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99EF5000-6F51-4D73-C4F2-C694D3315033}"/>
                </a:ext>
              </a:extLst>
            </xdr14:cNvPr>
            <xdr14:cNvContentPartPr/>
          </xdr14:nvContentPartPr>
          <xdr14:nvPr macro=""/>
          <xdr14:xfrm>
            <a:off x="27024525" y="26930921"/>
            <a:ext cx="1401480" cy="7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99EF5000-6F51-4D73-C4F2-C694D331503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6970525" y="26714921"/>
              <a:ext cx="1509120" cy="43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678254</xdr:colOff>
      <xdr:row>119</xdr:row>
      <xdr:rowOff>86871</xdr:rowOff>
    </xdr:from>
    <xdr:to>
      <xdr:col>20</xdr:col>
      <xdr:colOff>163482</xdr:colOff>
      <xdr:row>119</xdr:row>
      <xdr:rowOff>112071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08A99FC8-BD22-3870-CFE9-38AD76DA4FAF}"/>
                </a:ext>
              </a:extLst>
            </xdr14:cNvPr>
            <xdr14:cNvContentPartPr/>
          </xdr14:nvContentPartPr>
          <xdr14:nvPr macro=""/>
          <xdr14:xfrm>
            <a:off x="26601195" y="27373195"/>
            <a:ext cx="1731240" cy="2520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08A99FC8-BD22-3870-CFE9-38AD76DA4FA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6547195" y="27265195"/>
              <a:ext cx="1838880" cy="24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609854</xdr:colOff>
      <xdr:row>116</xdr:row>
      <xdr:rowOff>136326</xdr:rowOff>
    </xdr:from>
    <xdr:to>
      <xdr:col>19</xdr:col>
      <xdr:colOff>399</xdr:colOff>
      <xdr:row>116</xdr:row>
      <xdr:rowOff>143166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24F96A3C-842E-1C8D-26DE-F39025EA6F4E}"/>
                </a:ext>
              </a:extLst>
            </xdr14:cNvPr>
            <xdr14:cNvContentPartPr/>
          </xdr14:nvContentPartPr>
          <xdr14:nvPr macro=""/>
          <xdr14:xfrm>
            <a:off x="26532795" y="26862355"/>
            <a:ext cx="1181520" cy="684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24F96A3C-842E-1C8D-26DE-F39025EA6F4E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6479155" y="26754715"/>
              <a:ext cx="1289160" cy="22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678254</xdr:colOff>
      <xdr:row>121</xdr:row>
      <xdr:rowOff>43102</xdr:rowOff>
    </xdr:from>
    <xdr:to>
      <xdr:col>20</xdr:col>
      <xdr:colOff>126402</xdr:colOff>
      <xdr:row>121</xdr:row>
      <xdr:rowOff>43822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A04BB6D5-B028-BB91-DA23-0D0EF3450822}"/>
                </a:ext>
              </a:extLst>
            </xdr14:cNvPr>
            <xdr14:cNvContentPartPr/>
          </xdr14:nvContentPartPr>
          <xdr14:nvPr macro=""/>
          <xdr14:xfrm>
            <a:off x="26601195" y="27702955"/>
            <a:ext cx="1694160" cy="72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A04BB6D5-B028-BB91-DA23-0D0EF3450822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6547195" y="27486955"/>
              <a:ext cx="1801800" cy="432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22</xdr:col>
      <xdr:colOff>320199</xdr:colOff>
      <xdr:row>71</xdr:row>
      <xdr:rowOff>128492</xdr:rowOff>
    </xdr:from>
    <xdr:to>
      <xdr:col>25</xdr:col>
      <xdr:colOff>1577088</xdr:colOff>
      <xdr:row>86</xdr:row>
      <xdr:rowOff>66466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5BD7A152-44DA-70B1-DE64-4EAC5D53F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28</xdr:col>
      <xdr:colOff>11697</xdr:colOff>
      <xdr:row>71</xdr:row>
      <xdr:rowOff>149058</xdr:rowOff>
    </xdr:from>
    <xdr:to>
      <xdr:col>33</xdr:col>
      <xdr:colOff>573171</xdr:colOff>
      <xdr:row>86</xdr:row>
      <xdr:rowOff>135021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11F0FD58-9A42-EAE8-EF6F-559D4A5E7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8:55:43.740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29 0,'4691'0'0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8:58:34.763"/>
    </inkml:context>
    <inkml:brush xml:id="br0">
      <inkml:brushProperty name="width" value="0.3" units="cm"/>
      <inkml:brushProperty name="height" value="0.6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0 0,'6066'69'0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28T08:58:41.645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19,'1447'0,"-1352"-9,0 0,292 9,-376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8:58:48.480"/>
    </inkml:context>
    <inkml:brush xml:id="br0">
      <inkml:brushProperty name="width" value="0.3" units="cm"/>
      <inkml:brushProperty name="height" value="0.6" units="cm"/>
      <inkml:brushProperty name="color" value="#FF40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11 0,'5963'0'0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58B4D-8BF0-774D-83E0-1815EF0996D8}" name="Table1" displayName="Table1" ref="A1:H65" totalsRowShown="0">
  <autoFilter ref="A1:H65" xr:uid="{C8258B4D-8BF0-774D-83E0-1815EF0996D8}"/>
  <tableColumns count="8">
    <tableColumn id="1" xr3:uid="{3438DBAF-0569-4845-BEE1-62F7AA2EC4D8}" name="Column1"/>
    <tableColumn id="2" xr3:uid="{C2B6A554-8506-0644-8E3A-31FDF4DA0BAC}" name="Column2"/>
    <tableColumn id="3" xr3:uid="{2B1B7EF9-665E-E44B-AB92-9C98C0273126}" name="Column3"/>
    <tableColumn id="4" xr3:uid="{6B14FF29-8A1C-6E45-BE1E-7330E8304DF6}" name="Column4"/>
    <tableColumn id="5" xr3:uid="{E9DC3910-359D-CD49-937C-18B7EB617B13}" name="Column5"/>
    <tableColumn id="6" xr3:uid="{B098E8E9-73B0-3743-9A29-109B294B819E}" name="Column6"/>
    <tableColumn id="7" xr3:uid="{9BA8D3B1-5BCF-4015-9FFA-0F7D6840F586}" name="Column7"/>
    <tableColumn id="8" xr3:uid="{E492E749-6BCC-4E5A-A878-A9F65DB19531}" name="Column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A9ED-F679-4BEC-9B35-11308E3037EE}">
  <dimension ref="A1:H65"/>
  <sheetViews>
    <sheetView zoomScale="58" workbookViewId="0">
      <selection activeCell="C55" sqref="C55"/>
    </sheetView>
  </sheetViews>
  <sheetFormatPr defaultColWidth="8.85546875" defaultRowHeight="14.45"/>
  <cols>
    <col min="1" max="1" width="10.42578125" customWidth="1"/>
    <col min="2" max="2" width="35.42578125" bestFit="1" customWidth="1"/>
    <col min="3" max="3" width="32.85546875" bestFit="1" customWidth="1"/>
    <col min="4" max="6" width="19.85546875" bestFit="1" customWidth="1"/>
    <col min="7" max="7" width="18.42578125" bestFit="1" customWidth="1"/>
    <col min="8" max="8" width="17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 t="s">
        <v>11</v>
      </c>
      <c r="F2" t="s">
        <v>12</v>
      </c>
    </row>
    <row r="3" spans="1:8">
      <c r="A3" s="2">
        <v>100</v>
      </c>
      <c r="B3" s="4" t="s">
        <v>13</v>
      </c>
      <c r="C3" s="4" t="s">
        <v>14</v>
      </c>
      <c r="D3" s="5">
        <v>12258434228464</v>
      </c>
      <c r="E3" s="5">
        <v>13186804684705</v>
      </c>
      <c r="F3" s="5">
        <v>15547886617815</v>
      </c>
    </row>
    <row r="4" spans="1:8">
      <c r="A4" s="2">
        <v>110</v>
      </c>
      <c r="B4" s="4" t="s">
        <v>15</v>
      </c>
      <c r="C4" s="4" t="s">
        <v>16</v>
      </c>
      <c r="D4" s="5">
        <v>242815476591</v>
      </c>
      <c r="E4" s="5">
        <v>501386999566</v>
      </c>
      <c r="F4" s="5">
        <v>427778817941</v>
      </c>
    </row>
    <row r="5" spans="1:8">
      <c r="A5">
        <v>111</v>
      </c>
      <c r="B5" s="1" t="s">
        <v>17</v>
      </c>
      <c r="C5" s="1" t="s">
        <v>18</v>
      </c>
      <c r="D5" s="3">
        <v>242065476591</v>
      </c>
      <c r="E5" s="3">
        <v>500636999566</v>
      </c>
      <c r="F5" s="3">
        <v>426922790174</v>
      </c>
    </row>
    <row r="6" spans="1:8">
      <c r="A6">
        <v>112</v>
      </c>
      <c r="B6" s="1" t="s">
        <v>19</v>
      </c>
      <c r="C6" s="1" t="s">
        <v>20</v>
      </c>
      <c r="D6" s="3">
        <v>750000000</v>
      </c>
      <c r="E6" s="3">
        <v>750000000</v>
      </c>
      <c r="F6" s="3">
        <v>856027767</v>
      </c>
    </row>
    <row r="7" spans="1:8">
      <c r="A7" s="2">
        <v>120</v>
      </c>
      <c r="B7" s="4" t="s">
        <v>21</v>
      </c>
      <c r="C7" s="4" t="s">
        <v>22</v>
      </c>
      <c r="D7" s="5">
        <v>5000000000</v>
      </c>
      <c r="E7" s="5">
        <v>20560958904</v>
      </c>
      <c r="F7" s="5">
        <v>21278737672</v>
      </c>
    </row>
    <row r="8" spans="1:8">
      <c r="A8">
        <v>123</v>
      </c>
      <c r="B8" s="1" t="s">
        <v>23</v>
      </c>
      <c r="C8" s="1" t="s">
        <v>24</v>
      </c>
      <c r="D8" s="3">
        <v>5000000000</v>
      </c>
      <c r="E8" s="3">
        <v>20560958904</v>
      </c>
      <c r="F8" s="3">
        <v>21278737672</v>
      </c>
    </row>
    <row r="9" spans="1:8">
      <c r="A9" s="2">
        <v>130</v>
      </c>
      <c r="B9" s="4" t="s">
        <v>25</v>
      </c>
      <c r="C9" s="4" t="s">
        <v>26</v>
      </c>
      <c r="D9" s="5">
        <v>8315127736295</v>
      </c>
      <c r="E9" s="5">
        <v>8405245948063</v>
      </c>
      <c r="F9" s="5">
        <v>10613408098640</v>
      </c>
    </row>
    <row r="10" spans="1:8">
      <c r="A10">
        <v>131</v>
      </c>
      <c r="B10" s="1" t="s">
        <v>27</v>
      </c>
      <c r="C10" s="1" t="s">
        <v>28</v>
      </c>
      <c r="D10" s="3">
        <v>7934070297881</v>
      </c>
      <c r="E10" s="3">
        <v>7416195465814</v>
      </c>
      <c r="F10" s="3">
        <v>9337308709135</v>
      </c>
    </row>
    <row r="11" spans="1:8">
      <c r="A11">
        <v>132</v>
      </c>
      <c r="B11" s="1" t="s">
        <v>29</v>
      </c>
      <c r="C11" s="1" t="s">
        <v>30</v>
      </c>
      <c r="D11" s="3">
        <v>95559044734</v>
      </c>
      <c r="E11" s="3">
        <v>26549614993</v>
      </c>
      <c r="F11" s="3">
        <v>535694209756</v>
      </c>
    </row>
    <row r="12" spans="1:8">
      <c r="A12">
        <v>135</v>
      </c>
      <c r="B12" s="1" t="s">
        <v>31</v>
      </c>
      <c r="C12" s="1" t="s">
        <v>32</v>
      </c>
      <c r="D12" s="3" t="s">
        <v>33</v>
      </c>
      <c r="E12" s="3">
        <v>118500000000</v>
      </c>
      <c r="F12" s="3">
        <v>374000000000</v>
      </c>
    </row>
    <row r="13" spans="1:8">
      <c r="A13">
        <v>136</v>
      </c>
      <c r="B13" s="1" t="s">
        <v>34</v>
      </c>
      <c r="C13" s="1" t="s">
        <v>35</v>
      </c>
      <c r="D13" s="3">
        <v>299205562269</v>
      </c>
      <c r="E13" s="3">
        <v>854774675210</v>
      </c>
      <c r="F13" s="3">
        <v>366833818035</v>
      </c>
    </row>
    <row r="14" spans="1:8" s="2" customFormat="1">
      <c r="A14">
        <v>137</v>
      </c>
      <c r="B14" s="1" t="s">
        <v>36</v>
      </c>
      <c r="C14" s="1" t="s">
        <v>37</v>
      </c>
      <c r="D14" s="3">
        <v>-13707168589</v>
      </c>
      <c r="E14" s="3">
        <v>-10773807954</v>
      </c>
      <c r="F14" s="3">
        <v>-428638286</v>
      </c>
    </row>
    <row r="15" spans="1:8">
      <c r="A15" s="2">
        <v>140</v>
      </c>
      <c r="B15" s="4" t="s">
        <v>38</v>
      </c>
      <c r="C15" s="4" t="s">
        <v>39</v>
      </c>
      <c r="D15" s="5">
        <v>3185372278891</v>
      </c>
      <c r="E15" s="5">
        <v>3749491109277</v>
      </c>
      <c r="F15" s="5">
        <v>3943145442782</v>
      </c>
    </row>
    <row r="16" spans="1:8">
      <c r="A16">
        <v>141</v>
      </c>
      <c r="B16" s="1" t="s">
        <v>38</v>
      </c>
      <c r="C16" s="1" t="s">
        <v>40</v>
      </c>
      <c r="D16" s="3">
        <v>3377955693089</v>
      </c>
      <c r="E16" s="3">
        <v>3876500070101</v>
      </c>
      <c r="F16" s="3">
        <v>4064994260176</v>
      </c>
    </row>
    <row r="17" spans="1:6">
      <c r="A17">
        <v>149</v>
      </c>
      <c r="B17" s="1" t="s">
        <v>41</v>
      </c>
      <c r="C17" s="1" t="s">
        <v>42</v>
      </c>
      <c r="D17" s="3">
        <v>-192583414198</v>
      </c>
      <c r="E17" s="3">
        <v>-127008960824</v>
      </c>
      <c r="F17" s="3">
        <v>-121848817394</v>
      </c>
    </row>
    <row r="18" spans="1:6">
      <c r="A18" s="2">
        <v>150</v>
      </c>
      <c r="B18" s="2" t="s">
        <v>43</v>
      </c>
      <c r="C18" s="2" t="s">
        <v>44</v>
      </c>
      <c r="D18" s="5">
        <v>510118736687</v>
      </c>
      <c r="E18" s="5">
        <v>510119668895</v>
      </c>
      <c r="F18" s="5">
        <v>542275520780</v>
      </c>
    </row>
    <row r="19" spans="1:6">
      <c r="A19">
        <v>151</v>
      </c>
      <c r="B19" t="s">
        <v>45</v>
      </c>
      <c r="C19" t="s">
        <v>46</v>
      </c>
      <c r="D19" s="3">
        <v>94748267020</v>
      </c>
      <c r="E19" s="3">
        <v>96483062965</v>
      </c>
      <c r="F19" s="3">
        <v>86974686528</v>
      </c>
    </row>
    <row r="20" spans="1:6">
      <c r="A20">
        <v>152</v>
      </c>
      <c r="B20" t="s">
        <v>47</v>
      </c>
      <c r="C20" t="s">
        <v>48</v>
      </c>
      <c r="D20" s="3">
        <v>286790842330</v>
      </c>
      <c r="E20" s="3">
        <v>285106020138</v>
      </c>
      <c r="F20" s="3">
        <v>326902155004</v>
      </c>
    </row>
    <row r="21" spans="1:6">
      <c r="A21">
        <v>153</v>
      </c>
      <c r="B21" t="s">
        <v>49</v>
      </c>
      <c r="C21" t="s">
        <v>50</v>
      </c>
      <c r="D21" s="3">
        <v>128579627337</v>
      </c>
      <c r="E21" s="3">
        <v>128530585792</v>
      </c>
      <c r="F21" s="3">
        <v>128398679248</v>
      </c>
    </row>
    <row r="22" spans="1:6">
      <c r="A22" s="2">
        <v>200</v>
      </c>
      <c r="B22" s="2" t="s">
        <v>51</v>
      </c>
      <c r="C22" s="2" t="s">
        <v>52</v>
      </c>
      <c r="D22" s="5">
        <v>5118727087531</v>
      </c>
      <c r="E22" s="5">
        <v>4924991584484</v>
      </c>
      <c r="F22" s="5">
        <v>4763897298254</v>
      </c>
    </row>
    <row r="23" spans="1:6">
      <c r="A23" s="2">
        <v>210</v>
      </c>
      <c r="B23" s="2" t="s">
        <v>53</v>
      </c>
      <c r="C23" s="432" t="s">
        <v>54</v>
      </c>
      <c r="D23" s="433">
        <v>241195291600</v>
      </c>
      <c r="E23" s="433">
        <v>140931524246</v>
      </c>
      <c r="F23" s="433">
        <v>175741186200</v>
      </c>
    </row>
    <row r="24" spans="1:6">
      <c r="A24">
        <v>215</v>
      </c>
      <c r="B24" t="s">
        <v>55</v>
      </c>
      <c r="C24" s="432" t="s">
        <v>56</v>
      </c>
      <c r="D24" s="433">
        <v>70700000000</v>
      </c>
      <c r="E24" s="433" t="s">
        <v>33</v>
      </c>
      <c r="F24" s="433" t="s">
        <v>33</v>
      </c>
    </row>
    <row r="25" spans="1:6">
      <c r="A25">
        <v>216</v>
      </c>
      <c r="B25" t="s">
        <v>57</v>
      </c>
      <c r="C25" s="432" t="s">
        <v>58</v>
      </c>
      <c r="D25" s="433">
        <v>170495291600</v>
      </c>
      <c r="E25" s="433">
        <v>140931524246</v>
      </c>
      <c r="F25" s="433">
        <v>175741186200</v>
      </c>
    </row>
    <row r="26" spans="1:6">
      <c r="A26" s="2">
        <v>220</v>
      </c>
      <c r="B26" s="2" t="s">
        <v>59</v>
      </c>
      <c r="C26" s="2" t="s">
        <v>60</v>
      </c>
      <c r="D26" s="5">
        <v>1198450061079</v>
      </c>
      <c r="E26" s="5">
        <v>1016313002019</v>
      </c>
      <c r="F26" s="5">
        <v>844402354164</v>
      </c>
    </row>
    <row r="27" spans="1:6">
      <c r="A27">
        <v>221</v>
      </c>
      <c r="B27" t="s">
        <v>61</v>
      </c>
      <c r="C27" t="s">
        <v>62</v>
      </c>
      <c r="D27" s="3">
        <v>1014508752822</v>
      </c>
      <c r="E27" s="3">
        <v>848743235444</v>
      </c>
      <c r="F27" s="3">
        <v>666709132303</v>
      </c>
    </row>
    <row r="28" spans="1:6">
      <c r="A28">
        <v>222</v>
      </c>
      <c r="B28" t="s">
        <v>63</v>
      </c>
      <c r="C28" t="s">
        <v>64</v>
      </c>
      <c r="D28" s="3">
        <v>3794307134043</v>
      </c>
      <c r="E28" s="3">
        <v>3888602489525</v>
      </c>
      <c r="F28" s="3">
        <v>3851460375484</v>
      </c>
    </row>
    <row r="29" spans="1:6">
      <c r="A29">
        <v>223</v>
      </c>
      <c r="B29" t="s">
        <v>65</v>
      </c>
      <c r="C29" t="s">
        <v>66</v>
      </c>
      <c r="D29" s="3">
        <v>-2779798381221</v>
      </c>
      <c r="E29" s="3">
        <v>-3039859254081</v>
      </c>
      <c r="F29" s="3">
        <v>-3184751243181</v>
      </c>
    </row>
    <row r="30" spans="1:6">
      <c r="A30">
        <v>227</v>
      </c>
      <c r="B30" t="s">
        <v>67</v>
      </c>
      <c r="C30" t="s">
        <v>68</v>
      </c>
      <c r="D30" s="3">
        <v>183941308257</v>
      </c>
      <c r="E30" s="3">
        <v>167569766575</v>
      </c>
      <c r="F30" s="3">
        <v>177693221861</v>
      </c>
    </row>
    <row r="31" spans="1:6">
      <c r="A31">
        <v>228</v>
      </c>
      <c r="B31" t="s">
        <v>63</v>
      </c>
      <c r="C31" t="s">
        <v>64</v>
      </c>
      <c r="D31" s="3">
        <v>259431861261</v>
      </c>
      <c r="E31" s="3">
        <v>254559214510</v>
      </c>
      <c r="F31" s="3">
        <v>270506314710</v>
      </c>
    </row>
    <row r="32" spans="1:6">
      <c r="A32">
        <v>229</v>
      </c>
      <c r="B32" t="s">
        <v>65</v>
      </c>
      <c r="C32" s="432" t="s">
        <v>69</v>
      </c>
      <c r="D32" s="3">
        <v>-75490553004</v>
      </c>
      <c r="E32" s="3">
        <v>-86989447935</v>
      </c>
      <c r="F32" s="3">
        <v>-92813092849</v>
      </c>
    </row>
    <row r="33" spans="1:6">
      <c r="A33" s="2">
        <v>240</v>
      </c>
      <c r="B33" s="2" t="s">
        <v>70</v>
      </c>
      <c r="C33" s="2" t="s">
        <v>71</v>
      </c>
      <c r="D33" s="5">
        <v>106037865309</v>
      </c>
      <c r="E33" s="5">
        <v>27180502737</v>
      </c>
      <c r="F33" s="5">
        <v>9027013569</v>
      </c>
    </row>
    <row r="34" spans="1:6">
      <c r="A34">
        <v>242</v>
      </c>
      <c r="B34" t="s">
        <v>72</v>
      </c>
      <c r="C34" s="432" t="s">
        <v>73</v>
      </c>
      <c r="D34" s="3">
        <v>106037865309</v>
      </c>
      <c r="E34" s="3">
        <v>27180502737</v>
      </c>
      <c r="F34" s="3">
        <v>9027013569</v>
      </c>
    </row>
    <row r="35" spans="1:6">
      <c r="A35" s="2">
        <v>250</v>
      </c>
      <c r="B35" s="2" t="s">
        <v>74</v>
      </c>
      <c r="C35" s="2" t="s">
        <v>75</v>
      </c>
      <c r="D35" s="5">
        <v>3393850000000</v>
      </c>
      <c r="E35" s="5">
        <v>3589850000000</v>
      </c>
      <c r="F35" s="5">
        <v>3595595087671</v>
      </c>
    </row>
    <row r="36" spans="1:6">
      <c r="A36">
        <v>251</v>
      </c>
      <c r="B36" t="s">
        <v>76</v>
      </c>
      <c r="C36" t="s">
        <v>77</v>
      </c>
      <c r="D36" s="3">
        <v>3377850000000</v>
      </c>
      <c r="E36" s="3">
        <v>3588850000000</v>
      </c>
      <c r="F36" s="3">
        <v>3594595087671</v>
      </c>
    </row>
    <row r="37" spans="1:6">
      <c r="A37">
        <v>252</v>
      </c>
      <c r="B37" t="s">
        <v>78</v>
      </c>
      <c r="C37" t="s">
        <v>79</v>
      </c>
      <c r="D37" s="3" t="s">
        <v>33</v>
      </c>
      <c r="E37" s="3" t="s">
        <v>33</v>
      </c>
      <c r="F37" s="3" t="s">
        <v>33</v>
      </c>
    </row>
    <row r="38" spans="1:6">
      <c r="A38">
        <v>255</v>
      </c>
      <c r="B38" t="s">
        <v>23</v>
      </c>
      <c r="C38" s="432" t="s">
        <v>24</v>
      </c>
      <c r="D38" s="3">
        <v>16000000000</v>
      </c>
      <c r="E38" s="3">
        <v>1000000000</v>
      </c>
      <c r="F38" s="3">
        <v>1000000000</v>
      </c>
    </row>
    <row r="39" spans="1:6">
      <c r="A39" s="2">
        <v>260</v>
      </c>
      <c r="B39" s="2" t="s">
        <v>80</v>
      </c>
      <c r="C39" s="2" t="s">
        <v>81</v>
      </c>
      <c r="D39" s="5">
        <v>179193869543</v>
      </c>
      <c r="E39" s="5">
        <v>150716555482</v>
      </c>
      <c r="F39" s="5">
        <v>139131656650</v>
      </c>
    </row>
    <row r="40" spans="1:6">
      <c r="A40">
        <v>261</v>
      </c>
      <c r="B40" t="s">
        <v>82</v>
      </c>
      <c r="C40" t="s">
        <v>83</v>
      </c>
      <c r="D40" s="3">
        <v>69639780740</v>
      </c>
      <c r="E40" s="3">
        <v>100428317304</v>
      </c>
      <c r="F40" s="3">
        <v>62373737291</v>
      </c>
    </row>
    <row r="41" spans="1:6">
      <c r="A41">
        <v>262</v>
      </c>
      <c r="B41" t="s">
        <v>84</v>
      </c>
      <c r="C41" s="432" t="s">
        <v>85</v>
      </c>
      <c r="D41" s="3">
        <v>109554088803</v>
      </c>
      <c r="E41" s="3">
        <v>50288238178</v>
      </c>
      <c r="F41" s="3">
        <v>76757919359</v>
      </c>
    </row>
    <row r="42" spans="1:6">
      <c r="A42" s="10">
        <v>270</v>
      </c>
      <c r="B42" s="10" t="s">
        <v>86</v>
      </c>
      <c r="C42" s="10" t="s">
        <v>87</v>
      </c>
      <c r="D42" s="11">
        <v>17377161315995</v>
      </c>
      <c r="E42" s="11">
        <v>18111796269189</v>
      </c>
      <c r="F42" s="11">
        <v>20311783916069</v>
      </c>
    </row>
    <row r="43" spans="1:6">
      <c r="A43" s="2">
        <v>300</v>
      </c>
      <c r="B43" s="2" t="s">
        <v>88</v>
      </c>
      <c r="C43" s="2" t="s">
        <v>89</v>
      </c>
      <c r="D43" s="5">
        <v>6210033388769</v>
      </c>
      <c r="E43" s="5">
        <v>6829845298714</v>
      </c>
      <c r="F43" s="5">
        <v>8878813931686</v>
      </c>
    </row>
    <row r="44" spans="1:6">
      <c r="A44" s="2">
        <v>310</v>
      </c>
      <c r="B44" s="2" t="s">
        <v>90</v>
      </c>
      <c r="C44" s="2" t="s">
        <v>91</v>
      </c>
      <c r="D44" s="5">
        <v>6195799689582</v>
      </c>
      <c r="E44" s="5">
        <v>6815609482547</v>
      </c>
      <c r="F44" s="5">
        <v>8864853420561</v>
      </c>
    </row>
    <row r="45" spans="1:6">
      <c r="A45">
        <v>311</v>
      </c>
      <c r="B45" t="s">
        <v>92</v>
      </c>
      <c r="C45" t="s">
        <v>93</v>
      </c>
      <c r="D45" s="3">
        <v>1970635586928</v>
      </c>
      <c r="E45" s="3">
        <v>3330483232614</v>
      </c>
      <c r="F45" s="3">
        <v>2853606214481</v>
      </c>
    </row>
    <row r="46" spans="1:6">
      <c r="A46">
        <v>312</v>
      </c>
      <c r="B46" t="s">
        <v>94</v>
      </c>
      <c r="C46" t="s">
        <v>95</v>
      </c>
      <c r="D46" s="3">
        <v>176845202295</v>
      </c>
      <c r="E46" s="3">
        <v>129957335766</v>
      </c>
      <c r="F46" s="3">
        <v>179998887975</v>
      </c>
    </row>
    <row r="47" spans="1:6">
      <c r="A47">
        <v>313</v>
      </c>
      <c r="B47" t="s">
        <v>96</v>
      </c>
      <c r="C47" t="s">
        <v>97</v>
      </c>
      <c r="D47" s="3">
        <v>5275868275</v>
      </c>
      <c r="E47" s="3">
        <v>145505586644</v>
      </c>
      <c r="F47" s="3">
        <v>74417109924</v>
      </c>
    </row>
    <row r="48" spans="1:6">
      <c r="A48">
        <v>314</v>
      </c>
      <c r="B48" t="s">
        <v>98</v>
      </c>
      <c r="C48" t="s">
        <v>99</v>
      </c>
      <c r="D48" s="3">
        <v>64245590725</v>
      </c>
      <c r="E48" s="3">
        <v>48600453107</v>
      </c>
      <c r="F48" s="3">
        <v>64468071697</v>
      </c>
    </row>
    <row r="49" spans="1:6">
      <c r="A49">
        <v>315</v>
      </c>
      <c r="B49" t="s">
        <v>100</v>
      </c>
      <c r="C49" t="s">
        <v>101</v>
      </c>
      <c r="D49" s="3">
        <v>207561319455</v>
      </c>
      <c r="E49" s="3">
        <v>66684028030</v>
      </c>
      <c r="F49" s="3">
        <v>208807717032</v>
      </c>
    </row>
    <row r="50" spans="1:6">
      <c r="A50">
        <v>319</v>
      </c>
      <c r="B50" t="s">
        <v>102</v>
      </c>
      <c r="C50" s="432" t="s">
        <v>103</v>
      </c>
      <c r="D50" s="3">
        <v>18979145366</v>
      </c>
      <c r="E50" s="3">
        <v>42122470287</v>
      </c>
      <c r="F50" s="3">
        <v>137451191503</v>
      </c>
    </row>
    <row r="51" spans="1:6">
      <c r="A51">
        <v>320</v>
      </c>
      <c r="B51" t="s">
        <v>104</v>
      </c>
      <c r="C51" t="s">
        <v>105</v>
      </c>
      <c r="D51" s="3">
        <v>3545557150716</v>
      </c>
      <c r="E51" s="3">
        <v>2903786802438</v>
      </c>
      <c r="F51" s="3">
        <v>5310715159144</v>
      </c>
    </row>
    <row r="52" spans="1:6">
      <c r="A52">
        <v>322</v>
      </c>
      <c r="B52" t="s">
        <v>106</v>
      </c>
      <c r="C52" t="s">
        <v>107</v>
      </c>
      <c r="D52" s="3">
        <v>4</v>
      </c>
      <c r="E52" s="3">
        <v>148469573661</v>
      </c>
      <c r="F52" s="3">
        <v>35388068805</v>
      </c>
    </row>
    <row r="53" spans="1:6">
      <c r="A53" s="2">
        <v>330</v>
      </c>
      <c r="B53" s="2" t="s">
        <v>108</v>
      </c>
      <c r="C53" s="2" t="s">
        <v>109</v>
      </c>
      <c r="D53" s="5">
        <v>14233699187</v>
      </c>
      <c r="E53" s="5">
        <v>14235816167</v>
      </c>
      <c r="F53" s="5">
        <v>13960511125</v>
      </c>
    </row>
    <row r="54" spans="1:6">
      <c r="A54">
        <v>337</v>
      </c>
      <c r="B54" t="s">
        <v>110</v>
      </c>
      <c r="C54" s="432" t="s">
        <v>111</v>
      </c>
      <c r="D54" s="3">
        <v>709500000</v>
      </c>
      <c r="E54" s="3">
        <v>709500000</v>
      </c>
      <c r="F54" s="3">
        <v>709500000</v>
      </c>
    </row>
    <row r="55" spans="1:6">
      <c r="A55">
        <v>342</v>
      </c>
      <c r="B55" t="s">
        <v>112</v>
      </c>
      <c r="C55" t="s">
        <v>113</v>
      </c>
      <c r="D55" s="3">
        <v>13524199187</v>
      </c>
      <c r="E55" s="3">
        <v>13526316167</v>
      </c>
      <c r="F55" s="3">
        <v>13251011125</v>
      </c>
    </row>
    <row r="56" spans="1:6">
      <c r="A56" s="2">
        <v>400</v>
      </c>
      <c r="B56" s="2" t="s">
        <v>114</v>
      </c>
      <c r="C56" s="2" t="s">
        <v>115</v>
      </c>
      <c r="D56" s="5">
        <v>11167127927226</v>
      </c>
      <c r="E56" s="5">
        <v>11281950970475</v>
      </c>
      <c r="F56" s="5">
        <v>11432969984383</v>
      </c>
    </row>
    <row r="57" spans="1:6">
      <c r="A57" s="2">
        <v>410</v>
      </c>
      <c r="B57" s="2" t="s">
        <v>116</v>
      </c>
      <c r="C57" s="2" t="s">
        <v>117</v>
      </c>
      <c r="D57" s="5">
        <v>11167127927226</v>
      </c>
      <c r="E57" s="5">
        <v>11281950970475</v>
      </c>
      <c r="F57" s="5">
        <v>11432969984383</v>
      </c>
    </row>
    <row r="58" spans="1:6">
      <c r="A58">
        <v>411</v>
      </c>
      <c r="B58" t="s">
        <v>118</v>
      </c>
      <c r="C58" t="s">
        <v>119</v>
      </c>
      <c r="D58" s="3">
        <v>5980549860000</v>
      </c>
      <c r="E58" s="3">
        <v>6159823090000</v>
      </c>
      <c r="F58" s="3">
        <v>6159823090000</v>
      </c>
    </row>
    <row r="59" spans="1:6">
      <c r="A59" s="7" t="s">
        <v>120</v>
      </c>
      <c r="B59" s="8" t="s">
        <v>121</v>
      </c>
      <c r="C59" s="8" t="s">
        <v>122</v>
      </c>
      <c r="D59" s="9">
        <v>5980549860000</v>
      </c>
      <c r="E59" s="9">
        <v>6159823090000</v>
      </c>
      <c r="F59" s="9">
        <v>6159823090000</v>
      </c>
    </row>
    <row r="60" spans="1:6">
      <c r="A60" s="6">
        <v>412</v>
      </c>
      <c r="B60" t="s">
        <v>123</v>
      </c>
      <c r="C60" s="8" t="s">
        <v>124</v>
      </c>
      <c r="D60" s="3">
        <v>157292539068</v>
      </c>
      <c r="E60" s="3">
        <v>157292539068</v>
      </c>
      <c r="F60" s="3">
        <v>157292539068</v>
      </c>
    </row>
    <row r="61" spans="1:6">
      <c r="A61" s="6">
        <v>420</v>
      </c>
      <c r="B61" t="s">
        <v>125</v>
      </c>
      <c r="C61" s="432" t="s">
        <v>126</v>
      </c>
      <c r="D61" s="3">
        <v>187499009876</v>
      </c>
      <c r="E61" s="3">
        <v>77910496944</v>
      </c>
      <c r="F61" s="3">
        <v>50993213769</v>
      </c>
    </row>
    <row r="62" spans="1:6">
      <c r="A62" s="6">
        <v>421</v>
      </c>
      <c r="B62" t="s">
        <v>127</v>
      </c>
      <c r="C62" t="s">
        <v>128</v>
      </c>
      <c r="D62" s="3">
        <v>4841786518282</v>
      </c>
      <c r="E62" s="3">
        <v>4886924844463</v>
      </c>
      <c r="F62" s="3">
        <v>5064861141546</v>
      </c>
    </row>
    <row r="63" spans="1:6">
      <c r="A63" s="7" t="s">
        <v>129</v>
      </c>
      <c r="B63" s="8" t="s">
        <v>130</v>
      </c>
      <c r="C63" t="s">
        <v>131</v>
      </c>
      <c r="D63" s="9">
        <v>4793615960838</v>
      </c>
      <c r="E63" s="9">
        <v>4638635861919</v>
      </c>
      <c r="F63" s="9">
        <v>4576082907573</v>
      </c>
    </row>
    <row r="64" spans="1:6">
      <c r="A64" s="489" t="s">
        <v>132</v>
      </c>
      <c r="B64" s="490" t="s">
        <v>133</v>
      </c>
      <c r="C64" s="145" t="s">
        <v>134</v>
      </c>
      <c r="D64" s="491">
        <v>48170557444</v>
      </c>
      <c r="E64" s="491">
        <v>248288982544</v>
      </c>
      <c r="F64" s="491">
        <v>488778233973</v>
      </c>
    </row>
    <row r="65" spans="1:6">
      <c r="A65" s="2">
        <v>440</v>
      </c>
      <c r="B65" s="2" t="s">
        <v>135</v>
      </c>
      <c r="C65" s="2" t="s">
        <v>136</v>
      </c>
      <c r="D65" s="5">
        <v>17377161315995</v>
      </c>
      <c r="E65" s="5">
        <v>18111796269189</v>
      </c>
      <c r="F65" s="5">
        <v>20311783916069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F8262-81BC-499E-B4ED-EEE7ED0BFBD4}">
  <dimension ref="A1:G20"/>
  <sheetViews>
    <sheetView zoomScale="92" workbookViewId="0">
      <selection activeCell="C22" sqref="C22"/>
    </sheetView>
  </sheetViews>
  <sheetFormatPr defaultColWidth="8.85546875" defaultRowHeight="14.45"/>
  <cols>
    <col min="1" max="1" width="5.42578125" bestFit="1" customWidth="1"/>
    <col min="2" max="2" width="38.5703125" bestFit="1" customWidth="1"/>
    <col min="3" max="3" width="44.85546875" bestFit="1" customWidth="1"/>
    <col min="4" max="4" width="10.42578125" bestFit="1" customWidth="1"/>
    <col min="5" max="7" width="18.42578125" bestFit="1" customWidth="1"/>
  </cols>
  <sheetData>
    <row r="1" spans="1:7">
      <c r="A1" t="s">
        <v>8</v>
      </c>
      <c r="B1" t="s">
        <v>9</v>
      </c>
      <c r="C1" t="s">
        <v>137</v>
      </c>
      <c r="D1" t="s">
        <v>138</v>
      </c>
      <c r="E1">
        <v>2022</v>
      </c>
      <c r="F1">
        <v>2023</v>
      </c>
      <c r="G1">
        <v>2024</v>
      </c>
    </row>
    <row r="2" spans="1:7">
      <c r="A2" s="2">
        <v>1</v>
      </c>
      <c r="B2" s="2" t="s">
        <v>139</v>
      </c>
      <c r="C2" s="2" t="s">
        <v>140</v>
      </c>
      <c r="D2" s="2">
        <v>27</v>
      </c>
      <c r="E2" s="5">
        <v>81450228213277</v>
      </c>
      <c r="F2" s="5">
        <v>52881019564133</v>
      </c>
      <c r="G2" s="5">
        <v>67051370845971</v>
      </c>
    </row>
    <row r="3" spans="1:7">
      <c r="A3" s="2">
        <v>2</v>
      </c>
      <c r="B3" s="2" t="s">
        <v>141</v>
      </c>
      <c r="C3" s="2" t="s">
        <v>142</v>
      </c>
      <c r="D3" s="2">
        <v>27</v>
      </c>
      <c r="E3" s="5">
        <v>260746998178</v>
      </c>
      <c r="F3" s="5">
        <v>276256396943</v>
      </c>
      <c r="G3" s="5">
        <v>338823047220</v>
      </c>
    </row>
    <row r="4" spans="1:7">
      <c r="A4" s="2"/>
      <c r="B4" s="2"/>
      <c r="C4" s="2"/>
      <c r="D4" s="2"/>
      <c r="E4" s="5"/>
      <c r="F4" s="5"/>
      <c r="G4" s="5"/>
    </row>
    <row r="5" spans="1:7">
      <c r="A5" s="2">
        <v>10</v>
      </c>
      <c r="B5" s="2" t="s">
        <v>143</v>
      </c>
      <c r="C5" s="2" t="s">
        <v>144</v>
      </c>
      <c r="D5" s="2">
        <v>27</v>
      </c>
      <c r="E5" s="5">
        <v>81189481215099</v>
      </c>
      <c r="F5" s="5">
        <v>52604763167190</v>
      </c>
      <c r="G5" s="5">
        <v>66712547798751</v>
      </c>
    </row>
    <row r="6" spans="1:7">
      <c r="A6">
        <v>11</v>
      </c>
      <c r="B6" s="2" t="s">
        <v>145</v>
      </c>
      <c r="C6" s="2" t="s">
        <v>146</v>
      </c>
      <c r="D6" s="2">
        <v>28</v>
      </c>
      <c r="E6" s="5">
        <v>77388423409761</v>
      </c>
      <c r="F6" s="5">
        <v>50476627454498</v>
      </c>
      <c r="G6" s="5">
        <v>63473799048283</v>
      </c>
    </row>
    <row r="7" spans="1:7">
      <c r="A7" s="2">
        <v>20</v>
      </c>
      <c r="B7" s="2" t="s">
        <v>147</v>
      </c>
      <c r="C7" s="2" t="s">
        <v>148</v>
      </c>
      <c r="D7" s="2"/>
      <c r="E7" s="5">
        <v>3801057805338</v>
      </c>
      <c r="F7" s="5">
        <v>2128135712692</v>
      </c>
      <c r="G7" s="5">
        <v>3238748750468</v>
      </c>
    </row>
    <row r="8" spans="1:7">
      <c r="A8">
        <v>21</v>
      </c>
      <c r="B8" t="s">
        <v>149</v>
      </c>
      <c r="C8" t="s">
        <v>150</v>
      </c>
      <c r="D8">
        <v>29</v>
      </c>
      <c r="E8" s="3">
        <v>425167604879</v>
      </c>
      <c r="F8" s="3">
        <v>800850256543</v>
      </c>
      <c r="G8" s="3">
        <v>652938094707</v>
      </c>
    </row>
    <row r="9" spans="1:7">
      <c r="A9">
        <v>22</v>
      </c>
      <c r="B9" t="s">
        <v>151</v>
      </c>
      <c r="C9" t="s">
        <v>152</v>
      </c>
      <c r="D9">
        <v>30</v>
      </c>
      <c r="E9" s="3">
        <v>419889233636</v>
      </c>
      <c r="F9" s="3">
        <v>300217604297</v>
      </c>
      <c r="G9" s="3">
        <v>251550025718</v>
      </c>
    </row>
    <row r="10" spans="1:7">
      <c r="A10">
        <v>25</v>
      </c>
      <c r="B10" t="s">
        <v>153</v>
      </c>
      <c r="C10" t="s">
        <v>154</v>
      </c>
      <c r="D10">
        <v>31</v>
      </c>
      <c r="E10" s="3">
        <v>3469159524662</v>
      </c>
      <c r="F10" s="3">
        <v>2121829595199</v>
      </c>
      <c r="G10" s="3">
        <v>2858708812560</v>
      </c>
    </row>
    <row r="11" spans="1:7">
      <c r="A11">
        <v>26</v>
      </c>
      <c r="B11" t="s">
        <v>155</v>
      </c>
      <c r="C11" t="s">
        <v>156</v>
      </c>
      <c r="D11">
        <v>32</v>
      </c>
      <c r="E11" s="3">
        <v>323017357209</v>
      </c>
      <c r="F11" s="3">
        <v>242553285595</v>
      </c>
      <c r="G11" s="3">
        <v>308367699972</v>
      </c>
    </row>
    <row r="12" spans="1:7">
      <c r="A12">
        <v>30</v>
      </c>
      <c r="B12" s="2" t="s">
        <v>157</v>
      </c>
      <c r="C12" s="2" t="s">
        <v>158</v>
      </c>
      <c r="D12" s="2"/>
      <c r="E12" s="5">
        <v>14159294710</v>
      </c>
      <c r="F12" s="5">
        <v>264385484144</v>
      </c>
      <c r="G12" s="5">
        <v>473060306925</v>
      </c>
    </row>
    <row r="13" spans="1:7">
      <c r="E13" s="3"/>
      <c r="F13" s="3"/>
      <c r="G13" s="3"/>
    </row>
    <row r="14" spans="1:7">
      <c r="A14">
        <v>31</v>
      </c>
      <c r="B14" t="s">
        <v>159</v>
      </c>
      <c r="C14" t="s">
        <v>160</v>
      </c>
      <c r="E14" s="3">
        <v>37281371157</v>
      </c>
      <c r="F14" s="3">
        <v>45338320487</v>
      </c>
      <c r="G14" s="3">
        <v>34684261898</v>
      </c>
    </row>
    <row r="15" spans="1:7">
      <c r="A15">
        <v>32</v>
      </c>
      <c r="B15" t="s">
        <v>161</v>
      </c>
      <c r="C15" t="s">
        <v>162</v>
      </c>
      <c r="E15" s="3">
        <v>2028544004</v>
      </c>
      <c r="F15" s="3">
        <v>631991708</v>
      </c>
      <c r="G15" s="3">
        <v>5192249642</v>
      </c>
    </row>
    <row r="16" spans="1:7">
      <c r="A16" s="2">
        <v>40</v>
      </c>
      <c r="B16" s="2" t="s">
        <v>163</v>
      </c>
      <c r="C16" s="2" t="s">
        <v>164</v>
      </c>
      <c r="D16" s="2"/>
      <c r="E16" s="5">
        <v>35252827153</v>
      </c>
      <c r="F16" s="5">
        <v>44706328779</v>
      </c>
      <c r="G16" s="5">
        <v>29492012256</v>
      </c>
    </row>
    <row r="17" spans="1:7">
      <c r="A17" s="2">
        <v>50</v>
      </c>
      <c r="B17" s="2" t="s">
        <v>165</v>
      </c>
      <c r="C17" s="2" t="s">
        <v>166</v>
      </c>
      <c r="D17" s="2"/>
      <c r="E17" s="5">
        <v>49412121863</v>
      </c>
      <c r="F17" s="5">
        <v>309091812923</v>
      </c>
      <c r="G17" s="5">
        <v>502552319181</v>
      </c>
    </row>
    <row r="18" spans="1:7">
      <c r="A18" s="2">
        <v>51</v>
      </c>
      <c r="B18" s="2" t="s">
        <v>167</v>
      </c>
      <c r="C18" s="2" t="s">
        <v>168</v>
      </c>
      <c r="D18" s="2">
        <v>34</v>
      </c>
      <c r="E18" s="5">
        <v>23681645484</v>
      </c>
      <c r="F18" s="5">
        <v>1536979754</v>
      </c>
      <c r="G18" s="5">
        <v>99693200</v>
      </c>
    </row>
    <row r="19" spans="1:7">
      <c r="A19" s="2">
        <v>52</v>
      </c>
      <c r="B19" s="2" t="s">
        <v>169</v>
      </c>
      <c r="C19" s="2" t="s">
        <v>170</v>
      </c>
      <c r="D19" s="2">
        <v>34</v>
      </c>
      <c r="E19" s="5">
        <v>-22440081065</v>
      </c>
      <c r="F19" s="5">
        <v>59265850625</v>
      </c>
      <c r="G19" s="5">
        <v>26469681181</v>
      </c>
    </row>
    <row r="20" spans="1:7">
      <c r="A20" s="148">
        <v>60</v>
      </c>
      <c r="B20" s="148" t="s">
        <v>171</v>
      </c>
      <c r="C20" s="148" t="s">
        <v>172</v>
      </c>
      <c r="D20" s="148"/>
      <c r="E20" s="492">
        <v>48170557444</v>
      </c>
      <c r="F20" s="492">
        <v>248288982544</v>
      </c>
      <c r="G20" s="492">
        <v>528922307162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FE79-9C3B-4856-8479-FE6BA8352D2A}">
  <dimension ref="A1:E39"/>
  <sheetViews>
    <sheetView zoomScale="78" workbookViewId="0">
      <selection activeCell="C32" sqref="C32"/>
    </sheetView>
  </sheetViews>
  <sheetFormatPr defaultColWidth="8.85546875" defaultRowHeight="14.45"/>
  <cols>
    <col min="1" max="1" width="40.42578125" bestFit="1" customWidth="1"/>
    <col min="2" max="2" width="40.42578125" customWidth="1"/>
    <col min="3" max="5" width="19.5703125" bestFit="1" customWidth="1"/>
  </cols>
  <sheetData>
    <row r="1" spans="1:5">
      <c r="A1" t="s">
        <v>9</v>
      </c>
      <c r="C1" t="s">
        <v>173</v>
      </c>
      <c r="D1" t="s">
        <v>174</v>
      </c>
      <c r="E1" t="s">
        <v>175</v>
      </c>
    </row>
    <row r="2" spans="1:5">
      <c r="A2" s="2" t="s">
        <v>176</v>
      </c>
      <c r="B2" s="2" t="s">
        <v>177</v>
      </c>
    </row>
    <row r="3" spans="1:5">
      <c r="A3" s="2" t="s">
        <v>178</v>
      </c>
      <c r="B3" s="2" t="s">
        <v>179</v>
      </c>
      <c r="C3" s="5">
        <v>49412121863</v>
      </c>
      <c r="D3" s="5">
        <v>309091812923</v>
      </c>
      <c r="E3" s="5">
        <v>502552319181</v>
      </c>
    </row>
    <row r="4" spans="1:5">
      <c r="A4" t="s">
        <v>180</v>
      </c>
      <c r="B4" t="s">
        <v>181</v>
      </c>
      <c r="C4" s="3">
        <v>288742037855</v>
      </c>
      <c r="D4" s="3">
        <v>296698963838</v>
      </c>
      <c r="E4" s="3">
        <v>213396307446</v>
      </c>
    </row>
    <row r="5" spans="1:5">
      <c r="A5" t="s">
        <v>182</v>
      </c>
      <c r="B5" t="s">
        <v>183</v>
      </c>
      <c r="C5" s="3">
        <v>112682357532</v>
      </c>
      <c r="D5" s="3">
        <v>-54798528440</v>
      </c>
      <c r="E5" s="3">
        <v>-5435448472</v>
      </c>
    </row>
    <row r="6" spans="1:5">
      <c r="A6" t="s">
        <v>184</v>
      </c>
      <c r="B6" t="s">
        <v>185</v>
      </c>
      <c r="C6" s="3">
        <v>-5999777701</v>
      </c>
      <c r="D6" s="3">
        <v>-2114003286</v>
      </c>
      <c r="E6" s="3">
        <v>4859887308</v>
      </c>
    </row>
    <row r="7" spans="1:5">
      <c r="A7" t="s">
        <v>186</v>
      </c>
      <c r="B7" t="s">
        <v>187</v>
      </c>
      <c r="C7" s="3">
        <v>-182386015343</v>
      </c>
      <c r="D7" s="3">
        <v>-582268394623</v>
      </c>
      <c r="E7" s="3">
        <v>-325217103728</v>
      </c>
    </row>
    <row r="8" spans="1:5">
      <c r="A8" t="s">
        <v>188</v>
      </c>
      <c r="B8" t="s">
        <v>189</v>
      </c>
      <c r="C8" s="3">
        <v>176518452634</v>
      </c>
      <c r="D8" s="3">
        <v>184694883045</v>
      </c>
      <c r="E8" s="3">
        <v>131805003372</v>
      </c>
    </row>
    <row r="9" spans="1:5">
      <c r="A9" s="2" t="s">
        <v>190</v>
      </c>
      <c r="B9" s="2" t="s">
        <v>191</v>
      </c>
      <c r="C9" s="5">
        <v>438969176840</v>
      </c>
      <c r="D9" s="5">
        <v>151304733457</v>
      </c>
      <c r="E9" s="5">
        <v>521960965107</v>
      </c>
    </row>
    <row r="11" spans="1:5">
      <c r="A11" t="s">
        <v>192</v>
      </c>
      <c r="B11" t="s">
        <v>193</v>
      </c>
      <c r="C11" s="3">
        <v>1825657571725</v>
      </c>
      <c r="D11" s="3">
        <v>455788862582</v>
      </c>
      <c r="E11" s="3">
        <v>-1800373698676</v>
      </c>
    </row>
    <row r="12" spans="1:5">
      <c r="A12" t="s">
        <v>194</v>
      </c>
      <c r="B12" t="s">
        <v>195</v>
      </c>
      <c r="C12" s="3">
        <v>3086823027253</v>
      </c>
      <c r="D12" s="3">
        <v>-508889546680</v>
      </c>
      <c r="E12" s="3">
        <v>-188494190075</v>
      </c>
    </row>
    <row r="13" spans="1:5">
      <c r="A13" t="s">
        <v>196</v>
      </c>
      <c r="B13" t="s">
        <v>197</v>
      </c>
      <c r="C13" s="3">
        <v>-3677954974368</v>
      </c>
      <c r="D13" s="3">
        <v>1544513703402</v>
      </c>
      <c r="E13" s="3">
        <v>274588619440</v>
      </c>
    </row>
    <row r="14" spans="1:5">
      <c r="A14" t="s">
        <v>198</v>
      </c>
      <c r="B14" t="s">
        <v>199</v>
      </c>
      <c r="C14" s="3">
        <v>-13914683956</v>
      </c>
      <c r="D14" s="3">
        <v>23096871939</v>
      </c>
      <c r="E14" s="3">
        <v>55298002073</v>
      </c>
    </row>
    <row r="15" spans="1:5">
      <c r="A15" t="s">
        <v>200</v>
      </c>
      <c r="B15" t="s">
        <v>201</v>
      </c>
      <c r="C15" s="3">
        <v>-182460644247</v>
      </c>
      <c r="D15" s="3">
        <v>-186167929380</v>
      </c>
      <c r="E15" s="3">
        <v>-131111426969</v>
      </c>
    </row>
    <row r="16" spans="1:5">
      <c r="A16" t="s">
        <v>202</v>
      </c>
      <c r="B16" t="s">
        <v>203</v>
      </c>
      <c r="C16" s="3">
        <v>-288320745818</v>
      </c>
      <c r="D16" s="3">
        <v>-1461479656</v>
      </c>
      <c r="E16" s="3" t="s">
        <v>204</v>
      </c>
    </row>
    <row r="17" spans="1:5">
      <c r="A17" t="s">
        <v>205</v>
      </c>
      <c r="B17" t="s">
        <v>206</v>
      </c>
      <c r="C17" s="3">
        <v>-117030852331</v>
      </c>
      <c r="D17" s="3">
        <v>-191696191456</v>
      </c>
      <c r="E17" s="3">
        <v>-182993643610</v>
      </c>
    </row>
    <row r="18" spans="1:5">
      <c r="A18" s="2" t="s">
        <v>207</v>
      </c>
      <c r="B18" s="2" t="s">
        <v>208</v>
      </c>
      <c r="C18" s="5">
        <v>1071767875098</v>
      </c>
      <c r="D18" s="5">
        <v>1286489024208</v>
      </c>
      <c r="E18" s="5">
        <v>-1451125372710</v>
      </c>
    </row>
    <row r="20" spans="1:5">
      <c r="A20" s="2" t="s">
        <v>209</v>
      </c>
      <c r="B20" s="2" t="s">
        <v>210</v>
      </c>
      <c r="C20" s="3"/>
      <c r="D20" s="3"/>
      <c r="E20" s="3"/>
    </row>
    <row r="21" spans="1:5">
      <c r="A21" t="s">
        <v>211</v>
      </c>
      <c r="B21" t="s">
        <v>212</v>
      </c>
      <c r="C21" s="3">
        <v>-328785899096</v>
      </c>
      <c r="D21" s="3">
        <v>-178762599745</v>
      </c>
      <c r="E21" s="3">
        <v>-560646561404</v>
      </c>
    </row>
    <row r="22" spans="1:5">
      <c r="A22" t="s">
        <v>213</v>
      </c>
      <c r="B22" t="s">
        <v>214</v>
      </c>
      <c r="C22" s="3">
        <v>24389427659</v>
      </c>
      <c r="D22" s="3">
        <v>33972301805</v>
      </c>
      <c r="E22" s="3">
        <v>36807283700</v>
      </c>
    </row>
    <row r="23" spans="1:5">
      <c r="A23" t="s">
        <v>215</v>
      </c>
      <c r="B23" t="s">
        <v>216</v>
      </c>
      <c r="C23" s="3">
        <v>-2700000000</v>
      </c>
      <c r="D23" s="3">
        <v>-136060958904</v>
      </c>
      <c r="E23" s="3">
        <v>-288417778768</v>
      </c>
    </row>
    <row r="24" spans="1:5">
      <c r="A24" t="s">
        <v>217</v>
      </c>
      <c r="B24" t="s">
        <v>218</v>
      </c>
      <c r="C24" s="3" t="s">
        <v>204</v>
      </c>
      <c r="D24" s="3">
        <v>15000000000</v>
      </c>
      <c r="E24" s="3">
        <v>28000000000</v>
      </c>
    </row>
    <row r="25" spans="1:5">
      <c r="A25" t="s">
        <v>219</v>
      </c>
      <c r="B25" t="s">
        <v>220</v>
      </c>
      <c r="C25" s="3" t="s">
        <v>204</v>
      </c>
      <c r="D25" s="3">
        <v>-130845602739</v>
      </c>
      <c r="E25" s="3">
        <v>-1500000000</v>
      </c>
    </row>
    <row r="26" spans="1:5">
      <c r="A26" t="s">
        <v>221</v>
      </c>
      <c r="B26" t="s">
        <v>222</v>
      </c>
      <c r="C26" s="3">
        <v>231166167254</v>
      </c>
      <c r="D26" s="3">
        <v>9167953933</v>
      </c>
      <c r="E26" s="3">
        <v>40168882612</v>
      </c>
    </row>
    <row r="27" spans="1:5">
      <c r="A27" s="2" t="s">
        <v>223</v>
      </c>
      <c r="B27" s="2" t="s">
        <v>224</v>
      </c>
      <c r="C27" s="5">
        <v>-75930304183</v>
      </c>
      <c r="D27" s="5">
        <v>-387528905650</v>
      </c>
      <c r="E27" s="5">
        <v>-745588173860</v>
      </c>
    </row>
    <row r="29" spans="1:5">
      <c r="A29" s="2" t="s">
        <v>225</v>
      </c>
      <c r="B29" s="2" t="s">
        <v>226</v>
      </c>
      <c r="C29" s="3"/>
      <c r="D29" s="3"/>
      <c r="E29" s="3"/>
    </row>
    <row r="30" spans="1:5">
      <c r="A30" t="s">
        <v>227</v>
      </c>
      <c r="B30" t="s">
        <v>228</v>
      </c>
      <c r="C30" s="3" t="s">
        <v>204</v>
      </c>
      <c r="D30" s="3" t="s">
        <v>204</v>
      </c>
      <c r="E30" s="3">
        <v>22110000000</v>
      </c>
    </row>
    <row r="31" spans="1:5">
      <c r="A31" t="s">
        <v>229</v>
      </c>
      <c r="B31" t="s">
        <v>230</v>
      </c>
      <c r="C31" s="3" t="s">
        <v>204</v>
      </c>
      <c r="D31" s="3">
        <v>21420117233606</v>
      </c>
      <c r="E31" s="3">
        <v>31261321526957</v>
      </c>
    </row>
    <row r="32" spans="1:5">
      <c r="A32" t="s">
        <v>231</v>
      </c>
      <c r="B32" t="s">
        <v>232</v>
      </c>
      <c r="C32" s="3">
        <v>-33679445401829</v>
      </c>
      <c r="D32" s="3">
        <v>-22061887581884</v>
      </c>
      <c r="E32" s="3">
        <v>-28854393170251</v>
      </c>
    </row>
    <row r="33" spans="1:5">
      <c r="A33" t="s">
        <v>233</v>
      </c>
      <c r="B33" t="s">
        <v>234</v>
      </c>
      <c r="C33" s="3" t="s">
        <v>204</v>
      </c>
      <c r="D33" s="3">
        <v>-5531000</v>
      </c>
      <c r="E33" s="3">
        <v>-307574177800</v>
      </c>
    </row>
    <row r="34" spans="1:5">
      <c r="A34" s="2" t="s">
        <v>235</v>
      </c>
      <c r="B34" s="2" t="s">
        <v>236</v>
      </c>
      <c r="C34" s="5" t="s">
        <v>204</v>
      </c>
      <c r="D34" s="5">
        <v>-641775879278</v>
      </c>
      <c r="E34" s="5">
        <v>2121464178906</v>
      </c>
    </row>
    <row r="36" spans="1:5">
      <c r="A36" s="2" t="s">
        <v>237</v>
      </c>
      <c r="B36" s="2" t="s">
        <v>238</v>
      </c>
      <c r="C36" s="5">
        <v>995837570915</v>
      </c>
      <c r="D36" s="5">
        <v>257184239280</v>
      </c>
      <c r="E36" s="5">
        <v>-75249367664</v>
      </c>
    </row>
    <row r="37" spans="1:5">
      <c r="A37" s="2" t="s">
        <v>239</v>
      </c>
      <c r="B37" s="2" t="s">
        <v>240</v>
      </c>
      <c r="C37" s="5">
        <v>242815476591</v>
      </c>
      <c r="D37" s="5">
        <v>501386999566</v>
      </c>
      <c r="E37" s="5">
        <v>427778817941</v>
      </c>
    </row>
    <row r="38" spans="1:5">
      <c r="A38" s="2" t="s">
        <v>241</v>
      </c>
      <c r="B38" s="2" t="s">
        <v>242</v>
      </c>
      <c r="C38" s="5" t="s">
        <v>204</v>
      </c>
      <c r="D38" s="5">
        <v>1387283695</v>
      </c>
      <c r="E38" s="5">
        <v>1641186039</v>
      </c>
    </row>
    <row r="39" spans="1:5">
      <c r="A39" s="2" t="s">
        <v>243</v>
      </c>
      <c r="B39" s="2" t="s">
        <v>244</v>
      </c>
      <c r="C39" s="5">
        <v>501386999566</v>
      </c>
      <c r="D39" s="5">
        <v>501386999566</v>
      </c>
      <c r="E39" s="5">
        <v>427778817941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9E34-F218-8F4C-950F-27B968BEBC7B}">
  <dimension ref="A1:J149"/>
  <sheetViews>
    <sheetView topLeftCell="A41" zoomScale="61" workbookViewId="0">
      <selection activeCell="O160" sqref="O160"/>
    </sheetView>
  </sheetViews>
  <sheetFormatPr defaultColWidth="10.85546875" defaultRowHeight="14.45"/>
  <cols>
    <col min="1" max="1" width="27.85546875" style="13" customWidth="1"/>
    <col min="2" max="2" width="21.5703125" style="13" customWidth="1"/>
    <col min="3" max="3" width="17.85546875" style="13" bestFit="1" customWidth="1"/>
    <col min="4" max="4" width="35.85546875" customWidth="1"/>
    <col min="5" max="5" width="19.42578125" customWidth="1"/>
    <col min="6" max="6" width="14.140625" bestFit="1" customWidth="1"/>
    <col min="7" max="7" width="11.42578125" customWidth="1"/>
    <col min="8" max="8" width="15.5703125" bestFit="1" customWidth="1"/>
    <col min="9" max="10" width="15.140625" bestFit="1" customWidth="1"/>
  </cols>
  <sheetData>
    <row r="1" spans="1:7">
      <c r="A1" s="494" t="s">
        <v>245</v>
      </c>
      <c r="B1" s="495"/>
      <c r="C1" s="495"/>
      <c r="D1" s="496"/>
    </row>
    <row r="2" spans="1:7">
      <c r="A2" s="20" t="s">
        <v>246</v>
      </c>
      <c r="B2" s="13" t="s">
        <v>247</v>
      </c>
      <c r="C2" s="13" t="s">
        <v>248</v>
      </c>
      <c r="D2" s="21" t="s">
        <v>249</v>
      </c>
    </row>
    <row r="3" spans="1:7">
      <c r="A3" s="20">
        <v>2022</v>
      </c>
      <c r="B3" s="22">
        <f>'Balance Sheet'!D42/1000000000000</f>
        <v>17.377161315995</v>
      </c>
      <c r="C3" s="23"/>
      <c r="D3" s="24">
        <f>'Balance Sheet'!D65/1000000000000</f>
        <v>17.377161315995</v>
      </c>
    </row>
    <row r="4" spans="1:7">
      <c r="A4" s="20">
        <v>2023</v>
      </c>
      <c r="B4" s="22">
        <f>'Balance Sheet'!E42/1000000000000</f>
        <v>18.111796269189</v>
      </c>
      <c r="C4" s="23">
        <f>(B4-B3)/B3</f>
        <v>4.2275889590654668E-2</v>
      </c>
      <c r="D4" s="24">
        <f>'Balance Sheet'!E65/1000000000000</f>
        <v>18.111796269189</v>
      </c>
    </row>
    <row r="5" spans="1:7" ht="15" thickBot="1">
      <c r="A5" s="25">
        <v>2024</v>
      </c>
      <c r="B5" s="26">
        <f>'Balance Sheet'!F42/1000000000000</f>
        <v>20.311783916069</v>
      </c>
      <c r="C5" s="27">
        <f>(B5-B4)/B4</f>
        <v>0.12146711536406379</v>
      </c>
      <c r="D5" s="28">
        <f>'Balance Sheet'!F65/1000000000000</f>
        <v>20.311783916069</v>
      </c>
    </row>
    <row r="6" spans="1:7" ht="15" thickBot="1"/>
    <row r="7" spans="1:7">
      <c r="A7" s="494" t="s">
        <v>250</v>
      </c>
      <c r="B7" s="495"/>
      <c r="C7" s="495"/>
      <c r="D7" s="496"/>
    </row>
    <row r="8" spans="1:7">
      <c r="A8" s="20" t="s">
        <v>246</v>
      </c>
      <c r="B8" s="13">
        <v>2022</v>
      </c>
      <c r="C8" s="13">
        <v>2023</v>
      </c>
      <c r="D8" s="21">
        <v>2024</v>
      </c>
    </row>
    <row r="9" spans="1:7">
      <c r="A9" s="20" t="s">
        <v>251</v>
      </c>
      <c r="B9" s="18">
        <f>'Balance Sheet'!D3/'Balance Sheet'!D42</f>
        <v>0.70543364393933483</v>
      </c>
      <c r="C9" s="18">
        <f>'Balance Sheet'!E3/'Balance Sheet'!E42</f>
        <v>0.7280782363446644</v>
      </c>
      <c r="D9" s="29">
        <f>'Balance Sheet'!F3/'Balance Sheet'!F42</f>
        <v>0.76546140319633871</v>
      </c>
    </row>
    <row r="10" spans="1:7" ht="15" thickBot="1">
      <c r="A10" s="25" t="s">
        <v>252</v>
      </c>
      <c r="B10" s="30">
        <f>'Balance Sheet'!D22/'Balance Sheet'!D42</f>
        <v>0.29456635606066517</v>
      </c>
      <c r="C10" s="30">
        <f>'Balance Sheet'!E22/'Balance Sheet'!E42</f>
        <v>0.2719217636553356</v>
      </c>
      <c r="D10" s="31">
        <f>'Balance Sheet'!F22/'Balance Sheet'!F42</f>
        <v>0.23453859680366132</v>
      </c>
    </row>
    <row r="11" spans="1:7" ht="15" thickBot="1"/>
    <row r="12" spans="1:7">
      <c r="A12" s="494" t="s">
        <v>253</v>
      </c>
      <c r="B12" s="495"/>
      <c r="C12" s="495"/>
      <c r="D12" s="496"/>
      <c r="E12" s="43"/>
      <c r="F12" s="44"/>
      <c r="G12" s="45"/>
    </row>
    <row r="13" spans="1:7">
      <c r="A13" s="32"/>
      <c r="B13">
        <v>2022</v>
      </c>
      <c r="C13">
        <v>2023</v>
      </c>
      <c r="D13" s="21">
        <v>2024</v>
      </c>
      <c r="E13" s="32">
        <v>2022</v>
      </c>
      <c r="F13">
        <v>2023</v>
      </c>
      <c r="G13" s="21">
        <v>2024</v>
      </c>
    </row>
    <row r="14" spans="1:7">
      <c r="A14" s="34" t="s">
        <v>14</v>
      </c>
      <c r="B14" s="16">
        <v>12258434228464</v>
      </c>
      <c r="C14" s="16">
        <v>13186804684705</v>
      </c>
      <c r="D14" s="35">
        <v>15547886617815</v>
      </c>
      <c r="E14" s="46"/>
      <c r="F14" s="47"/>
      <c r="G14" s="29"/>
    </row>
    <row r="15" spans="1:7">
      <c r="A15" s="34" t="s">
        <v>16</v>
      </c>
      <c r="B15" s="16">
        <v>242815476591</v>
      </c>
      <c r="C15" s="16">
        <v>501386999566</v>
      </c>
      <c r="D15" s="35">
        <v>427778817941</v>
      </c>
      <c r="E15" s="434">
        <f>B15/B14</f>
        <v>1.9808033560043431E-2</v>
      </c>
      <c r="F15" s="435">
        <f>C15/C14</f>
        <v>3.80218719814319E-2</v>
      </c>
      <c r="G15" s="436">
        <f>D15/D14</f>
        <v>2.7513631174210174E-2</v>
      </c>
    </row>
    <row r="16" spans="1:7">
      <c r="A16" s="36" t="s">
        <v>18</v>
      </c>
      <c r="B16" s="17">
        <v>242065476591</v>
      </c>
      <c r="C16" s="17">
        <v>500636999566</v>
      </c>
      <c r="D16" s="37">
        <v>426922790174</v>
      </c>
      <c r="E16" s="434"/>
      <c r="F16" s="437"/>
      <c r="G16" s="438"/>
    </row>
    <row r="17" spans="1:7">
      <c r="A17" s="36" t="s">
        <v>20</v>
      </c>
      <c r="B17" s="17">
        <v>750000000</v>
      </c>
      <c r="C17" s="17">
        <v>750000000</v>
      </c>
      <c r="D17" s="37">
        <v>856027767</v>
      </c>
      <c r="E17" s="434"/>
      <c r="F17" s="437"/>
      <c r="G17" s="438"/>
    </row>
    <row r="18" spans="1:7">
      <c r="A18" s="34" t="s">
        <v>22</v>
      </c>
      <c r="B18" s="16">
        <v>5000000000</v>
      </c>
      <c r="C18" s="16">
        <v>20560958904</v>
      </c>
      <c r="D18" s="35">
        <v>21278737672</v>
      </c>
      <c r="E18" s="434">
        <f>B18/B14</f>
        <v>4.0788243480476769E-4</v>
      </c>
      <c r="F18" s="435">
        <f>C18/C14</f>
        <v>1.5592070555081529E-3</v>
      </c>
      <c r="G18" s="436">
        <f>D18/D14</f>
        <v>1.3685935712715131E-3</v>
      </c>
    </row>
    <row r="19" spans="1:7">
      <c r="A19" s="36" t="s">
        <v>24</v>
      </c>
      <c r="B19" s="17">
        <v>5000000000</v>
      </c>
      <c r="C19" s="17">
        <v>20560958904</v>
      </c>
      <c r="D19" s="37">
        <v>21278737672</v>
      </c>
      <c r="E19" s="434"/>
      <c r="F19" s="437"/>
      <c r="G19" s="438"/>
    </row>
    <row r="20" spans="1:7">
      <c r="A20" s="34" t="s">
        <v>254</v>
      </c>
      <c r="B20" s="16">
        <v>8315127736295</v>
      </c>
      <c r="C20" s="16">
        <v>8405245948063</v>
      </c>
      <c r="D20" s="35">
        <v>10613408098640</v>
      </c>
      <c r="E20" s="434">
        <f>B20/B14</f>
        <v>0.67831890935853212</v>
      </c>
      <c r="F20" s="435">
        <f>C20/C14</f>
        <v>0.63739822868628715</v>
      </c>
      <c r="G20" s="436">
        <f>D20/D14</f>
        <v>0.68262705791017275</v>
      </c>
    </row>
    <row r="21" spans="1:7">
      <c r="A21" s="36" t="s">
        <v>255</v>
      </c>
      <c r="B21" s="17">
        <v>7934070297881</v>
      </c>
      <c r="C21" s="17">
        <v>7416195465814</v>
      </c>
      <c r="D21" s="37">
        <v>9337308709135</v>
      </c>
      <c r="E21" s="434"/>
      <c r="F21" s="437"/>
      <c r="G21" s="438"/>
    </row>
    <row r="22" spans="1:7">
      <c r="A22" s="36" t="s">
        <v>30</v>
      </c>
      <c r="B22" s="17">
        <v>95559044734</v>
      </c>
      <c r="C22" s="17">
        <v>26549614993</v>
      </c>
      <c r="D22" s="37">
        <v>535694209756</v>
      </c>
      <c r="E22" s="434"/>
      <c r="F22" s="437"/>
      <c r="G22" s="438"/>
    </row>
    <row r="23" spans="1:7">
      <c r="A23" s="36" t="s">
        <v>32</v>
      </c>
      <c r="B23" s="17" t="s">
        <v>256</v>
      </c>
      <c r="C23" s="17">
        <v>118500000000</v>
      </c>
      <c r="D23" s="37">
        <v>374000000000</v>
      </c>
      <c r="E23" s="434"/>
      <c r="F23" s="437"/>
      <c r="G23" s="438"/>
    </row>
    <row r="24" spans="1:7">
      <c r="A24" s="36" t="s">
        <v>35</v>
      </c>
      <c r="B24" s="17">
        <v>299205562269</v>
      </c>
      <c r="C24" s="17">
        <v>854774675210</v>
      </c>
      <c r="D24" s="37">
        <v>366833818035</v>
      </c>
      <c r="E24" s="434"/>
      <c r="F24" s="437"/>
      <c r="G24" s="438"/>
    </row>
    <row r="25" spans="1:7">
      <c r="A25" s="36" t="s">
        <v>37</v>
      </c>
      <c r="B25" s="17">
        <v>-13707168589</v>
      </c>
      <c r="C25" s="17">
        <v>-10773807954</v>
      </c>
      <c r="D25" s="37">
        <v>-428638286</v>
      </c>
      <c r="E25" s="434"/>
      <c r="F25" s="437"/>
      <c r="G25" s="438"/>
    </row>
    <row r="26" spans="1:7">
      <c r="A26" s="34" t="s">
        <v>39</v>
      </c>
      <c r="B26" s="16">
        <v>3185372278891</v>
      </c>
      <c r="C26" s="16">
        <v>3749491109277</v>
      </c>
      <c r="D26" s="35">
        <v>3943145442782</v>
      </c>
      <c r="E26" s="434">
        <f>B26/B14</f>
        <v>0.25985148017473453</v>
      </c>
      <c r="F26" s="435">
        <f>C26/C14</f>
        <v>0.28433659244425818</v>
      </c>
      <c r="G26" s="436">
        <f>D26/D14</f>
        <v>0.25361295330414135</v>
      </c>
    </row>
    <row r="27" spans="1:7">
      <c r="A27" s="36" t="s">
        <v>40</v>
      </c>
      <c r="B27" s="17">
        <v>3377955693089</v>
      </c>
      <c r="C27" s="17">
        <v>3876500070101</v>
      </c>
      <c r="D27" s="37">
        <v>4064994260176</v>
      </c>
      <c r="E27" s="434"/>
      <c r="F27" s="437"/>
      <c r="G27" s="438"/>
    </row>
    <row r="28" spans="1:7">
      <c r="A28" s="36" t="s">
        <v>42</v>
      </c>
      <c r="B28" s="17">
        <v>-192583414198</v>
      </c>
      <c r="C28" s="17">
        <v>-127008960824</v>
      </c>
      <c r="D28" s="37">
        <v>-121848817394</v>
      </c>
      <c r="E28" s="434"/>
      <c r="F28" s="437"/>
      <c r="G28" s="438"/>
    </row>
    <row r="29" spans="1:7">
      <c r="A29" s="38" t="s">
        <v>44</v>
      </c>
      <c r="B29" s="16">
        <v>510118736687</v>
      </c>
      <c r="C29" s="16">
        <v>510119668895</v>
      </c>
      <c r="D29" s="35">
        <v>542275520780</v>
      </c>
      <c r="E29" s="434">
        <f>B29/B14</f>
        <v>4.1613694471885142E-2</v>
      </c>
      <c r="F29" s="435">
        <f>C29/C14</f>
        <v>3.868409983251464E-2</v>
      </c>
      <c r="G29" s="436">
        <f>D29/D14</f>
        <v>3.4877764040204193E-2</v>
      </c>
    </row>
    <row r="30" spans="1:7">
      <c r="A30" s="39" t="s">
        <v>46</v>
      </c>
      <c r="B30" s="17">
        <v>94748267020</v>
      </c>
      <c r="C30" s="17">
        <v>96483062965</v>
      </c>
      <c r="D30" s="37">
        <v>86974686528</v>
      </c>
      <c r="E30" s="48"/>
      <c r="F30" s="47"/>
      <c r="G30" s="29"/>
    </row>
    <row r="31" spans="1:7">
      <c r="A31" s="39" t="s">
        <v>48</v>
      </c>
      <c r="B31" s="17">
        <v>286790842330</v>
      </c>
      <c r="C31" s="17">
        <v>285106020138</v>
      </c>
      <c r="D31" s="37">
        <v>326902155004</v>
      </c>
      <c r="E31" s="48"/>
      <c r="F31" s="47"/>
      <c r="G31" s="29"/>
    </row>
    <row r="32" spans="1:7" ht="15" thickBot="1">
      <c r="A32" s="40" t="s">
        <v>50</v>
      </c>
      <c r="B32" s="41">
        <v>128579627337</v>
      </c>
      <c r="C32" s="41">
        <v>128530585792</v>
      </c>
      <c r="D32" s="42">
        <v>128398679248</v>
      </c>
      <c r="E32" s="49"/>
      <c r="F32" s="50"/>
      <c r="G32" s="31"/>
    </row>
    <row r="33" spans="1:8" ht="15" thickBot="1"/>
    <row r="34" spans="1:8">
      <c r="A34" s="494" t="s">
        <v>257</v>
      </c>
      <c r="B34" s="495"/>
      <c r="C34" s="495"/>
      <c r="D34" s="495"/>
      <c r="E34" s="495"/>
      <c r="F34" s="495"/>
      <c r="G34" s="496"/>
    </row>
    <row r="35" spans="1:8">
      <c r="A35" s="20"/>
      <c r="B35" s="13">
        <v>2022</v>
      </c>
      <c r="C35" s="13">
        <v>2023</v>
      </c>
      <c r="D35" s="13">
        <v>2024</v>
      </c>
      <c r="E35" s="13">
        <v>2022</v>
      </c>
      <c r="F35" s="13">
        <v>2023</v>
      </c>
      <c r="G35" s="53">
        <v>2024</v>
      </c>
    </row>
    <row r="36" spans="1:8">
      <c r="A36" s="60" t="s">
        <v>52</v>
      </c>
      <c r="B36" s="59">
        <v>5118727087531</v>
      </c>
      <c r="C36" s="59">
        <v>4924991584484</v>
      </c>
      <c r="D36" s="59">
        <v>4763897298254</v>
      </c>
      <c r="E36" s="56"/>
      <c r="F36" s="47"/>
      <c r="G36" s="29"/>
    </row>
    <row r="37" spans="1:8">
      <c r="A37" s="439" t="s">
        <v>54</v>
      </c>
      <c r="B37" s="440">
        <v>241195291600</v>
      </c>
      <c r="C37" s="440">
        <v>140931524246</v>
      </c>
      <c r="D37" s="440">
        <v>175741186200</v>
      </c>
      <c r="E37" s="441"/>
      <c r="F37" s="47"/>
      <c r="G37" s="29"/>
    </row>
    <row r="38" spans="1:8">
      <c r="A38" s="439" t="s">
        <v>56</v>
      </c>
      <c r="B38" s="440">
        <v>70700000000</v>
      </c>
      <c r="C38" s="440" t="s">
        <v>33</v>
      </c>
      <c r="D38" s="440" t="s">
        <v>33</v>
      </c>
      <c r="E38" s="441"/>
      <c r="F38" s="47"/>
      <c r="G38" s="29"/>
    </row>
    <row r="39" spans="1:8">
      <c r="A39" s="439" t="s">
        <v>58</v>
      </c>
      <c r="B39" s="440">
        <v>170495291600</v>
      </c>
      <c r="C39" s="440">
        <v>140931524246</v>
      </c>
      <c r="D39" s="440">
        <v>175741186200</v>
      </c>
      <c r="E39" s="441"/>
      <c r="F39" s="442"/>
      <c r="G39" s="443"/>
      <c r="H39" s="432"/>
    </row>
    <row r="40" spans="1:8">
      <c r="A40" s="60" t="s">
        <v>60</v>
      </c>
      <c r="B40" s="59">
        <v>1198450061079</v>
      </c>
      <c r="C40" s="59">
        <v>1016313002019</v>
      </c>
      <c r="D40" s="59">
        <v>844402354164</v>
      </c>
      <c r="E40" s="444">
        <f>B40/B36</f>
        <v>0.23413048607306552</v>
      </c>
      <c r="F40" s="437">
        <f>C40/C36</f>
        <v>0.20635832256462239</v>
      </c>
      <c r="G40" s="438">
        <f>D40/D36</f>
        <v>0.17725032705333069</v>
      </c>
      <c r="H40" s="432"/>
    </row>
    <row r="41" spans="1:8">
      <c r="A41" s="32" t="s">
        <v>62</v>
      </c>
      <c r="B41" s="57">
        <v>1014508752822</v>
      </c>
      <c r="C41" s="57">
        <v>848743235444</v>
      </c>
      <c r="D41" s="57">
        <v>666709132303</v>
      </c>
      <c r="E41" s="444"/>
      <c r="F41" s="437"/>
      <c r="G41" s="438"/>
      <c r="H41" s="432"/>
    </row>
    <row r="42" spans="1:8">
      <c r="A42" s="32" t="s">
        <v>64</v>
      </c>
      <c r="B42" s="57">
        <v>3794307134043</v>
      </c>
      <c r="C42" s="57">
        <v>3888602489525</v>
      </c>
      <c r="D42" s="57">
        <v>3851460375484</v>
      </c>
      <c r="E42" s="444"/>
      <c r="F42" s="437"/>
      <c r="G42" s="438"/>
      <c r="H42" s="432"/>
    </row>
    <row r="43" spans="1:8">
      <c r="A43" s="32" t="s">
        <v>66</v>
      </c>
      <c r="B43" s="57">
        <v>-2779798381221</v>
      </c>
      <c r="C43" s="57">
        <v>-3039859254081</v>
      </c>
      <c r="D43" s="57">
        <v>-3184751243181</v>
      </c>
      <c r="E43" s="444"/>
      <c r="F43" s="437"/>
      <c r="G43" s="438"/>
      <c r="H43" s="432"/>
    </row>
    <row r="44" spans="1:8">
      <c r="A44" s="32" t="s">
        <v>68</v>
      </c>
      <c r="B44" s="57">
        <v>183941308257</v>
      </c>
      <c r="C44" s="57">
        <v>167569766575</v>
      </c>
      <c r="D44" s="57">
        <v>177693221861</v>
      </c>
      <c r="E44" s="444"/>
      <c r="F44" s="437"/>
      <c r="G44" s="438"/>
      <c r="H44" s="432"/>
    </row>
    <row r="45" spans="1:8">
      <c r="A45" s="32" t="s">
        <v>64</v>
      </c>
      <c r="B45" s="57">
        <v>259431861261</v>
      </c>
      <c r="C45" s="57">
        <v>254559214510</v>
      </c>
      <c r="D45" s="57">
        <v>270506314710</v>
      </c>
      <c r="E45" s="444"/>
      <c r="F45" s="437"/>
      <c r="G45" s="438"/>
      <c r="H45" s="432"/>
    </row>
    <row r="46" spans="1:8">
      <c r="A46" s="439" t="s">
        <v>69</v>
      </c>
      <c r="B46" s="57">
        <v>-75490553004</v>
      </c>
      <c r="C46" s="57">
        <v>-86989447935</v>
      </c>
      <c r="D46" s="57">
        <v>-92813092849</v>
      </c>
      <c r="E46" s="444"/>
      <c r="F46" s="437"/>
      <c r="G46" s="438"/>
      <c r="H46" s="432"/>
    </row>
    <row r="47" spans="1:8">
      <c r="A47" s="60" t="s">
        <v>71</v>
      </c>
      <c r="B47" s="59">
        <v>106037865309</v>
      </c>
      <c r="C47" s="59">
        <v>27180502737</v>
      </c>
      <c r="D47" s="59">
        <v>9027013569</v>
      </c>
      <c r="E47" s="444">
        <f>B47/B36</f>
        <v>2.0715670809507251E-2</v>
      </c>
      <c r="F47" s="437">
        <f>C47/C36</f>
        <v>5.5188932347886941E-3</v>
      </c>
      <c r="G47" s="438">
        <f>D47/D36</f>
        <v>1.8948799698743422E-3</v>
      </c>
      <c r="H47" s="432"/>
    </row>
    <row r="48" spans="1:8">
      <c r="A48" s="439" t="s">
        <v>73</v>
      </c>
      <c r="B48" s="57">
        <v>106037865309</v>
      </c>
      <c r="C48" s="57">
        <v>27180502737</v>
      </c>
      <c r="D48" s="57">
        <v>9027013569</v>
      </c>
      <c r="E48" s="444"/>
      <c r="F48" s="437"/>
      <c r="G48" s="438"/>
      <c r="H48" s="432"/>
    </row>
    <row r="49" spans="1:10">
      <c r="A49" s="60" t="s">
        <v>75</v>
      </c>
      <c r="B49" s="59">
        <v>3393850000000</v>
      </c>
      <c r="C49" s="59">
        <v>3589850000000</v>
      </c>
      <c r="D49" s="59">
        <v>3595595087671</v>
      </c>
      <c r="E49" s="444">
        <f>B49/B36</f>
        <v>0.66302616685059712</v>
      </c>
      <c r="F49" s="437">
        <f>C49/C36</f>
        <v>0.72890479880406023</v>
      </c>
      <c r="G49" s="438">
        <f>D49/D36</f>
        <v>0.75475915255117054</v>
      </c>
      <c r="H49" s="432"/>
    </row>
    <row r="50" spans="1:10">
      <c r="A50" s="32" t="s">
        <v>77</v>
      </c>
      <c r="B50" s="57">
        <v>3377850000000</v>
      </c>
      <c r="C50" s="57">
        <v>3588850000000</v>
      </c>
      <c r="D50" s="57">
        <v>3594595087671</v>
      </c>
      <c r="E50" s="444"/>
      <c r="F50" s="437"/>
      <c r="G50" s="438"/>
      <c r="H50" s="432"/>
    </row>
    <row r="51" spans="1:10">
      <c r="A51" s="32" t="s">
        <v>79</v>
      </c>
      <c r="B51" s="57" t="s">
        <v>33</v>
      </c>
      <c r="C51" s="57" t="s">
        <v>33</v>
      </c>
      <c r="D51" s="57" t="s">
        <v>33</v>
      </c>
      <c r="E51" s="444"/>
      <c r="F51" s="437"/>
      <c r="G51" s="438"/>
      <c r="H51" s="432"/>
    </row>
    <row r="52" spans="1:10">
      <c r="A52" s="439" t="s">
        <v>24</v>
      </c>
      <c r="B52" s="57">
        <v>16000000000</v>
      </c>
      <c r="C52" s="57">
        <v>1000000000</v>
      </c>
      <c r="D52" s="57">
        <v>1000000000</v>
      </c>
      <c r="E52" s="444"/>
      <c r="F52" s="437"/>
      <c r="G52" s="438"/>
      <c r="H52" s="432"/>
    </row>
    <row r="53" spans="1:10">
      <c r="A53" s="60" t="s">
        <v>81</v>
      </c>
      <c r="B53" s="59">
        <v>179193869543</v>
      </c>
      <c r="C53" s="59">
        <v>150716555482</v>
      </c>
      <c r="D53" s="59">
        <v>139131656650</v>
      </c>
      <c r="E53" s="444">
        <f>B53/B36</f>
        <v>3.5007506061323058E-2</v>
      </c>
      <c r="F53" s="437">
        <f>C53/C36</f>
        <v>3.0602398582126884E-2</v>
      </c>
      <c r="G53" s="438">
        <f>D53/D36</f>
        <v>2.9205427392608292E-2</v>
      </c>
      <c r="H53" s="432"/>
    </row>
    <row r="54" spans="1:10">
      <c r="A54" s="32" t="s">
        <v>83</v>
      </c>
      <c r="B54" s="57">
        <v>69639780740</v>
      </c>
      <c r="C54" s="57">
        <v>100428317304</v>
      </c>
      <c r="D54" s="57">
        <v>62373737291</v>
      </c>
      <c r="E54" s="444"/>
      <c r="F54" s="437"/>
      <c r="G54" s="438"/>
      <c r="H54" s="432"/>
    </row>
    <row r="55" spans="1:10" ht="15" thickBot="1">
      <c r="A55" s="445" t="s">
        <v>85</v>
      </c>
      <c r="B55" s="58">
        <v>109554088803</v>
      </c>
      <c r="C55" s="58">
        <v>50288238178</v>
      </c>
      <c r="D55" s="58">
        <v>76757919359</v>
      </c>
      <c r="E55" s="446"/>
      <c r="F55" s="447"/>
      <c r="G55" s="448"/>
      <c r="H55" s="432"/>
    </row>
    <row r="56" spans="1:10" ht="15" thickBot="1">
      <c r="E56" s="432"/>
      <c r="F56" s="432"/>
      <c r="G56" s="432"/>
      <c r="H56" s="432"/>
    </row>
    <row r="57" spans="1:10">
      <c r="A57" s="494" t="s">
        <v>258</v>
      </c>
      <c r="B57" s="495"/>
      <c r="C57" s="495"/>
      <c r="D57" s="496"/>
      <c r="E57" s="111"/>
      <c r="F57" s="449" t="s">
        <v>246</v>
      </c>
      <c r="G57" s="450">
        <v>2022</v>
      </c>
      <c r="H57" s="450">
        <v>2023</v>
      </c>
      <c r="I57" s="451">
        <v>2024</v>
      </c>
      <c r="J57" s="13"/>
    </row>
    <row r="58" spans="1:10">
      <c r="A58" s="20"/>
      <c r="B58" s="13">
        <v>2022</v>
      </c>
      <c r="C58" s="13">
        <v>2023</v>
      </c>
      <c r="D58" s="21">
        <v>2024</v>
      </c>
      <c r="F58" s="452" t="s">
        <v>259</v>
      </c>
      <c r="G58" s="453">
        <f>B60/B59</f>
        <v>0.35736753983246422</v>
      </c>
      <c r="H58" s="453">
        <f>C60/C59</f>
        <v>0.37709375686455993</v>
      </c>
      <c r="I58" s="454">
        <f t="shared" ref="I58" si="0">D60/D59</f>
        <v>0.43712624988403004</v>
      </c>
      <c r="J58" s="13"/>
    </row>
    <row r="59" spans="1:10">
      <c r="A59" s="67" t="s">
        <v>87</v>
      </c>
      <c r="B59" s="68">
        <v>17377161315995</v>
      </c>
      <c r="C59" s="68">
        <v>18111796269189</v>
      </c>
      <c r="D59" s="69">
        <v>20311783916069</v>
      </c>
      <c r="E59" s="15"/>
      <c r="F59" s="452" t="s">
        <v>260</v>
      </c>
      <c r="G59" s="453">
        <f>B73/B59</f>
        <v>0.64263246016753572</v>
      </c>
      <c r="H59" s="453">
        <f t="shared" ref="H59:I59" si="1">C73/C59</f>
        <v>0.62290624313544007</v>
      </c>
      <c r="I59" s="454">
        <f t="shared" si="1"/>
        <v>0.56287375011596996</v>
      </c>
      <c r="J59" s="13"/>
    </row>
    <row r="60" spans="1:10" ht="29.1">
      <c r="A60" s="54" t="s">
        <v>89</v>
      </c>
      <c r="B60" s="15">
        <v>6210033388769</v>
      </c>
      <c r="C60" s="15">
        <v>6829845298714</v>
      </c>
      <c r="D60" s="33">
        <v>8878813931686</v>
      </c>
      <c r="E60" s="15"/>
      <c r="F60" s="455" t="s">
        <v>261</v>
      </c>
      <c r="G60" s="456">
        <f>6210033388769/1000000000000</f>
        <v>6.2100333887690002</v>
      </c>
      <c r="H60" s="456">
        <f>6829845298714/1000000000000</f>
        <v>6.8298452987139999</v>
      </c>
      <c r="I60" s="457">
        <f>8878813931686/1000000000000</f>
        <v>8.8788139316860004</v>
      </c>
      <c r="J60" s="13"/>
    </row>
    <row r="61" spans="1:10">
      <c r="A61" s="54" t="s">
        <v>91</v>
      </c>
      <c r="B61" s="15">
        <v>6195799689582</v>
      </c>
      <c r="C61" s="15">
        <v>6815609482547</v>
      </c>
      <c r="D61" s="33">
        <v>8864853420561</v>
      </c>
      <c r="E61" s="15"/>
      <c r="F61" s="458" t="s">
        <v>262</v>
      </c>
      <c r="G61" s="13" t="s">
        <v>33</v>
      </c>
      <c r="H61" s="453">
        <f>(H60/G60)-1</f>
        <v>9.9808144520759701E-2</v>
      </c>
      <c r="I61" s="454">
        <f>(I60/H60)-1</f>
        <v>0.30000220259129495</v>
      </c>
      <c r="J61" s="13"/>
    </row>
    <row r="62" spans="1:10" ht="29.1">
      <c r="A62" s="32" t="s">
        <v>93</v>
      </c>
      <c r="B62" s="17">
        <v>1970635586928</v>
      </c>
      <c r="C62" s="17">
        <v>3330483232614</v>
      </c>
      <c r="D62" s="37">
        <v>2853606214481</v>
      </c>
      <c r="E62" s="17"/>
      <c r="F62" s="458" t="s">
        <v>263</v>
      </c>
      <c r="G62" s="456">
        <f>11167127927226/1000000000000</f>
        <v>11.167127927226</v>
      </c>
      <c r="H62" s="456">
        <f>11281950970475/1000000000000</f>
        <v>11.281950970475</v>
      </c>
      <c r="I62" s="457">
        <f>11432969984383/1000000000000</f>
        <v>11.432969984383</v>
      </c>
      <c r="J62" s="13"/>
    </row>
    <row r="63" spans="1:10">
      <c r="A63" s="32" t="s">
        <v>95</v>
      </c>
      <c r="B63" s="17">
        <v>176845202295</v>
      </c>
      <c r="C63" s="17">
        <v>129957335766</v>
      </c>
      <c r="D63" s="37">
        <v>179998887975</v>
      </c>
      <c r="E63" s="17"/>
      <c r="F63" s="109" t="s">
        <v>264</v>
      </c>
      <c r="G63" s="108">
        <f>G60/G62</f>
        <v>0.55609942227209896</v>
      </c>
      <c r="H63" s="108">
        <f t="shared" ref="H63:I63" si="2">H60/H62</f>
        <v>0.60537803404639734</v>
      </c>
      <c r="I63" s="110">
        <f t="shared" si="2"/>
        <v>0.77659732718743435</v>
      </c>
      <c r="J63" s="13"/>
    </row>
    <row r="64" spans="1:10" ht="29.1">
      <c r="A64" s="32" t="s">
        <v>265</v>
      </c>
      <c r="B64" s="17">
        <v>5275868275</v>
      </c>
      <c r="C64" s="17">
        <v>145505586644</v>
      </c>
      <c r="D64" s="37">
        <v>74417109924</v>
      </c>
      <c r="E64" s="17"/>
      <c r="F64" s="109" t="s">
        <v>247</v>
      </c>
      <c r="G64" s="456">
        <f>17377161315995/1000000000000</f>
        <v>17.377161315995</v>
      </c>
      <c r="H64" s="456">
        <f>18111796269189/1000000000000</f>
        <v>18.111796269189</v>
      </c>
      <c r="I64" s="457">
        <f>20311783916069/1000000000000</f>
        <v>20.311783916069</v>
      </c>
      <c r="J64" s="13"/>
    </row>
    <row r="65" spans="1:9" ht="29.1">
      <c r="A65" s="32" t="s">
        <v>99</v>
      </c>
      <c r="B65" s="17">
        <v>64245590725</v>
      </c>
      <c r="C65" s="17">
        <v>48600453107</v>
      </c>
      <c r="D65" s="37">
        <v>64468071697</v>
      </c>
      <c r="E65" s="17"/>
      <c r="F65" s="458" t="s">
        <v>266</v>
      </c>
      <c r="G65" s="459">
        <f>6195799689582/1000000000000</f>
        <v>6.1957996895819996</v>
      </c>
      <c r="H65" s="459">
        <f>6815609482547/1000000000000</f>
        <v>6.8156094825469999</v>
      </c>
      <c r="I65" s="460">
        <f>8864853420561/1000000000000</f>
        <v>8.8648534205609995</v>
      </c>
    </row>
    <row r="66" spans="1:9" ht="29.45" thickBot="1">
      <c r="A66" s="32" t="s">
        <v>101</v>
      </c>
      <c r="B66" s="17">
        <v>207561319455</v>
      </c>
      <c r="C66" s="17">
        <v>66684028030</v>
      </c>
      <c r="D66" s="37">
        <v>208807717032</v>
      </c>
      <c r="E66" s="17"/>
      <c r="F66" s="461" t="s">
        <v>267</v>
      </c>
      <c r="G66" s="462">
        <f>14233699187/1000000000000</f>
        <v>1.4233699187E-2</v>
      </c>
      <c r="H66" s="462">
        <f>14235816167/1000000000000</f>
        <v>1.4235816167000001E-2</v>
      </c>
      <c r="I66" s="463">
        <f>13960511125/1000000000000</f>
        <v>1.3960511125E-2</v>
      </c>
    </row>
    <row r="67" spans="1:9">
      <c r="A67" s="439" t="s">
        <v>103</v>
      </c>
      <c r="B67" s="17">
        <v>18979145366</v>
      </c>
      <c r="C67" s="17">
        <v>42122470287</v>
      </c>
      <c r="D67" s="37">
        <v>137451191503</v>
      </c>
      <c r="E67" s="52"/>
    </row>
    <row r="68" spans="1:9">
      <c r="A68" s="32" t="s">
        <v>105</v>
      </c>
      <c r="B68" s="17">
        <v>3545557150716</v>
      </c>
      <c r="C68" s="17">
        <v>2903786802438</v>
      </c>
      <c r="D68" s="37">
        <v>5310715159144</v>
      </c>
      <c r="E68" s="52"/>
    </row>
    <row r="69" spans="1:9">
      <c r="A69" s="32" t="s">
        <v>107</v>
      </c>
      <c r="B69" s="17">
        <v>4</v>
      </c>
      <c r="C69" s="17">
        <v>148469573661</v>
      </c>
      <c r="D69" s="37">
        <v>35388068805</v>
      </c>
      <c r="E69" s="52"/>
    </row>
    <row r="70" spans="1:9">
      <c r="A70" s="54" t="s">
        <v>109</v>
      </c>
      <c r="B70" s="15">
        <v>14233699187</v>
      </c>
      <c r="C70" s="15">
        <v>14235816167</v>
      </c>
      <c r="D70" s="33">
        <v>13960511125</v>
      </c>
    </row>
    <row r="71" spans="1:9">
      <c r="A71" s="439" t="s">
        <v>111</v>
      </c>
      <c r="B71" s="17">
        <v>709500000</v>
      </c>
      <c r="C71" s="17">
        <v>709500000</v>
      </c>
      <c r="D71" s="37">
        <v>709500000</v>
      </c>
    </row>
    <row r="72" spans="1:9">
      <c r="A72" s="32" t="s">
        <v>113</v>
      </c>
      <c r="B72" s="17">
        <v>13524199187</v>
      </c>
      <c r="C72" s="17">
        <v>13526316167</v>
      </c>
      <c r="D72" s="37">
        <v>13251011125</v>
      </c>
    </row>
    <row r="73" spans="1:9">
      <c r="A73" s="54" t="s">
        <v>115</v>
      </c>
      <c r="B73" s="15">
        <v>11167127927226</v>
      </c>
      <c r="C73" s="15">
        <v>11281950970475</v>
      </c>
      <c r="D73" s="33">
        <v>11432969984383</v>
      </c>
    </row>
    <row r="74" spans="1:9">
      <c r="A74" s="54" t="s">
        <v>117</v>
      </c>
      <c r="B74" s="15">
        <v>11167127927226</v>
      </c>
      <c r="C74" s="15">
        <v>11281950970475</v>
      </c>
      <c r="D74" s="33">
        <v>11432969984383</v>
      </c>
    </row>
    <row r="75" spans="1:9">
      <c r="A75" s="32" t="s">
        <v>119</v>
      </c>
      <c r="B75" s="17">
        <v>5980549860000</v>
      </c>
      <c r="C75" s="17">
        <v>6159823090000</v>
      </c>
      <c r="D75" s="37">
        <v>6159823090000</v>
      </c>
    </row>
    <row r="76" spans="1:9">
      <c r="A76" s="74" t="s">
        <v>122</v>
      </c>
      <c r="B76" s="70">
        <v>5980549860000</v>
      </c>
      <c r="C76" s="70">
        <v>6159823090000</v>
      </c>
      <c r="D76" s="71">
        <v>6159823090000</v>
      </c>
    </row>
    <row r="77" spans="1:9">
      <c r="A77" s="74" t="s">
        <v>124</v>
      </c>
      <c r="B77" s="17">
        <v>157292539068</v>
      </c>
      <c r="C77" s="17">
        <v>157292539068</v>
      </c>
      <c r="D77" s="37">
        <v>157292539068</v>
      </c>
    </row>
    <row r="78" spans="1:9">
      <c r="A78" s="439" t="s">
        <v>126</v>
      </c>
      <c r="B78" s="17">
        <v>187499009876</v>
      </c>
      <c r="C78" s="17">
        <v>77910496944</v>
      </c>
      <c r="D78" s="37">
        <v>50993213769</v>
      </c>
    </row>
    <row r="79" spans="1:9">
      <c r="A79" s="32" t="s">
        <v>128</v>
      </c>
      <c r="B79" s="17">
        <v>4841786518282</v>
      </c>
      <c r="C79" s="17">
        <v>4886924844463</v>
      </c>
      <c r="D79" s="37">
        <v>5064861141546</v>
      </c>
    </row>
    <row r="80" spans="1:9">
      <c r="A80" s="32" t="s">
        <v>131</v>
      </c>
      <c r="B80" s="70">
        <v>4793615960838</v>
      </c>
      <c r="C80" s="70">
        <v>4638635861919</v>
      </c>
      <c r="D80" s="71">
        <v>4576082907573</v>
      </c>
    </row>
    <row r="81" spans="1:10">
      <c r="A81" s="32" t="s">
        <v>134</v>
      </c>
      <c r="B81" s="70">
        <v>48170557444</v>
      </c>
      <c r="C81" s="70">
        <v>248288982544</v>
      </c>
      <c r="D81" s="71">
        <v>488778233973</v>
      </c>
    </row>
    <row r="82" spans="1:10" ht="15" thickBot="1">
      <c r="A82" s="464" t="s">
        <v>136</v>
      </c>
      <c r="B82" s="72">
        <v>17377161315995</v>
      </c>
      <c r="C82" s="72">
        <v>18111796269189</v>
      </c>
      <c r="D82" s="73">
        <v>20311783916069</v>
      </c>
    </row>
    <row r="84" spans="1:10" ht="15" thickBot="1">
      <c r="A84" s="112" t="s">
        <v>268</v>
      </c>
    </row>
    <row r="85" spans="1:10">
      <c r="A85" s="123"/>
      <c r="B85" s="19"/>
      <c r="C85" s="19">
        <v>2022</v>
      </c>
      <c r="D85" s="44">
        <v>2023</v>
      </c>
      <c r="E85" s="45">
        <v>2024</v>
      </c>
      <c r="G85" s="465" t="s">
        <v>246</v>
      </c>
      <c r="H85" s="466">
        <v>2022</v>
      </c>
      <c r="I85" s="466">
        <v>2023</v>
      </c>
      <c r="J85" s="466">
        <v>2024</v>
      </c>
    </row>
    <row r="86" spans="1:10" ht="29.1">
      <c r="A86" s="54" t="s">
        <v>140</v>
      </c>
      <c r="B86" s="2"/>
      <c r="C86" s="55">
        <v>81450228213277</v>
      </c>
      <c r="D86" s="55">
        <v>52881019564133</v>
      </c>
      <c r="E86" s="122">
        <v>67051370845971</v>
      </c>
      <c r="G86" s="467" t="s">
        <v>269</v>
      </c>
      <c r="H86" s="468">
        <f>81189481215099/1000000000000</f>
        <v>81.189481215098994</v>
      </c>
      <c r="I86" s="468">
        <f>52604763167190/1000000000000</f>
        <v>52.604763167190001</v>
      </c>
      <c r="J86" s="468">
        <f>66712547798751/1000000000000</f>
        <v>66.712547798751004</v>
      </c>
    </row>
    <row r="87" spans="1:10" ht="29.1">
      <c r="A87" s="54" t="s">
        <v>142</v>
      </c>
      <c r="B87" s="2"/>
      <c r="C87" s="55">
        <v>260746998178</v>
      </c>
      <c r="D87" s="55">
        <v>276256396943</v>
      </c>
      <c r="E87" s="122">
        <v>338823047220</v>
      </c>
      <c r="G87" s="467" t="s">
        <v>270</v>
      </c>
      <c r="H87" s="469" t="s">
        <v>33</v>
      </c>
      <c r="I87" s="470">
        <f>I86/H86 -1</f>
        <v>-0.35207415566775446</v>
      </c>
      <c r="J87" s="470">
        <f>J86/I86 -1</f>
        <v>0.26818454797949043</v>
      </c>
    </row>
    <row r="88" spans="1:10" ht="29.1">
      <c r="A88" s="124" t="s">
        <v>144</v>
      </c>
      <c r="B88" s="125"/>
      <c r="C88" s="126">
        <v>81189481215099</v>
      </c>
      <c r="D88" s="126">
        <v>52604763167190</v>
      </c>
      <c r="E88" s="127">
        <v>66712547798751</v>
      </c>
      <c r="G88" s="159" t="s">
        <v>271</v>
      </c>
      <c r="H88" s="160">
        <f>48170557444/1000000000000</f>
        <v>4.8170557443999999E-2</v>
      </c>
      <c r="I88" s="160">
        <f>248288982544/1000000000000</f>
        <v>0.248288982544</v>
      </c>
      <c r="J88" s="160">
        <f>528922307162/1000000000000</f>
        <v>0.52892230716199995</v>
      </c>
    </row>
    <row r="89" spans="1:10" ht="29.1">
      <c r="A89" s="144" t="s">
        <v>146</v>
      </c>
      <c r="B89" s="148"/>
      <c r="C89" s="149">
        <v>77388423409761</v>
      </c>
      <c r="D89" s="149">
        <v>50476627454498</v>
      </c>
      <c r="E89" s="150">
        <v>63473799048283</v>
      </c>
      <c r="G89" s="159" t="s">
        <v>272</v>
      </c>
      <c r="H89" s="161" t="s">
        <v>33</v>
      </c>
      <c r="I89" s="162">
        <f>I88/H88-1</f>
        <v>4.1543722082237649</v>
      </c>
      <c r="J89" s="162">
        <f>J88/I88-1</f>
        <v>1.1302689380035948</v>
      </c>
    </row>
    <row r="90" spans="1:10">
      <c r="A90" s="54" t="s">
        <v>148</v>
      </c>
      <c r="B90" s="2"/>
      <c r="C90" s="55">
        <v>3801057805338</v>
      </c>
      <c r="D90" s="55">
        <v>2128135712692</v>
      </c>
      <c r="E90" s="122">
        <v>3238748750468</v>
      </c>
      <c r="G90" s="471" t="s">
        <v>156</v>
      </c>
      <c r="H90" s="472">
        <f>323017357209/1000000000000</f>
        <v>0.32301735720899999</v>
      </c>
      <c r="I90" s="472">
        <f>242553285595/1000000000000</f>
        <v>0.242553285595</v>
      </c>
      <c r="J90" s="472">
        <f>308367699972/1000000000000</f>
        <v>0.30836769997199998</v>
      </c>
    </row>
    <row r="91" spans="1:10">
      <c r="A91" s="32" t="s">
        <v>150</v>
      </c>
      <c r="B91"/>
      <c r="C91" s="57">
        <v>425167604879</v>
      </c>
      <c r="D91" s="57">
        <v>800850256543</v>
      </c>
      <c r="E91" s="81">
        <v>652938094707</v>
      </c>
      <c r="G91" s="471" t="s">
        <v>154</v>
      </c>
      <c r="H91" s="472">
        <f>3469159524662/1000000000000</f>
        <v>3.4691595246619999</v>
      </c>
      <c r="I91" s="472">
        <f>2121829595199/1000000000000</f>
        <v>2.1218295951989998</v>
      </c>
      <c r="J91" s="472">
        <f>2858708812560/1000000000000</f>
        <v>2.8587088125600002</v>
      </c>
    </row>
    <row r="92" spans="1:10">
      <c r="A92" s="143" t="s">
        <v>152</v>
      </c>
      <c r="B92" s="145"/>
      <c r="C92" s="146">
        <v>419889233636</v>
      </c>
      <c r="D92" s="146">
        <v>300217604297</v>
      </c>
      <c r="E92" s="147">
        <v>251550025718</v>
      </c>
      <c r="G92" s="473" t="s">
        <v>146</v>
      </c>
      <c r="H92" s="474">
        <f>77388423409761/1000000000000</f>
        <v>77.388423409761003</v>
      </c>
      <c r="I92" s="474">
        <f>50476627454498/1000000000000</f>
        <v>50.476627454498001</v>
      </c>
      <c r="J92" s="474">
        <f>63473799048283/1000000000000</f>
        <v>63.473799048282999</v>
      </c>
    </row>
    <row r="93" spans="1:10">
      <c r="A93" s="143" t="s">
        <v>154</v>
      </c>
      <c r="B93" s="145"/>
      <c r="C93" s="146">
        <v>3469159524662</v>
      </c>
      <c r="D93" s="146">
        <v>2121829595199</v>
      </c>
      <c r="E93" s="147">
        <v>2858708812560</v>
      </c>
      <c r="G93" s="163" t="s">
        <v>152</v>
      </c>
      <c r="H93" s="164">
        <f>419889233636/1000000000000</f>
        <v>0.419889233636</v>
      </c>
      <c r="I93" s="164">
        <f>300217604297/1000000000000</f>
        <v>0.30021760429700001</v>
      </c>
      <c r="J93" s="164">
        <f>251550025718/1000000000000</f>
        <v>0.251550025718</v>
      </c>
    </row>
    <row r="94" spans="1:10">
      <c r="A94" s="143" t="s">
        <v>156</v>
      </c>
      <c r="B94" s="145"/>
      <c r="C94" s="146">
        <v>323017357209</v>
      </c>
      <c r="D94" s="146">
        <v>242553285595</v>
      </c>
      <c r="E94" s="147">
        <v>308367699972</v>
      </c>
      <c r="G94" s="473" t="s">
        <v>273</v>
      </c>
      <c r="H94" s="475">
        <f>H90/H86</f>
        <v>3.9785616606320641E-3</v>
      </c>
      <c r="I94" s="475">
        <f>I90/I86</f>
        <v>4.6108616595061944E-3</v>
      </c>
      <c r="J94" s="475">
        <f>J90/J86</f>
        <v>4.622334330600596E-3</v>
      </c>
    </row>
    <row r="95" spans="1:10">
      <c r="A95" s="54" t="s">
        <v>158</v>
      </c>
      <c r="B95" s="2"/>
      <c r="C95" s="55">
        <v>14159294710</v>
      </c>
      <c r="D95" s="55">
        <v>264385484144</v>
      </c>
      <c r="E95" s="122">
        <v>473060306925</v>
      </c>
      <c r="G95" s="473" t="s">
        <v>274</v>
      </c>
      <c r="H95" s="475">
        <f>H91/H86</f>
        <v>4.2729174675608501E-2</v>
      </c>
      <c r="I95" s="475">
        <f>I91/I86</f>
        <v>4.0335313143704095E-2</v>
      </c>
      <c r="J95" s="475">
        <f>J91/J86</f>
        <v>4.2851141305287117E-2</v>
      </c>
    </row>
    <row r="96" spans="1:10">
      <c r="A96" s="32" t="s">
        <v>160</v>
      </c>
      <c r="B96"/>
      <c r="C96" s="57">
        <v>37281371157</v>
      </c>
      <c r="D96" s="57">
        <v>45338320487</v>
      </c>
      <c r="E96" s="81">
        <v>34684261898</v>
      </c>
      <c r="G96" s="163" t="s">
        <v>275</v>
      </c>
      <c r="H96" s="165">
        <f>H93/H86</f>
        <v>5.1717196286002656E-3</v>
      </c>
      <c r="I96" s="165">
        <f t="shared" ref="I96:J96" si="3">I93/I86</f>
        <v>5.7070422186454792E-3</v>
      </c>
      <c r="J96" s="165">
        <f t="shared" si="3"/>
        <v>3.7706553567230052E-3</v>
      </c>
    </row>
    <row r="97" spans="1:10">
      <c r="A97" s="32" t="s">
        <v>162</v>
      </c>
      <c r="B97"/>
      <c r="C97" s="57">
        <v>2028544004</v>
      </c>
      <c r="D97" s="57">
        <v>631991708</v>
      </c>
      <c r="E97" s="81">
        <v>5192249642</v>
      </c>
      <c r="G97" s="476" t="s">
        <v>276</v>
      </c>
      <c r="H97" s="475">
        <f>H92/H86</f>
        <v>0.95318287851516537</v>
      </c>
      <c r="I97" s="475">
        <f>I92/I86</f>
        <v>0.95954480954646071</v>
      </c>
      <c r="J97" s="475">
        <f>J92/J86</f>
        <v>0.95145218017698552</v>
      </c>
    </row>
    <row r="98" spans="1:10">
      <c r="A98" s="54" t="s">
        <v>164</v>
      </c>
      <c r="B98" s="2"/>
      <c r="C98" s="55">
        <v>35252827153</v>
      </c>
      <c r="D98" s="55">
        <v>44706328779</v>
      </c>
      <c r="E98" s="122">
        <v>29492012256</v>
      </c>
      <c r="G98" s="163" t="s">
        <v>277</v>
      </c>
      <c r="H98" s="165">
        <f>1-H97</f>
        <v>4.6817121484834634E-2</v>
      </c>
      <c r="I98" s="165">
        <f>1-I97</f>
        <v>4.0455190453539291E-2</v>
      </c>
      <c r="J98" s="165">
        <f>1-J97</f>
        <v>4.8547819823014482E-2</v>
      </c>
    </row>
    <row r="99" spans="1:10">
      <c r="A99" s="54" t="s">
        <v>166</v>
      </c>
      <c r="B99" s="2"/>
      <c r="C99" s="55">
        <v>49412121863</v>
      </c>
      <c r="D99" s="55">
        <v>309091812923</v>
      </c>
      <c r="E99" s="122">
        <v>502552319181</v>
      </c>
      <c r="G99" s="107"/>
      <c r="H99" s="108"/>
      <c r="I99" s="108"/>
      <c r="J99" s="108"/>
    </row>
    <row r="100" spans="1:10">
      <c r="A100" s="54" t="s">
        <v>168</v>
      </c>
      <c r="B100" s="2"/>
      <c r="C100" s="55">
        <v>23681645484</v>
      </c>
      <c r="D100" s="55">
        <v>1536979754</v>
      </c>
      <c r="E100" s="122">
        <v>99693200</v>
      </c>
      <c r="G100" s="107"/>
      <c r="H100" s="108"/>
      <c r="I100" s="108"/>
      <c r="J100" s="108"/>
    </row>
    <row r="101" spans="1:10">
      <c r="A101" s="54" t="s">
        <v>170</v>
      </c>
      <c r="B101" s="2"/>
      <c r="C101" s="55">
        <v>-22440081065</v>
      </c>
      <c r="D101" s="55">
        <v>59265850625</v>
      </c>
      <c r="E101" s="122">
        <v>26469681181</v>
      </c>
      <c r="G101" s="107"/>
      <c r="H101" s="108"/>
      <c r="I101" s="108"/>
      <c r="J101" s="108"/>
    </row>
    <row r="102" spans="1:10" ht="15" thickBot="1">
      <c r="A102" s="128" t="s">
        <v>172</v>
      </c>
      <c r="B102" s="129"/>
      <c r="C102" s="130">
        <v>48170557444</v>
      </c>
      <c r="D102" s="130">
        <v>248288982544</v>
      </c>
      <c r="E102" s="131">
        <v>528922307162</v>
      </c>
      <c r="G102" s="107"/>
      <c r="H102" s="108"/>
      <c r="I102" s="108"/>
      <c r="J102" s="108"/>
    </row>
    <row r="103" spans="1:10" ht="15" thickBot="1">
      <c r="C103" s="134" t="s">
        <v>278</v>
      </c>
      <c r="D103" s="134" t="s">
        <v>279</v>
      </c>
      <c r="E103" s="134" t="s">
        <v>280</v>
      </c>
    </row>
    <row r="104" spans="1:10">
      <c r="A104" s="135" t="s">
        <v>281</v>
      </c>
      <c r="B104" s="135" t="s">
        <v>282</v>
      </c>
      <c r="C104" s="136">
        <v>2022</v>
      </c>
      <c r="D104" s="136">
        <v>2023</v>
      </c>
      <c r="E104" s="137">
        <v>2024</v>
      </c>
    </row>
    <row r="105" spans="1:10">
      <c r="A105" s="138" t="s">
        <v>283</v>
      </c>
      <c r="B105" s="139" t="s">
        <v>284</v>
      </c>
      <c r="C105" s="151">
        <f>24974529436439/1000000000000</f>
        <v>24.974529436438999</v>
      </c>
      <c r="D105" s="151">
        <f>13011102718508/1000000000000</f>
        <v>13.011102718508001</v>
      </c>
      <c r="E105" s="152">
        <f>18668429521777/1000000000000</f>
        <v>18.668429521777</v>
      </c>
    </row>
    <row r="106" spans="1:10">
      <c r="A106" s="139"/>
      <c r="B106" s="139" t="s">
        <v>285</v>
      </c>
      <c r="C106" s="151">
        <f>56214951778660/1000000000000</f>
        <v>56.214951778660001</v>
      </c>
      <c r="D106" s="151">
        <f>39593660448682/1000000000000</f>
        <v>39.593660448682002</v>
      </c>
      <c r="E106" s="152">
        <f>48044118276974/1000000000000</f>
        <v>48.044118276973997</v>
      </c>
    </row>
    <row r="107" spans="1:10">
      <c r="A107" s="139"/>
      <c r="B107" s="156" t="s">
        <v>284</v>
      </c>
      <c r="C107" s="155">
        <f>C105/C109</f>
        <v>0.30760794455962637</v>
      </c>
      <c r="D107" s="155">
        <f t="shared" ref="D107:E107" si="4">D105/D109</f>
        <v>0.2473369697940799</v>
      </c>
      <c r="E107" s="157">
        <f t="shared" si="4"/>
        <v>0.27983385641473751</v>
      </c>
    </row>
    <row r="108" spans="1:10">
      <c r="A108" s="139"/>
      <c r="B108" s="156" t="s">
        <v>285</v>
      </c>
      <c r="C108" s="155">
        <f>C106/C109</f>
        <v>0.69239205544037374</v>
      </c>
      <c r="D108" s="155">
        <f t="shared" ref="D108:E108" si="5">D106/D109</f>
        <v>0.75266303020592007</v>
      </c>
      <c r="E108" s="157">
        <f t="shared" si="5"/>
        <v>0.72016614358526243</v>
      </c>
    </row>
    <row r="109" spans="1:10" ht="15" thickBot="1">
      <c r="A109" s="140"/>
      <c r="B109" s="158" t="s">
        <v>286</v>
      </c>
      <c r="C109" s="153">
        <f>81189481215099/1000000000000</f>
        <v>81.189481215098994</v>
      </c>
      <c r="D109" s="153">
        <f>52604763167190/1000000000000</f>
        <v>52.604763167190001</v>
      </c>
      <c r="E109" s="154">
        <f>66712547798751/1000000000000</f>
        <v>66.712547798751004</v>
      </c>
    </row>
    <row r="110" spans="1:10">
      <c r="A110" s="132"/>
      <c r="B110" s="133"/>
      <c r="C110" s="141"/>
      <c r="D110" s="141"/>
      <c r="E110" s="141"/>
    </row>
    <row r="111" spans="1:10">
      <c r="A111" s="477" t="s">
        <v>287</v>
      </c>
      <c r="B111" s="506" t="s">
        <v>288</v>
      </c>
      <c r="C111" s="506"/>
      <c r="D111" s="506"/>
      <c r="E111" s="141"/>
    </row>
    <row r="112" spans="1:10">
      <c r="A112" s="478" t="s">
        <v>177</v>
      </c>
      <c r="B112" s="479">
        <v>2022</v>
      </c>
      <c r="C112" s="479">
        <v>2023</v>
      </c>
      <c r="D112" s="480">
        <v>2024</v>
      </c>
      <c r="E112" s="142"/>
    </row>
    <row r="113" spans="1:7" s="2" customFormat="1">
      <c r="A113" s="481" t="s">
        <v>179</v>
      </c>
      <c r="B113" s="132">
        <v>4.9000000000000002E-2</v>
      </c>
      <c r="C113" s="215">
        <v>0.309</v>
      </c>
      <c r="D113" s="482">
        <v>0.503</v>
      </c>
      <c r="E113" s="166"/>
      <c r="F113" s="167"/>
      <c r="G113" s="167"/>
    </row>
    <row r="114" spans="1:7">
      <c r="A114" s="483" t="s">
        <v>181</v>
      </c>
      <c r="B114" s="133">
        <v>0.28899999999999998</v>
      </c>
      <c r="C114" s="227">
        <v>0.29699999999999999</v>
      </c>
      <c r="D114" s="484">
        <v>0.21299999999999999</v>
      </c>
      <c r="E114" s="151"/>
      <c r="F114" s="106"/>
      <c r="G114" s="106"/>
    </row>
    <row r="115" spans="1:7">
      <c r="A115" s="483" t="s">
        <v>183</v>
      </c>
      <c r="B115" s="132">
        <v>0.113</v>
      </c>
      <c r="C115" s="227">
        <v>-5.5E-2</v>
      </c>
      <c r="D115" s="484">
        <v>-5.0000000000000001E-3</v>
      </c>
      <c r="E115" s="166"/>
      <c r="F115" s="106"/>
      <c r="G115" s="106"/>
    </row>
    <row r="116" spans="1:7">
      <c r="A116" s="483" t="s">
        <v>185</v>
      </c>
      <c r="B116" s="227">
        <v>-6.0000000000000001E-3</v>
      </c>
      <c r="C116" s="227">
        <v>-2E-3</v>
      </c>
      <c r="D116" s="484">
        <v>5.0000000000000001E-3</v>
      </c>
      <c r="E116" s="106"/>
      <c r="F116" s="106"/>
      <c r="G116" s="106"/>
    </row>
    <row r="117" spans="1:7">
      <c r="A117" s="483" t="s">
        <v>187</v>
      </c>
      <c r="B117" s="227">
        <v>-0.182</v>
      </c>
      <c r="C117" s="227">
        <v>-0.58199999999999996</v>
      </c>
      <c r="D117" s="484">
        <v>-0.32500000000000001</v>
      </c>
      <c r="E117" s="106"/>
      <c r="F117" s="106"/>
      <c r="G117" s="106"/>
    </row>
    <row r="118" spans="1:7">
      <c r="A118" s="483" t="s">
        <v>189</v>
      </c>
      <c r="B118" s="227">
        <v>0.17699999999999999</v>
      </c>
      <c r="C118" s="227">
        <v>0.185</v>
      </c>
      <c r="D118" s="484">
        <v>0.13200000000000001</v>
      </c>
      <c r="E118" s="106"/>
      <c r="F118" s="106"/>
      <c r="G118" s="106"/>
    </row>
    <row r="119" spans="1:7" s="51" customFormat="1">
      <c r="A119" s="481" t="s">
        <v>191</v>
      </c>
      <c r="B119" s="215">
        <v>0.439</v>
      </c>
      <c r="C119" s="215">
        <v>0.151</v>
      </c>
      <c r="D119" s="482">
        <v>0.52200000000000002</v>
      </c>
      <c r="E119" s="167"/>
      <c r="F119" s="167"/>
      <c r="G119" s="167"/>
    </row>
    <row r="120" spans="1:7">
      <c r="A120" s="483" t="s">
        <v>289</v>
      </c>
      <c r="B120" s="227"/>
      <c r="C120" s="227"/>
      <c r="D120" s="484" t="s">
        <v>289</v>
      </c>
      <c r="E120" s="106"/>
      <c r="F120" s="106"/>
      <c r="G120" s="106"/>
    </row>
    <row r="121" spans="1:7">
      <c r="A121" s="485" t="s">
        <v>193</v>
      </c>
      <c r="B121" s="486">
        <v>1.8260000000000001</v>
      </c>
      <c r="C121" s="486">
        <v>0.45600000000000002</v>
      </c>
      <c r="D121" s="487">
        <v>-1.8</v>
      </c>
      <c r="E121" s="106"/>
      <c r="F121" s="106"/>
      <c r="G121" s="106"/>
    </row>
    <row r="122" spans="1:7">
      <c r="A122" s="485" t="s">
        <v>195</v>
      </c>
      <c r="B122" s="486">
        <v>3.0870000000000002</v>
      </c>
      <c r="C122" s="486">
        <v>-0.50900000000000001</v>
      </c>
      <c r="D122" s="487">
        <v>-0.188</v>
      </c>
      <c r="E122" s="106"/>
      <c r="F122" s="106"/>
      <c r="G122" s="106"/>
    </row>
    <row r="123" spans="1:7">
      <c r="A123" s="485" t="s">
        <v>197</v>
      </c>
      <c r="B123" s="486">
        <v>-3.6779999999999999</v>
      </c>
      <c r="C123" s="486">
        <v>1.5449999999999999</v>
      </c>
      <c r="D123" s="487">
        <v>0.27500000000000002</v>
      </c>
      <c r="E123" s="106"/>
      <c r="F123" s="106"/>
      <c r="G123" s="106"/>
    </row>
    <row r="124" spans="1:7">
      <c r="A124" s="483" t="s">
        <v>199</v>
      </c>
      <c r="B124" s="227">
        <v>-1.4E-2</v>
      </c>
      <c r="C124" s="227">
        <v>2.3E-2</v>
      </c>
      <c r="D124" s="484">
        <v>5.5E-2</v>
      </c>
      <c r="E124" s="106"/>
      <c r="F124" s="106"/>
      <c r="G124" s="106"/>
    </row>
    <row r="125" spans="1:7">
      <c r="A125" s="483" t="s">
        <v>201</v>
      </c>
      <c r="B125" s="227">
        <v>-0.182</v>
      </c>
      <c r="C125" s="227">
        <v>-0.186</v>
      </c>
      <c r="D125" s="484">
        <v>-0.13100000000000001</v>
      </c>
      <c r="E125" s="106"/>
      <c r="F125" s="106"/>
      <c r="G125" s="106"/>
    </row>
    <row r="126" spans="1:7">
      <c r="A126" s="483" t="s">
        <v>203</v>
      </c>
      <c r="B126" s="227">
        <v>-0.28799999999999998</v>
      </c>
      <c r="C126" s="227">
        <v>-1E-3</v>
      </c>
      <c r="D126" s="484" t="s">
        <v>204</v>
      </c>
      <c r="E126" s="106"/>
      <c r="F126" s="106"/>
      <c r="G126" s="106"/>
    </row>
    <row r="127" spans="1:7">
      <c r="A127" s="483" t="s">
        <v>206</v>
      </c>
      <c r="B127" s="227">
        <v>-0.11700000000000001</v>
      </c>
      <c r="C127" s="227">
        <v>-0.192</v>
      </c>
      <c r="D127" s="484">
        <v>-0.183</v>
      </c>
      <c r="E127" s="106"/>
      <c r="F127" s="106"/>
      <c r="G127" s="106"/>
    </row>
    <row r="128" spans="1:7" s="51" customFormat="1">
      <c r="A128" s="507" t="s">
        <v>208</v>
      </c>
      <c r="B128" s="508">
        <v>1.0720000000000001</v>
      </c>
      <c r="C128" s="508">
        <v>1.286</v>
      </c>
      <c r="D128" s="509">
        <v>-1.4510000000000001</v>
      </c>
      <c r="E128" s="167"/>
      <c r="F128" s="167"/>
      <c r="G128" s="167"/>
    </row>
    <row r="129" spans="1:7" ht="15" thickBot="1">
      <c r="A129" s="227"/>
      <c r="B129" s="227"/>
      <c r="C129" s="227"/>
      <c r="D129" s="227"/>
      <c r="E129" s="106"/>
      <c r="F129" s="106"/>
      <c r="G129" s="106"/>
    </row>
    <row r="130" spans="1:7">
      <c r="A130" s="478" t="s">
        <v>210</v>
      </c>
      <c r="B130" s="488"/>
      <c r="C130" s="479" t="s">
        <v>289</v>
      </c>
      <c r="D130" s="480" t="s">
        <v>289</v>
      </c>
      <c r="E130" s="106"/>
      <c r="F130" s="106"/>
      <c r="G130" s="106"/>
    </row>
    <row r="131" spans="1:7">
      <c r="A131" s="483" t="s">
        <v>212</v>
      </c>
      <c r="B131" s="227">
        <v>-0.32900000000000001</v>
      </c>
      <c r="C131" s="227">
        <v>-0.17899999999999999</v>
      </c>
      <c r="D131" s="484">
        <v>-0.56100000000000005</v>
      </c>
      <c r="E131" s="106"/>
      <c r="F131" s="106"/>
      <c r="G131" s="106"/>
    </row>
    <row r="132" spans="1:7">
      <c r="A132" s="483" t="s">
        <v>214</v>
      </c>
      <c r="B132" s="227">
        <v>2.4E-2</v>
      </c>
      <c r="C132" s="227">
        <v>3.4000000000000002E-2</v>
      </c>
      <c r="D132" s="484">
        <v>3.6999999999999998E-2</v>
      </c>
      <c r="E132" s="106"/>
      <c r="F132" s="106"/>
      <c r="G132" s="106"/>
    </row>
    <row r="133" spans="1:7">
      <c r="A133" s="483" t="s">
        <v>216</v>
      </c>
      <c r="B133" s="227">
        <v>-3.0000000000000001E-3</v>
      </c>
      <c r="C133" s="227">
        <v>-0.13600000000000001</v>
      </c>
      <c r="D133" s="484">
        <v>-0.28799999999999998</v>
      </c>
      <c r="E133" s="106"/>
      <c r="F133" s="106"/>
      <c r="G133" s="106"/>
    </row>
    <row r="134" spans="1:7">
      <c r="A134" s="483" t="s">
        <v>218</v>
      </c>
      <c r="B134" s="227" t="s">
        <v>204</v>
      </c>
      <c r="C134" s="227">
        <v>1.4999999999999999E-2</v>
      </c>
      <c r="D134" s="484">
        <v>2.8000000000000001E-2</v>
      </c>
      <c r="E134" s="106"/>
      <c r="F134" s="106"/>
      <c r="G134" s="106"/>
    </row>
    <row r="135" spans="1:7">
      <c r="A135" s="483" t="s">
        <v>220</v>
      </c>
      <c r="B135" s="227" t="s">
        <v>204</v>
      </c>
      <c r="C135" s="227">
        <v>-0.13100000000000001</v>
      </c>
      <c r="D135" s="484">
        <v>-2E-3</v>
      </c>
      <c r="E135" s="106"/>
      <c r="F135" s="106"/>
      <c r="G135" s="106"/>
    </row>
    <row r="136" spans="1:7">
      <c r="A136" s="483" t="s">
        <v>222</v>
      </c>
      <c r="B136" s="227">
        <v>0.23100000000000001</v>
      </c>
      <c r="C136" s="227">
        <v>8.9999999999999993E-3</v>
      </c>
      <c r="D136" s="484">
        <v>0.04</v>
      </c>
      <c r="E136" s="106"/>
      <c r="F136" s="106"/>
      <c r="G136" s="106"/>
    </row>
    <row r="137" spans="1:7" s="51" customFormat="1" ht="15" thickBot="1">
      <c r="A137" s="507" t="s">
        <v>224</v>
      </c>
      <c r="B137" s="508">
        <v>-7.5999999999999998E-2</v>
      </c>
      <c r="C137" s="508">
        <v>-0.38800000000000001</v>
      </c>
      <c r="D137" s="509">
        <v>-0.746</v>
      </c>
      <c r="E137" s="167"/>
      <c r="F137" s="167"/>
      <c r="G137" s="167"/>
    </row>
    <row r="138" spans="1:7" ht="15" thickBot="1">
      <c r="A138" s="227"/>
      <c r="B138" s="227"/>
      <c r="C138" s="227"/>
      <c r="D138" s="227"/>
      <c r="E138" s="106"/>
      <c r="F138" s="106"/>
      <c r="G138" s="106"/>
    </row>
    <row r="139" spans="1:7">
      <c r="A139" s="478" t="s">
        <v>226</v>
      </c>
      <c r="B139" s="488"/>
      <c r="C139" s="479" t="s">
        <v>289</v>
      </c>
      <c r="D139" s="480" t="s">
        <v>289</v>
      </c>
      <c r="E139" s="106"/>
      <c r="F139" s="106"/>
      <c r="G139" s="106"/>
    </row>
    <row r="140" spans="1:7">
      <c r="A140" s="483" t="s">
        <v>228</v>
      </c>
      <c r="B140" s="227" t="s">
        <v>204</v>
      </c>
      <c r="C140" s="227" t="s">
        <v>204</v>
      </c>
      <c r="D140" s="484">
        <v>2.1999999999999999E-2</v>
      </c>
      <c r="E140" s="106"/>
      <c r="F140" s="106"/>
      <c r="G140" s="106"/>
    </row>
    <row r="141" spans="1:7">
      <c r="A141" s="483" t="s">
        <v>230</v>
      </c>
      <c r="B141" s="227" t="s">
        <v>204</v>
      </c>
      <c r="C141" s="227">
        <v>21.42</v>
      </c>
      <c r="D141" s="484">
        <v>31.260999999999999</v>
      </c>
      <c r="E141" s="106"/>
      <c r="F141" s="106"/>
      <c r="G141" s="106"/>
    </row>
    <row r="142" spans="1:7">
      <c r="A142" s="483" t="s">
        <v>290</v>
      </c>
      <c r="B142" s="227" t="s">
        <v>204</v>
      </c>
      <c r="C142" s="227">
        <v>-22.062000000000001</v>
      </c>
      <c r="D142" s="484">
        <v>-28.853999999999999</v>
      </c>
      <c r="E142" s="106"/>
      <c r="F142" s="106"/>
      <c r="G142" s="106"/>
    </row>
    <row r="143" spans="1:7">
      <c r="A143" s="483" t="s">
        <v>234</v>
      </c>
      <c r="B143" s="227" t="s">
        <v>204</v>
      </c>
      <c r="C143" s="227">
        <v>0</v>
      </c>
      <c r="D143" s="484">
        <v>-0.308</v>
      </c>
      <c r="E143" s="106"/>
      <c r="F143" s="106"/>
      <c r="G143" s="106"/>
    </row>
    <row r="144" spans="1:7" s="51" customFormat="1">
      <c r="A144" s="481" t="s">
        <v>236</v>
      </c>
      <c r="B144" s="215" t="s">
        <v>204</v>
      </c>
      <c r="C144" s="215">
        <v>-0.64200000000000002</v>
      </c>
      <c r="D144" s="482">
        <v>2.121</v>
      </c>
      <c r="E144" s="167"/>
      <c r="F144" s="167"/>
      <c r="G144" s="167"/>
    </row>
    <row r="145" spans="1:7">
      <c r="A145" s="483" t="s">
        <v>289</v>
      </c>
      <c r="B145" s="227"/>
      <c r="C145" s="227"/>
      <c r="D145" s="484" t="s">
        <v>289</v>
      </c>
      <c r="E145" s="106"/>
      <c r="F145" s="106"/>
      <c r="G145" s="106"/>
    </row>
    <row r="146" spans="1:7" s="51" customFormat="1">
      <c r="A146" s="481" t="s">
        <v>238</v>
      </c>
      <c r="B146" s="215">
        <v>0.996</v>
      </c>
      <c r="C146" s="215">
        <v>0.25700000000000001</v>
      </c>
      <c r="D146" s="482">
        <v>-7.4999999999999997E-2</v>
      </c>
      <c r="E146" s="167"/>
      <c r="F146" s="167"/>
      <c r="G146" s="167"/>
    </row>
    <row r="147" spans="1:7" s="51" customFormat="1">
      <c r="A147" s="481" t="s">
        <v>240</v>
      </c>
      <c r="B147" s="215">
        <v>0.24299999999999999</v>
      </c>
      <c r="C147" s="215">
        <v>0.24299999999999999</v>
      </c>
      <c r="D147" s="482">
        <v>0.501</v>
      </c>
      <c r="E147" s="167"/>
      <c r="F147" s="167"/>
      <c r="G147" s="167"/>
    </row>
    <row r="148" spans="1:7" s="51" customFormat="1">
      <c r="A148" s="481" t="s">
        <v>242</v>
      </c>
      <c r="B148" s="215" t="s">
        <v>204</v>
      </c>
      <c r="C148" s="215">
        <v>1E-3</v>
      </c>
      <c r="D148" s="482">
        <v>2E-3</v>
      </c>
      <c r="E148" s="167"/>
      <c r="F148" s="167"/>
      <c r="G148" s="167"/>
    </row>
    <row r="149" spans="1:7" s="51" customFormat="1" ht="15" thickBot="1">
      <c r="A149" s="507" t="s">
        <v>244</v>
      </c>
      <c r="B149" s="508">
        <v>0.501</v>
      </c>
      <c r="C149" s="508">
        <v>0.501</v>
      </c>
      <c r="D149" s="509">
        <v>0.42799999999999999</v>
      </c>
      <c r="E149" s="167"/>
      <c r="F149" s="167"/>
      <c r="G149" s="167"/>
    </row>
  </sheetData>
  <mergeCells count="6">
    <mergeCell ref="B111:D111"/>
    <mergeCell ref="A1:D1"/>
    <mergeCell ref="A7:D7"/>
    <mergeCell ref="A12:D12"/>
    <mergeCell ref="A34:G34"/>
    <mergeCell ref="A57:D57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85A6A-CE23-447F-A8AC-723A6CAF34F5}">
  <dimension ref="B2:BK107"/>
  <sheetViews>
    <sheetView tabSelected="1" topLeftCell="B33" zoomScale="88" zoomScaleNormal="98" workbookViewId="0">
      <selection activeCell="F37" sqref="F37"/>
    </sheetView>
  </sheetViews>
  <sheetFormatPr defaultColWidth="11.42578125" defaultRowHeight="14.45"/>
  <cols>
    <col min="2" max="2" width="25.42578125" bestFit="1" customWidth="1"/>
    <col min="3" max="3" width="6.42578125" customWidth="1"/>
    <col min="4" max="4" width="16.5703125" customWidth="1"/>
    <col min="5" max="5" width="20.42578125" style="3" customWidth="1"/>
    <col min="6" max="6" width="18.85546875" style="3" customWidth="1"/>
    <col min="7" max="7" width="20.42578125" style="3" customWidth="1"/>
    <col min="8" max="8" width="21" bestFit="1" customWidth="1"/>
    <col min="9" max="9" width="21.42578125" bestFit="1" customWidth="1"/>
    <col min="10" max="10" width="19.42578125" customWidth="1"/>
    <col min="11" max="11" width="18.42578125" style="3" customWidth="1"/>
    <col min="12" max="12" width="21.42578125" style="3" customWidth="1"/>
    <col min="13" max="13" width="18.5703125" style="3" customWidth="1"/>
    <col min="14" max="14" width="23.42578125" bestFit="1" customWidth="1"/>
    <col min="15" max="15" width="29.5703125" bestFit="1" customWidth="1"/>
    <col min="16" max="16" width="19.42578125" customWidth="1"/>
    <col min="17" max="17" width="25.85546875" customWidth="1"/>
    <col min="18" max="18" width="19.85546875" customWidth="1"/>
    <col min="19" max="19" width="19.140625" customWidth="1"/>
    <col min="20" max="20" width="19.42578125" customWidth="1"/>
    <col min="21" max="21" width="8.42578125" customWidth="1"/>
    <col min="22" max="22" width="19.5703125" customWidth="1"/>
    <col min="23" max="23" width="9.42578125" customWidth="1"/>
    <col min="24" max="24" width="17.42578125" customWidth="1"/>
    <col min="25" max="25" width="8.140625" customWidth="1"/>
    <col min="26" max="26" width="22.85546875" customWidth="1"/>
    <col min="27" max="27" width="15.85546875" bestFit="1" customWidth="1"/>
    <col min="28" max="28" width="12.42578125" bestFit="1" customWidth="1"/>
    <col min="29" max="29" width="11.42578125" customWidth="1"/>
    <col min="40" max="40" width="6.140625" bestFit="1" customWidth="1"/>
    <col min="41" max="41" width="24.5703125" customWidth="1"/>
    <col min="42" max="42" width="27" customWidth="1"/>
    <col min="43" max="43" width="10.42578125" bestFit="1" customWidth="1"/>
    <col min="44" max="44" width="29.85546875" bestFit="1" customWidth="1"/>
    <col min="45" max="45" width="30.42578125" bestFit="1" customWidth="1"/>
    <col min="46" max="46" width="30.5703125" bestFit="1" customWidth="1"/>
    <col min="47" max="47" width="24.42578125" bestFit="1" customWidth="1"/>
    <col min="48" max="48" width="6.42578125" customWidth="1"/>
    <col min="49" max="49" width="20.42578125" customWidth="1"/>
    <col min="50" max="52" width="12.140625" customWidth="1"/>
    <col min="56" max="56" width="5.42578125" bestFit="1" customWidth="1"/>
    <col min="57" max="57" width="38.5703125" bestFit="1" customWidth="1"/>
    <col min="58" max="58" width="43.5703125" bestFit="1" customWidth="1"/>
    <col min="59" max="59" width="10.42578125" bestFit="1" customWidth="1"/>
    <col min="60" max="60" width="25.85546875" bestFit="1" customWidth="1"/>
    <col min="61" max="62" width="26.42578125" bestFit="1" customWidth="1"/>
    <col min="63" max="63" width="17.42578125" bestFit="1" customWidth="1"/>
  </cols>
  <sheetData>
    <row r="2" spans="2:63" s="312" customFormat="1" ht="15" thickBot="1">
      <c r="B2" s="312" t="s">
        <v>291</v>
      </c>
      <c r="D2" s="312" t="s">
        <v>292</v>
      </c>
      <c r="E2" s="75"/>
      <c r="F2" s="75"/>
      <c r="G2" s="75"/>
      <c r="J2" s="312" t="s">
        <v>293</v>
      </c>
      <c r="K2" s="75"/>
      <c r="L2" s="75"/>
      <c r="M2" s="75"/>
      <c r="P2" s="84" t="s">
        <v>294</v>
      </c>
      <c r="V2" s="312" t="s">
        <v>295</v>
      </c>
      <c r="Z2" s="312" t="s">
        <v>296</v>
      </c>
      <c r="AN2" s="312" t="s">
        <v>297</v>
      </c>
    </row>
    <row r="3" spans="2:63">
      <c r="D3" s="43" t="s">
        <v>298</v>
      </c>
      <c r="E3" s="77">
        <v>2022</v>
      </c>
      <c r="F3" s="77">
        <v>2023</v>
      </c>
      <c r="G3" s="78">
        <v>2024</v>
      </c>
      <c r="J3" s="43" t="s">
        <v>299</v>
      </c>
      <c r="K3" s="77">
        <v>2022</v>
      </c>
      <c r="L3" s="77">
        <v>2023</v>
      </c>
      <c r="M3" s="78">
        <v>2024</v>
      </c>
      <c r="P3" s="313"/>
      <c r="Q3" s="314">
        <v>2022</v>
      </c>
      <c r="R3" s="314">
        <v>2023</v>
      </c>
      <c r="S3" s="315">
        <v>2024</v>
      </c>
      <c r="V3" s="313"/>
      <c r="W3" s="315" t="s">
        <v>300</v>
      </c>
      <c r="Z3" s="43"/>
      <c r="AA3" s="44">
        <v>2022</v>
      </c>
      <c r="AB3" s="44">
        <v>2023</v>
      </c>
      <c r="AC3" s="45">
        <v>2024</v>
      </c>
    </row>
    <row r="4" spans="2:63" ht="44.1" thickBot="1">
      <c r="D4" s="32" t="s">
        <v>301</v>
      </c>
      <c r="E4" s="76">
        <v>1489725213974</v>
      </c>
      <c r="F4" s="76">
        <v>1100416059001</v>
      </c>
      <c r="G4" s="79">
        <v>2647446645284</v>
      </c>
      <c r="J4" s="39" t="s">
        <v>302</v>
      </c>
      <c r="K4" s="14">
        <f>'Balance Sheet'!D45</f>
        <v>1970635586928</v>
      </c>
      <c r="L4" s="14">
        <f>'Balance Sheet'!E45</f>
        <v>3330483232614</v>
      </c>
      <c r="M4" s="316">
        <f>'Balance Sheet'!F45</f>
        <v>2853606214481</v>
      </c>
      <c r="P4" s="411" t="s">
        <v>97</v>
      </c>
      <c r="Q4" s="318">
        <f>'Balance Sheet'!D47</f>
        <v>5275868275</v>
      </c>
      <c r="R4" s="318">
        <f>'Balance Sheet'!E47</f>
        <v>145505586644</v>
      </c>
      <c r="S4" s="319">
        <f>'Balance Sheet'!F47</f>
        <v>74417109924</v>
      </c>
      <c r="V4" s="320" t="s">
        <v>303</v>
      </c>
      <c r="W4" s="321" t="s">
        <v>304</v>
      </c>
      <c r="Z4" s="32" t="s">
        <v>305</v>
      </c>
      <c r="AA4" s="14">
        <v>99672290</v>
      </c>
      <c r="AB4" s="14">
        <v>17927323</v>
      </c>
      <c r="AC4" s="21" t="s">
        <v>33</v>
      </c>
    </row>
    <row r="5" spans="2:63" ht="15" thickBot="1">
      <c r="D5" s="32" t="s">
        <v>306</v>
      </c>
      <c r="E5" s="76">
        <v>1367294386632</v>
      </c>
      <c r="F5" s="76">
        <v>1625599905996</v>
      </c>
      <c r="G5" s="79">
        <v>2271483187659</v>
      </c>
      <c r="J5" s="304"/>
      <c r="K5" s="82"/>
      <c r="L5" s="82"/>
      <c r="M5" s="76"/>
      <c r="V5" s="317" t="s">
        <v>307</v>
      </c>
      <c r="W5" s="322" t="s">
        <v>308</v>
      </c>
      <c r="Z5" s="323" t="s">
        <v>309</v>
      </c>
      <c r="AA5" s="324">
        <v>4900800000</v>
      </c>
      <c r="AB5" s="325" t="s">
        <v>33</v>
      </c>
      <c r="AC5" s="83">
        <v>5000000</v>
      </c>
      <c r="AN5" s="52"/>
      <c r="AO5" s="64" t="s">
        <v>310</v>
      </c>
      <c r="AP5" s="52"/>
      <c r="AQ5" s="52"/>
      <c r="AR5" s="85"/>
      <c r="AS5" s="85"/>
      <c r="AT5" s="85"/>
      <c r="AU5" s="52"/>
      <c r="AV5" s="52"/>
      <c r="AW5" s="52"/>
      <c r="AX5" s="86"/>
      <c r="AY5" s="86"/>
      <c r="AZ5" s="86"/>
      <c r="BA5" s="52"/>
      <c r="BB5" s="52"/>
      <c r="BC5" s="52"/>
      <c r="BD5" s="326"/>
      <c r="BE5" s="100" t="s">
        <v>311</v>
      </c>
      <c r="BF5" s="326"/>
      <c r="BG5" s="326"/>
      <c r="BH5" s="326"/>
      <c r="BI5" s="326"/>
      <c r="BJ5" s="326"/>
    </row>
    <row r="6" spans="2:63">
      <c r="D6" s="32" t="s">
        <v>312</v>
      </c>
      <c r="E6" s="76" t="s">
        <v>33</v>
      </c>
      <c r="F6" s="76" t="s">
        <v>33</v>
      </c>
      <c r="G6" s="79">
        <v>323755954476</v>
      </c>
      <c r="J6" s="302"/>
      <c r="K6" s="76"/>
      <c r="L6" s="76"/>
      <c r="M6" s="76"/>
      <c r="V6" s="326" t="s">
        <v>313</v>
      </c>
      <c r="W6" s="326" t="s">
        <v>314</v>
      </c>
      <c r="Z6" t="s">
        <v>313</v>
      </c>
      <c r="AA6" t="s">
        <v>315</v>
      </c>
      <c r="AB6" t="s">
        <v>316</v>
      </c>
      <c r="AC6" t="s">
        <v>317</v>
      </c>
      <c r="AN6" s="497" t="s">
        <v>89</v>
      </c>
      <c r="AO6" s="497"/>
      <c r="AP6" s="497"/>
      <c r="AQ6" s="497"/>
      <c r="AR6" s="497"/>
      <c r="AS6" s="497"/>
      <c r="AT6" s="497"/>
      <c r="AU6" s="64"/>
      <c r="AV6" s="64"/>
      <c r="AW6" s="64"/>
      <c r="AX6" s="87"/>
      <c r="AY6" s="87"/>
      <c r="AZ6" s="87"/>
      <c r="BA6" s="64"/>
      <c r="BB6" s="64"/>
      <c r="BC6" s="64"/>
      <c r="BD6" s="499" t="s">
        <v>318</v>
      </c>
      <c r="BE6" s="499"/>
      <c r="BF6" s="499"/>
      <c r="BG6" s="499"/>
      <c r="BH6" s="499"/>
      <c r="BI6" s="499"/>
      <c r="BJ6" s="499"/>
    </row>
    <row r="7" spans="2:63" ht="29.1">
      <c r="D7" s="32" t="s">
        <v>319</v>
      </c>
      <c r="E7" s="76">
        <v>421607418953</v>
      </c>
      <c r="F7" s="76" t="s">
        <v>33</v>
      </c>
      <c r="G7" s="79" t="s">
        <v>33</v>
      </c>
      <c r="J7" s="302"/>
      <c r="K7" s="76"/>
      <c r="L7" s="76"/>
      <c r="M7" s="76"/>
      <c r="AN7" s="92" t="s">
        <v>8</v>
      </c>
      <c r="AO7" s="92" t="s">
        <v>320</v>
      </c>
      <c r="AP7" s="92" t="s">
        <v>89</v>
      </c>
      <c r="AQ7" s="92" t="s">
        <v>138</v>
      </c>
      <c r="AR7" s="93" t="s">
        <v>321</v>
      </c>
      <c r="AS7" s="93" t="s">
        <v>322</v>
      </c>
      <c r="AT7" s="93" t="s">
        <v>323</v>
      </c>
      <c r="AU7" s="88">
        <v>44469</v>
      </c>
      <c r="AV7" s="64"/>
      <c r="AW7" s="64"/>
      <c r="AX7" s="87"/>
      <c r="AY7" s="87"/>
      <c r="AZ7" s="87"/>
      <c r="BA7" s="64"/>
      <c r="BB7" s="64"/>
      <c r="BC7" s="64"/>
      <c r="BD7" s="101" t="s">
        <v>8</v>
      </c>
      <c r="BE7" s="101" t="s">
        <v>9</v>
      </c>
      <c r="BF7" s="101" t="s">
        <v>137</v>
      </c>
      <c r="BG7" s="101" t="s">
        <v>138</v>
      </c>
      <c r="BH7" s="101" t="s">
        <v>321</v>
      </c>
      <c r="BI7" s="101" t="s">
        <v>322</v>
      </c>
      <c r="BJ7" s="101" t="s">
        <v>323</v>
      </c>
      <c r="BK7" s="88"/>
    </row>
    <row r="8" spans="2:63">
      <c r="D8" s="39" t="s">
        <v>324</v>
      </c>
      <c r="E8" s="76" t="s">
        <v>33</v>
      </c>
      <c r="F8" s="76">
        <v>177770837441</v>
      </c>
      <c r="G8" s="79">
        <v>15029371725</v>
      </c>
      <c r="J8" s="302"/>
      <c r="K8" s="76"/>
      <c r="L8" s="76"/>
      <c r="M8" s="76"/>
      <c r="AN8" s="94">
        <v>300</v>
      </c>
      <c r="AO8" s="94" t="s">
        <v>88</v>
      </c>
      <c r="AP8" s="94" t="s">
        <v>325</v>
      </c>
      <c r="AQ8" s="94"/>
      <c r="AR8" s="95">
        <v>6210033388769</v>
      </c>
      <c r="AS8" s="95">
        <v>6829845298714</v>
      </c>
      <c r="AT8" s="95">
        <v>8878813931686</v>
      </c>
      <c r="AU8" s="89">
        <v>13195700411669</v>
      </c>
      <c r="AV8" s="52"/>
      <c r="AW8" s="52"/>
      <c r="AX8" s="86"/>
      <c r="AY8" s="86"/>
      <c r="AZ8" s="86"/>
      <c r="BA8" s="52"/>
      <c r="BB8" s="52"/>
      <c r="BC8" s="52"/>
      <c r="BD8" s="102">
        <v>1</v>
      </c>
      <c r="BE8" s="102" t="s">
        <v>139</v>
      </c>
      <c r="BF8" s="102" t="s">
        <v>140</v>
      </c>
      <c r="BG8" s="102">
        <v>27</v>
      </c>
      <c r="BH8" s="103">
        <v>81450228213277</v>
      </c>
      <c r="BI8" s="103">
        <v>52881019564133</v>
      </c>
      <c r="BJ8" s="103">
        <v>67051370845971</v>
      </c>
      <c r="BK8" s="89"/>
    </row>
    <row r="9" spans="2:63" ht="15" thickBot="1">
      <c r="D9" s="32" t="s">
        <v>326</v>
      </c>
      <c r="E9" s="80">
        <v>266930131158</v>
      </c>
      <c r="F9" s="80" t="s">
        <v>33</v>
      </c>
      <c r="G9" s="83">
        <v>53000000000</v>
      </c>
      <c r="J9" s="302"/>
      <c r="K9" s="76"/>
      <c r="L9" s="76"/>
      <c r="M9" s="76"/>
      <c r="AN9" s="94">
        <v>310</v>
      </c>
      <c r="AO9" s="94" t="s">
        <v>90</v>
      </c>
      <c r="AP9" s="94" t="s">
        <v>91</v>
      </c>
      <c r="AQ9" s="94"/>
      <c r="AR9" s="95">
        <v>6195799689582</v>
      </c>
      <c r="AS9" s="95">
        <v>6815609482547</v>
      </c>
      <c r="AT9" s="95">
        <v>8864853420561</v>
      </c>
      <c r="AU9" s="52"/>
      <c r="AV9" s="52"/>
      <c r="AW9" s="52"/>
      <c r="AX9" s="86"/>
      <c r="AY9" s="86"/>
      <c r="AZ9" s="86"/>
      <c r="BA9" s="52"/>
      <c r="BB9" s="52"/>
      <c r="BC9" s="52"/>
      <c r="BD9" s="102">
        <v>2</v>
      </c>
      <c r="BE9" s="102" t="s">
        <v>141</v>
      </c>
      <c r="BF9" s="102" t="s">
        <v>142</v>
      </c>
      <c r="BG9" s="102">
        <v>27</v>
      </c>
      <c r="BH9" s="103">
        <v>260746998178</v>
      </c>
      <c r="BI9" s="103">
        <v>276256396943</v>
      </c>
      <c r="BJ9" s="103">
        <v>338823047220</v>
      </c>
    </row>
    <row r="10" spans="2:63">
      <c r="D10" s="44" t="s">
        <v>313</v>
      </c>
      <c r="E10" s="3">
        <v>21</v>
      </c>
      <c r="F10" s="3">
        <v>21</v>
      </c>
      <c r="G10" s="3">
        <v>18</v>
      </c>
      <c r="J10" s="302"/>
      <c r="K10" s="76"/>
      <c r="L10" s="76"/>
      <c r="M10" s="76"/>
      <c r="AN10" s="327">
        <v>311</v>
      </c>
      <c r="AO10" s="327" t="s">
        <v>327</v>
      </c>
      <c r="AP10" s="327" t="s">
        <v>93</v>
      </c>
      <c r="AQ10" s="327">
        <v>17</v>
      </c>
      <c r="AR10" s="96">
        <v>1970635586928</v>
      </c>
      <c r="AS10" s="96">
        <v>3330483232614</v>
      </c>
      <c r="AT10" s="96">
        <v>2853606214481</v>
      </c>
      <c r="AU10" s="52"/>
      <c r="AV10" s="52"/>
      <c r="AW10" s="90"/>
      <c r="AX10" s="91">
        <v>2022</v>
      </c>
      <c r="AY10" s="91">
        <v>2023</v>
      </c>
      <c r="AZ10" s="91">
        <v>2024</v>
      </c>
      <c r="BA10" s="52"/>
      <c r="BB10" s="52"/>
      <c r="BC10" s="52"/>
      <c r="BD10" s="104">
        <v>10</v>
      </c>
      <c r="BE10" s="104" t="s">
        <v>143</v>
      </c>
      <c r="BF10" s="104" t="s">
        <v>144</v>
      </c>
      <c r="BG10" s="104">
        <v>27</v>
      </c>
      <c r="BH10" s="105">
        <v>81189481215099</v>
      </c>
      <c r="BI10" s="105">
        <v>52604763167190</v>
      </c>
      <c r="BJ10" s="105">
        <v>66712547798751</v>
      </c>
    </row>
    <row r="11" spans="2:63" ht="15" thickBot="1">
      <c r="D11" t="s">
        <v>328</v>
      </c>
      <c r="E11" s="3">
        <f>SUM(E4:E9)</f>
        <v>3545557150717</v>
      </c>
      <c r="F11" s="3">
        <f t="shared" ref="F11:G11" si="0">SUM(F4:F9)</f>
        <v>2903786802438</v>
      </c>
      <c r="G11" s="3">
        <f t="shared" si="0"/>
        <v>5310715159144</v>
      </c>
      <c r="J11" s="302"/>
      <c r="K11" s="76"/>
      <c r="L11" s="76"/>
      <c r="M11" s="76"/>
      <c r="AN11" s="327">
        <v>312</v>
      </c>
      <c r="AO11" s="327" t="s">
        <v>329</v>
      </c>
      <c r="AP11" s="327" t="s">
        <v>95</v>
      </c>
      <c r="AQ11" s="327"/>
      <c r="AR11" s="96">
        <v>176845202295</v>
      </c>
      <c r="AS11" s="96">
        <v>129957335766</v>
      </c>
      <c r="AT11" s="96">
        <v>179999887975</v>
      </c>
      <c r="AU11" s="52"/>
      <c r="AV11" s="52"/>
      <c r="AW11" s="171" t="s">
        <v>330</v>
      </c>
      <c r="AX11" s="172">
        <f>AR8/(AR8+AR24)</f>
        <v>0.35736753983246422</v>
      </c>
      <c r="AY11" s="172">
        <f>AS8/(AS8+AS24)</f>
        <v>0.37709375686455993</v>
      </c>
      <c r="AZ11" s="172">
        <f>AT8/(AT8+AT24)</f>
        <v>0.43712624988403004</v>
      </c>
      <c r="BA11" s="52"/>
      <c r="BB11" s="52"/>
      <c r="BC11" s="52"/>
      <c r="BD11" s="102">
        <v>11</v>
      </c>
      <c r="BE11" s="102" t="s">
        <v>145</v>
      </c>
      <c r="BF11" s="102" t="s">
        <v>146</v>
      </c>
      <c r="BG11" s="102">
        <v>28</v>
      </c>
      <c r="BH11" s="103">
        <v>77388423409761</v>
      </c>
      <c r="BI11" s="103">
        <v>50476627454498</v>
      </c>
      <c r="BJ11" s="103">
        <v>63473799048283</v>
      </c>
    </row>
    <row r="12" spans="2:63" s="312" customFormat="1" ht="29.45" thickBot="1">
      <c r="B12" s="312" t="s">
        <v>331</v>
      </c>
      <c r="D12" s="312" t="s">
        <v>332</v>
      </c>
      <c r="E12" s="75"/>
      <c r="F12" s="75"/>
      <c r="G12" s="75"/>
      <c r="I12" s="328"/>
      <c r="J12" s="329">
        <v>2022</v>
      </c>
      <c r="K12" s="176">
        <v>2023</v>
      </c>
      <c r="L12" s="177">
        <v>2024</v>
      </c>
      <c r="M12" s="75"/>
      <c r="N12" s="312" t="s">
        <v>333</v>
      </c>
      <c r="S12" s="84" t="s">
        <v>334</v>
      </c>
      <c r="AN12" s="327">
        <v>313</v>
      </c>
      <c r="AO12" s="327" t="s">
        <v>335</v>
      </c>
      <c r="AP12" s="327" t="s">
        <v>97</v>
      </c>
      <c r="AQ12" s="327" t="s">
        <v>336</v>
      </c>
      <c r="AR12" s="96">
        <v>5275868275</v>
      </c>
      <c r="AS12" s="96">
        <v>145505586644</v>
      </c>
      <c r="AT12" s="96">
        <v>74417109924</v>
      </c>
      <c r="AU12" s="52"/>
      <c r="AV12" s="52"/>
      <c r="AW12" s="171" t="s">
        <v>337</v>
      </c>
      <c r="AX12" s="172">
        <f>100%-AX11</f>
        <v>0.64263246016753572</v>
      </c>
      <c r="AY12" s="172">
        <f>100%-AY11</f>
        <v>0.62290624313544007</v>
      </c>
      <c r="AZ12" s="172">
        <f>100%-AZ11</f>
        <v>0.56287375011596996</v>
      </c>
      <c r="BA12" s="52"/>
      <c r="BB12" s="52"/>
      <c r="BC12" s="52"/>
      <c r="BD12" s="102">
        <v>20</v>
      </c>
      <c r="BE12" s="102" t="s">
        <v>147</v>
      </c>
      <c r="BF12" s="102" t="s">
        <v>148</v>
      </c>
      <c r="BG12" s="102"/>
      <c r="BH12" s="103">
        <v>3801057805338</v>
      </c>
      <c r="BI12" s="103">
        <v>2128135712692</v>
      </c>
      <c r="BJ12" s="103">
        <v>3238748750468</v>
      </c>
    </row>
    <row r="13" spans="2:63" ht="22.5" customHeight="1">
      <c r="D13" s="381"/>
      <c r="E13" s="382" t="s">
        <v>325</v>
      </c>
      <c r="F13" s="383" t="s">
        <v>338</v>
      </c>
      <c r="G13" s="384" t="s">
        <v>339</v>
      </c>
      <c r="I13" s="385" t="s">
        <v>93</v>
      </c>
      <c r="J13" s="386">
        <f t="shared" ref="J13:J18" si="1">AR10</f>
        <v>1970635586928</v>
      </c>
      <c r="K13" s="386">
        <f>AS10</f>
        <v>3330483232614</v>
      </c>
      <c r="L13" s="387">
        <f t="shared" ref="L13" si="2">AT10</f>
        <v>2853606214481</v>
      </c>
      <c r="N13" s="388"/>
      <c r="O13" s="389">
        <v>2022</v>
      </c>
      <c r="P13" s="389">
        <v>2023</v>
      </c>
      <c r="Q13" s="390">
        <v>2024</v>
      </c>
      <c r="S13" s="391" t="s">
        <v>340</v>
      </c>
      <c r="T13" s="392">
        <v>2022</v>
      </c>
      <c r="U13" s="392" t="s">
        <v>341</v>
      </c>
      <c r="V13" s="392">
        <v>2023</v>
      </c>
      <c r="W13" s="392" t="s">
        <v>341</v>
      </c>
      <c r="X13" s="392">
        <v>2024</v>
      </c>
      <c r="Y13" s="384" t="s">
        <v>341</v>
      </c>
      <c r="AN13" s="327">
        <v>314</v>
      </c>
      <c r="AO13" s="327" t="s">
        <v>98</v>
      </c>
      <c r="AP13" s="327" t="s">
        <v>99</v>
      </c>
      <c r="AQ13" s="327"/>
      <c r="AR13" s="96">
        <v>64245590725</v>
      </c>
      <c r="AS13" s="96">
        <v>48600453107</v>
      </c>
      <c r="AT13" s="96">
        <v>64468071697</v>
      </c>
      <c r="AU13" s="52"/>
      <c r="AV13" s="52"/>
      <c r="AW13" s="171" t="s">
        <v>342</v>
      </c>
      <c r="AX13" s="172">
        <f>(BH23+BH24)/BH22</f>
        <v>2.5126717335522655E-2</v>
      </c>
      <c r="AY13" s="172">
        <f t="shared" ref="AY13:AZ13" si="3">(BI23+BI24)/BI22</f>
        <v>0.19671446423638214</v>
      </c>
      <c r="AZ13" s="172">
        <f t="shared" si="3"/>
        <v>5.2868872288361152E-2</v>
      </c>
      <c r="BA13" s="52"/>
      <c r="BB13" s="52"/>
      <c r="BC13" s="52"/>
      <c r="BD13" s="330">
        <v>21</v>
      </c>
      <c r="BE13" s="330" t="s">
        <v>149</v>
      </c>
      <c r="BF13" s="330" t="s">
        <v>150</v>
      </c>
      <c r="BG13" s="330">
        <v>29</v>
      </c>
      <c r="BH13" s="331">
        <v>425167604879</v>
      </c>
      <c r="BI13" s="331">
        <v>800850256543</v>
      </c>
      <c r="BJ13" s="331">
        <v>652938094707</v>
      </c>
    </row>
    <row r="14" spans="2:63" ht="22.5" customHeight="1">
      <c r="D14" s="393">
        <v>2022</v>
      </c>
      <c r="E14" s="386">
        <f>AR8</f>
        <v>6210033388769</v>
      </c>
      <c r="F14" s="394">
        <f>J20</f>
        <v>2650242538866</v>
      </c>
      <c r="G14" s="395">
        <f>ROUND(F14/E14*100, 2)</f>
        <v>42.68</v>
      </c>
      <c r="I14" s="385" t="s">
        <v>95</v>
      </c>
      <c r="J14" s="386">
        <f t="shared" si="1"/>
        <v>176845202295</v>
      </c>
      <c r="K14" s="386">
        <f t="shared" ref="K14:L14" si="4">AS11</f>
        <v>129957335766</v>
      </c>
      <c r="L14" s="387">
        <f t="shared" si="4"/>
        <v>179999887975</v>
      </c>
      <c r="N14" s="396" t="s">
        <v>91</v>
      </c>
      <c r="O14" s="397">
        <f>AR9</f>
        <v>6195799689582</v>
      </c>
      <c r="P14" s="397">
        <f t="shared" ref="P14:Q14" si="5">AS9</f>
        <v>6815609482547</v>
      </c>
      <c r="Q14" s="398">
        <f t="shared" si="5"/>
        <v>8864853420561</v>
      </c>
      <c r="S14" s="399" t="s">
        <v>343</v>
      </c>
      <c r="T14" s="400">
        <f>E11</f>
        <v>3545557150717</v>
      </c>
      <c r="U14" s="401">
        <f>ROUND(T14/T17*100,2)</f>
        <v>64.209999999999994</v>
      </c>
      <c r="V14" s="400">
        <f>F11</f>
        <v>2903786802438</v>
      </c>
      <c r="W14" s="401">
        <f>ROUND(V14/V17*100,2)</f>
        <v>45.52</v>
      </c>
      <c r="X14" s="400">
        <f>G11</f>
        <v>5310715159144</v>
      </c>
      <c r="Y14" s="395">
        <f>ROUND(X14/X17*100,2)</f>
        <v>64.459999999999994</v>
      </c>
      <c r="AN14" s="327">
        <v>315</v>
      </c>
      <c r="AO14" s="327" t="s">
        <v>344</v>
      </c>
      <c r="AP14" s="327" t="s">
        <v>101</v>
      </c>
      <c r="AQ14" s="327">
        <v>19</v>
      </c>
      <c r="AR14" s="96">
        <v>207561319455</v>
      </c>
      <c r="AS14" s="96">
        <v>66684028030</v>
      </c>
      <c r="AT14" s="96">
        <v>208807717032</v>
      </c>
      <c r="AU14" s="52"/>
      <c r="AV14" s="52"/>
      <c r="AW14" s="171" t="s">
        <v>345</v>
      </c>
      <c r="AX14" s="172">
        <f>BH15/((AR8+AU8)/2)</f>
        <v>1.8192401735410372E-2</v>
      </c>
      <c r="AY14" s="172">
        <f>BI15/((AR8+AS8)/2)</f>
        <v>2.832769958547067E-2</v>
      </c>
      <c r="AZ14" s="172">
        <f>BJ15/((AS8+AT8)/2)</f>
        <v>1.6781190735479946E-2</v>
      </c>
      <c r="BA14" s="52"/>
      <c r="BB14" s="52"/>
      <c r="BC14" s="52"/>
      <c r="BD14" s="332">
        <v>22</v>
      </c>
      <c r="BE14" s="332" t="s">
        <v>151</v>
      </c>
      <c r="BF14" s="332" t="s">
        <v>152</v>
      </c>
      <c r="BG14" s="332">
        <v>30</v>
      </c>
      <c r="BH14" s="333">
        <v>419889233636</v>
      </c>
      <c r="BI14" s="333">
        <v>300217604297</v>
      </c>
      <c r="BJ14" s="333">
        <v>251550025718</v>
      </c>
    </row>
    <row r="15" spans="2:63" ht="22.5" customHeight="1">
      <c r="D15" s="393">
        <v>2023</v>
      </c>
      <c r="E15" s="386">
        <f>AS8</f>
        <v>6829845298714</v>
      </c>
      <c r="F15" s="394">
        <f>K20</f>
        <v>3911822680109</v>
      </c>
      <c r="G15" s="395">
        <f t="shared" ref="G15:G16" si="6">ROUND(F15/E15*100, 2)</f>
        <v>57.28</v>
      </c>
      <c r="I15" s="385" t="s">
        <v>97</v>
      </c>
      <c r="J15" s="386">
        <f t="shared" si="1"/>
        <v>5275868275</v>
      </c>
      <c r="K15" s="386">
        <f t="shared" ref="K15:L15" si="7">AS12</f>
        <v>145505586644</v>
      </c>
      <c r="L15" s="387">
        <f t="shared" si="7"/>
        <v>74417109924</v>
      </c>
      <c r="N15" s="396" t="s">
        <v>346</v>
      </c>
      <c r="O15" s="397">
        <f>AR18</f>
        <v>14233699187</v>
      </c>
      <c r="P15" s="397">
        <f t="shared" ref="P15:Q15" si="8">AS18</f>
        <v>14235816167</v>
      </c>
      <c r="Q15" s="398">
        <f t="shared" si="8"/>
        <v>13960511125</v>
      </c>
      <c r="S15" s="399" t="s">
        <v>347</v>
      </c>
      <c r="T15" s="386">
        <f>T27</f>
        <v>1970635586928</v>
      </c>
      <c r="U15" s="401">
        <f>ROUND(T15/T17*100,2)</f>
        <v>35.69</v>
      </c>
      <c r="V15" s="386">
        <f>U27</f>
        <v>3330483232614</v>
      </c>
      <c r="W15" s="401">
        <f>ROUND(V15/V17*100,2)</f>
        <v>52.2</v>
      </c>
      <c r="X15" s="386">
        <f>V27</f>
        <v>2853606214481</v>
      </c>
      <c r="Y15" s="395">
        <f>ROUND(X15/X17*100,2)</f>
        <v>34.64</v>
      </c>
      <c r="AN15" s="327">
        <v>319</v>
      </c>
      <c r="AO15" s="327" t="s">
        <v>102</v>
      </c>
      <c r="AP15" s="327" t="s">
        <v>348</v>
      </c>
      <c r="AQ15" s="327">
        <v>20</v>
      </c>
      <c r="AR15" s="96">
        <v>18979145366</v>
      </c>
      <c r="AS15" s="96">
        <v>42122470287</v>
      </c>
      <c r="AT15" s="96">
        <v>137451191503</v>
      </c>
      <c r="AU15" s="52"/>
      <c r="AV15" s="52"/>
      <c r="AW15" s="327" t="s">
        <v>349</v>
      </c>
      <c r="AX15" s="173">
        <v>3.2000000000000001E-2</v>
      </c>
      <c r="AY15" s="173">
        <v>2.8000000000000001E-2</v>
      </c>
      <c r="AZ15" s="173">
        <v>3.4000000000000002E-2</v>
      </c>
      <c r="BA15" s="500" t="s">
        <v>350</v>
      </c>
      <c r="BB15" s="52"/>
      <c r="BC15" s="52"/>
      <c r="BD15" s="332">
        <v>23</v>
      </c>
      <c r="BE15" s="332" t="s">
        <v>351</v>
      </c>
      <c r="BF15" s="332" t="s">
        <v>352</v>
      </c>
      <c r="BG15" s="332"/>
      <c r="BH15" s="333">
        <v>176518452634</v>
      </c>
      <c r="BI15" s="333">
        <v>184694883045</v>
      </c>
      <c r="BJ15" s="333">
        <v>131805003372</v>
      </c>
    </row>
    <row r="16" spans="2:63" ht="22.5" customHeight="1" thickBot="1">
      <c r="D16" s="402">
        <v>2024</v>
      </c>
      <c r="E16" s="403">
        <f>AT8</f>
        <v>8878813931686</v>
      </c>
      <c r="F16" s="404">
        <f>L20</f>
        <v>3554138261417</v>
      </c>
      <c r="G16" s="405">
        <f t="shared" si="6"/>
        <v>40.03</v>
      </c>
      <c r="I16" s="385" t="s">
        <v>99</v>
      </c>
      <c r="J16" s="386">
        <f t="shared" si="1"/>
        <v>64245590725</v>
      </c>
      <c r="K16" s="386">
        <f t="shared" ref="K16:L16" si="9">AS13</f>
        <v>48600453107</v>
      </c>
      <c r="L16" s="387">
        <f t="shared" si="9"/>
        <v>64468071697</v>
      </c>
      <c r="N16" s="396" t="s">
        <v>325</v>
      </c>
      <c r="O16" s="397">
        <f>AR8</f>
        <v>6210033388769</v>
      </c>
      <c r="P16" s="397">
        <f t="shared" ref="P16:Q16" si="10">AS8</f>
        <v>6829845298714</v>
      </c>
      <c r="Q16" s="398">
        <f t="shared" si="10"/>
        <v>8878813931686</v>
      </c>
      <c r="S16" s="399" t="s">
        <v>353</v>
      </c>
      <c r="T16" s="386">
        <f>Q4</f>
        <v>5275868275</v>
      </c>
      <c r="U16" s="401">
        <f>ROUND(T16/T17*100,2)</f>
        <v>0.1</v>
      </c>
      <c r="V16" s="386">
        <f>R4</f>
        <v>145505586644</v>
      </c>
      <c r="W16" s="401">
        <f>ROUND(V16/V17*100,2)</f>
        <v>2.2799999999999998</v>
      </c>
      <c r="X16" s="386">
        <f>S4</f>
        <v>74417109924</v>
      </c>
      <c r="Y16" s="395">
        <f>ROUND(X16/X17*100,2)</f>
        <v>0.9</v>
      </c>
      <c r="AN16" s="327">
        <v>320</v>
      </c>
      <c r="AO16" s="327" t="s">
        <v>104</v>
      </c>
      <c r="AP16" s="327" t="s">
        <v>105</v>
      </c>
      <c r="AQ16" s="327">
        <v>21</v>
      </c>
      <c r="AR16" s="96">
        <v>3545557150716</v>
      </c>
      <c r="AS16" s="96">
        <v>2903786802438</v>
      </c>
      <c r="AT16" s="96">
        <v>5310715159144</v>
      </c>
      <c r="AU16" s="64"/>
      <c r="AV16" s="64"/>
      <c r="AW16" s="327" t="s">
        <v>354</v>
      </c>
      <c r="AX16" s="174">
        <v>1.9</v>
      </c>
      <c r="AY16" s="174">
        <v>2.2200000000000002</v>
      </c>
      <c r="AZ16" s="174">
        <v>1.7</v>
      </c>
      <c r="BA16" s="500"/>
      <c r="BB16" s="64"/>
      <c r="BC16" s="64"/>
      <c r="BD16" s="332">
        <v>25</v>
      </c>
      <c r="BE16" s="332" t="s">
        <v>153</v>
      </c>
      <c r="BF16" s="332" t="s">
        <v>154</v>
      </c>
      <c r="BG16" s="332">
        <v>31</v>
      </c>
      <c r="BH16" s="333">
        <v>3469159524662</v>
      </c>
      <c r="BI16" s="333">
        <v>2121829595199</v>
      </c>
      <c r="BJ16" s="333">
        <v>2858708812560</v>
      </c>
    </row>
    <row r="17" spans="4:62" ht="22.5" customHeight="1" thickBot="1">
      <c r="I17" s="385" t="s">
        <v>101</v>
      </c>
      <c r="J17" s="386">
        <f t="shared" si="1"/>
        <v>207561319455</v>
      </c>
      <c r="K17" s="386">
        <f t="shared" ref="K17:L17" si="11">AS14</f>
        <v>66684028030</v>
      </c>
      <c r="L17" s="387">
        <f t="shared" si="11"/>
        <v>208807717032</v>
      </c>
      <c r="N17" s="503" t="s">
        <v>355</v>
      </c>
      <c r="O17" s="334">
        <f>ROUND(O14/O16*100,2)</f>
        <v>99.77</v>
      </c>
      <c r="P17" s="334">
        <f t="shared" ref="P17:Q17" si="12">ROUND(P14/P16*100,2)</f>
        <v>99.79</v>
      </c>
      <c r="Q17" s="407">
        <f t="shared" si="12"/>
        <v>99.84</v>
      </c>
      <c r="S17" s="408" t="s">
        <v>286</v>
      </c>
      <c r="T17" s="409">
        <f>SUM(T14:T16)</f>
        <v>5521468605920</v>
      </c>
      <c r="U17" s="410">
        <v>100</v>
      </c>
      <c r="V17" s="409">
        <f>SUM(V14:V16)</f>
        <v>6379775621696</v>
      </c>
      <c r="W17" s="410">
        <v>100</v>
      </c>
      <c r="X17" s="409">
        <f>SUM(X14:X16)</f>
        <v>8238738483549</v>
      </c>
      <c r="Y17" s="405">
        <v>100</v>
      </c>
      <c r="AN17" s="327">
        <v>322</v>
      </c>
      <c r="AO17" s="327" t="s">
        <v>106</v>
      </c>
      <c r="AP17" s="327" t="s">
        <v>107</v>
      </c>
      <c r="AQ17" s="327">
        <v>22</v>
      </c>
      <c r="AR17" s="96">
        <v>206699825822</v>
      </c>
      <c r="AS17" s="96">
        <v>148469573661</v>
      </c>
      <c r="AT17" s="96">
        <v>35388068805</v>
      </c>
      <c r="AU17" s="52"/>
      <c r="AV17" s="52"/>
      <c r="AW17" s="327" t="s">
        <v>356</v>
      </c>
      <c r="AX17" s="173">
        <v>9.5699999999999993E-2</v>
      </c>
      <c r="AY17" s="173">
        <v>7.7899999999999997E-2</v>
      </c>
      <c r="AZ17" s="173">
        <v>8.6599999999999996E-2</v>
      </c>
      <c r="BA17" s="500"/>
      <c r="BB17" s="52"/>
      <c r="BC17" s="52"/>
      <c r="BD17" s="332">
        <v>26</v>
      </c>
      <c r="BE17" s="332" t="s">
        <v>155</v>
      </c>
      <c r="BF17" s="332" t="s">
        <v>156</v>
      </c>
      <c r="BG17" s="332">
        <v>32</v>
      </c>
      <c r="BH17" s="333">
        <v>323017357209</v>
      </c>
      <c r="BI17" s="333">
        <v>242553285595</v>
      </c>
      <c r="BJ17" s="333">
        <v>308367699972</v>
      </c>
    </row>
    <row r="18" spans="4:62" ht="29.45" thickBot="1">
      <c r="I18" s="385" t="s">
        <v>348</v>
      </c>
      <c r="J18" s="386">
        <f t="shared" si="1"/>
        <v>18979145366</v>
      </c>
      <c r="K18" s="386">
        <f t="shared" ref="K18:L18" si="13">AS15</f>
        <v>42122470287</v>
      </c>
      <c r="L18" s="387">
        <f t="shared" si="13"/>
        <v>137451191503</v>
      </c>
      <c r="N18" s="504"/>
      <c r="O18" s="412">
        <f>ROUND(O15/O16*100,2)</f>
        <v>0.23</v>
      </c>
      <c r="P18" s="412">
        <f t="shared" ref="P18:Q18" si="14">ROUND(P15/P16*100,2)</f>
        <v>0.21</v>
      </c>
      <c r="Q18" s="413">
        <f t="shared" si="14"/>
        <v>0.16</v>
      </c>
      <c r="AN18" s="94">
        <v>330</v>
      </c>
      <c r="AO18" s="94" t="s">
        <v>108</v>
      </c>
      <c r="AP18" s="94" t="s">
        <v>346</v>
      </c>
      <c r="AQ18" s="94"/>
      <c r="AR18" s="95">
        <v>14233699187</v>
      </c>
      <c r="AS18" s="95">
        <v>14235816167</v>
      </c>
      <c r="AT18" s="95">
        <v>13960511125</v>
      </c>
      <c r="AU18" s="52"/>
      <c r="AV18" s="52"/>
      <c r="AW18" s="171" t="s">
        <v>357</v>
      </c>
      <c r="AX18" s="172">
        <f>AX15+(AX16*AX17)</f>
        <v>0.21382999999999999</v>
      </c>
      <c r="AY18" s="172">
        <f>AY15+(AY16*AY17)</f>
        <v>0.20093800000000001</v>
      </c>
      <c r="AZ18" s="172">
        <f>AZ15+(AZ16*AZ17)</f>
        <v>0.18121999999999999</v>
      </c>
      <c r="BA18" s="52"/>
      <c r="BB18" s="52"/>
      <c r="BC18" s="52"/>
      <c r="BD18" s="102">
        <v>30</v>
      </c>
      <c r="BE18" s="102" t="s">
        <v>157</v>
      </c>
      <c r="BF18" s="102" t="s">
        <v>158</v>
      </c>
      <c r="BG18" s="102"/>
      <c r="BH18" s="103">
        <v>14159294710</v>
      </c>
      <c r="BI18" s="103">
        <v>264385484144</v>
      </c>
      <c r="BJ18" s="103">
        <v>473060306925</v>
      </c>
    </row>
    <row r="19" spans="4:62" ht="29.1">
      <c r="I19" s="385" t="s">
        <v>107</v>
      </c>
      <c r="J19" s="386">
        <f>AR17</f>
        <v>206699825822</v>
      </c>
      <c r="K19" s="386">
        <f t="shared" ref="K19:L19" si="15">AS17</f>
        <v>148469573661</v>
      </c>
      <c r="L19" s="387">
        <f t="shared" si="15"/>
        <v>35388068805</v>
      </c>
      <c r="N19" s="334"/>
      <c r="O19" s="334"/>
      <c r="P19" s="334"/>
      <c r="Q19" s="334"/>
      <c r="S19" s="381" t="s">
        <v>347</v>
      </c>
      <c r="T19" s="392" t="s">
        <v>173</v>
      </c>
      <c r="U19" s="392" t="s">
        <v>174</v>
      </c>
      <c r="V19" s="392" t="s">
        <v>175</v>
      </c>
      <c r="W19" s="392" t="s">
        <v>358</v>
      </c>
      <c r="X19" s="392" t="s">
        <v>359</v>
      </c>
      <c r="Y19" s="384" t="s">
        <v>360</v>
      </c>
      <c r="AN19" s="327">
        <v>337</v>
      </c>
      <c r="AO19" s="327" t="s">
        <v>110</v>
      </c>
      <c r="AP19" s="327" t="s">
        <v>111</v>
      </c>
      <c r="AQ19" s="327"/>
      <c r="AR19" s="96">
        <v>709500000</v>
      </c>
      <c r="AS19" s="96">
        <v>709500000</v>
      </c>
      <c r="AT19" s="96">
        <v>709500000</v>
      </c>
      <c r="AU19" s="52"/>
      <c r="AV19" s="52"/>
      <c r="AW19" s="171" t="s">
        <v>361</v>
      </c>
      <c r="AX19" s="172">
        <f>AX11*AX14*(1-AX13)+AX12*AX18</f>
        <v>0.14375211462638418</v>
      </c>
      <c r="AY19" s="172">
        <f>AY11*AY14*(1-AY13)+AY12*AY18</f>
        <v>0.13374639035689323</v>
      </c>
      <c r="AZ19" s="172">
        <f>AZ11*AZ14*(1-AZ13)+AZ12*AZ18</f>
        <v>0.10895166041233552</v>
      </c>
      <c r="BA19" s="52"/>
      <c r="BB19" s="52"/>
      <c r="BC19" s="52"/>
      <c r="BD19" s="330">
        <v>31</v>
      </c>
      <c r="BE19" s="330" t="s">
        <v>159</v>
      </c>
      <c r="BF19" s="330" t="s">
        <v>160</v>
      </c>
      <c r="BG19" s="330"/>
      <c r="BH19" s="331">
        <v>37281371157</v>
      </c>
      <c r="BI19" s="331">
        <v>45338320487</v>
      </c>
      <c r="BJ19" s="331">
        <v>34684261898</v>
      </c>
    </row>
    <row r="20" spans="4:62" ht="33.6" customHeight="1" thickBot="1">
      <c r="I20" s="414" t="s">
        <v>362</v>
      </c>
      <c r="J20" s="403">
        <f>SUM(J13:J19)</f>
        <v>2650242538866</v>
      </c>
      <c r="K20" s="403">
        <f t="shared" ref="K20:L20" si="16">SUM(K13:K19)</f>
        <v>3911822680109</v>
      </c>
      <c r="L20" s="415">
        <f t="shared" si="16"/>
        <v>3554138261417</v>
      </c>
      <c r="S20" s="385" t="s">
        <v>363</v>
      </c>
      <c r="T20" s="401" t="s">
        <v>33</v>
      </c>
      <c r="U20" s="386">
        <v>1060712721850</v>
      </c>
      <c r="V20" s="401" t="s">
        <v>33</v>
      </c>
      <c r="W20" s="401" t="s">
        <v>33</v>
      </c>
      <c r="X20" s="401">
        <f>ROUND(U20/U27*100,2)</f>
        <v>31.85</v>
      </c>
      <c r="Y20" s="416" t="s">
        <v>33</v>
      </c>
      <c r="AN20" s="327">
        <v>342</v>
      </c>
      <c r="AO20" s="327" t="s">
        <v>112</v>
      </c>
      <c r="AP20" s="327" t="s">
        <v>113</v>
      </c>
      <c r="AQ20" s="327">
        <v>23</v>
      </c>
      <c r="AR20" s="96">
        <v>13524199187</v>
      </c>
      <c r="AS20" s="96">
        <v>13526316167</v>
      </c>
      <c r="AT20" s="96">
        <v>13251011125</v>
      </c>
      <c r="AU20" s="52"/>
      <c r="AV20" s="52"/>
      <c r="AW20" s="52"/>
      <c r="AX20" s="86"/>
      <c r="AY20" s="86"/>
      <c r="AZ20" s="86"/>
      <c r="BA20" s="52"/>
      <c r="BB20" s="52"/>
      <c r="BC20" s="52"/>
      <c r="BD20" s="332">
        <v>32</v>
      </c>
      <c r="BE20" s="332" t="s">
        <v>161</v>
      </c>
      <c r="BF20" s="332" t="s">
        <v>162</v>
      </c>
      <c r="BG20" s="332"/>
      <c r="BH20" s="333">
        <v>2028544004</v>
      </c>
      <c r="BI20" s="333">
        <v>631991708</v>
      </c>
      <c r="BJ20" s="333">
        <v>5192249642</v>
      </c>
    </row>
    <row r="21" spans="4:62">
      <c r="S21" s="385" t="s">
        <v>364</v>
      </c>
      <c r="T21" s="386">
        <v>458751657862</v>
      </c>
      <c r="U21" s="386">
        <v>334337182195</v>
      </c>
      <c r="V21" s="401" t="s">
        <v>33</v>
      </c>
      <c r="W21" s="401">
        <f>ROUND(T21/T27*100,2)</f>
        <v>23.28</v>
      </c>
      <c r="X21" s="401">
        <f>ROUND(U21/U27*100,2)</f>
        <v>10.039999999999999</v>
      </c>
      <c r="Y21" s="416" t="s">
        <v>33</v>
      </c>
      <c r="AN21" s="334"/>
      <c r="AO21" s="334"/>
      <c r="AP21" s="334"/>
      <c r="AQ21" s="334"/>
      <c r="AR21" s="97"/>
      <c r="AS21" s="97"/>
      <c r="AT21" s="97"/>
      <c r="AU21" s="52"/>
      <c r="AV21" s="52"/>
      <c r="AW21" s="52"/>
      <c r="AX21" s="86"/>
      <c r="AY21" s="86"/>
      <c r="AZ21" s="86"/>
      <c r="BA21" s="52"/>
      <c r="BB21" s="52"/>
      <c r="BC21" s="52"/>
      <c r="BD21" s="102">
        <v>40</v>
      </c>
      <c r="BE21" s="102" t="s">
        <v>163</v>
      </c>
      <c r="BF21" s="102" t="s">
        <v>164</v>
      </c>
      <c r="BG21" s="102"/>
      <c r="BH21" s="103">
        <v>35252827153</v>
      </c>
      <c r="BI21" s="103">
        <v>44706328779</v>
      </c>
      <c r="BJ21" s="103">
        <v>29492012256</v>
      </c>
    </row>
    <row r="22" spans="4:62" ht="15" thickBot="1">
      <c r="S22" s="385" t="s">
        <v>365</v>
      </c>
      <c r="T22" s="386">
        <v>466964809368</v>
      </c>
      <c r="U22" s="386">
        <v>253940389459</v>
      </c>
      <c r="V22" s="401" t="s">
        <v>33</v>
      </c>
      <c r="W22" s="401">
        <f>ROUND(T22/T27*100,2)</f>
        <v>23.7</v>
      </c>
      <c r="X22" s="401">
        <f>ROUND(U22/U27*100,2)</f>
        <v>7.62</v>
      </c>
      <c r="Y22" s="416" t="s">
        <v>33</v>
      </c>
      <c r="AN22" s="498" t="s">
        <v>115</v>
      </c>
      <c r="AO22" s="498"/>
      <c r="AP22" s="498"/>
      <c r="AQ22" s="498"/>
      <c r="AR22" s="498"/>
      <c r="AS22" s="498"/>
      <c r="AT22" s="498"/>
      <c r="AU22" s="64"/>
      <c r="AV22" s="64"/>
      <c r="AW22" s="64"/>
      <c r="AX22" s="87"/>
      <c r="AY22" s="87"/>
      <c r="AZ22" s="87"/>
      <c r="BA22" s="64"/>
      <c r="BB22" s="64"/>
      <c r="BC22" s="64"/>
      <c r="BD22" s="102">
        <v>50</v>
      </c>
      <c r="BE22" s="102" t="s">
        <v>165</v>
      </c>
      <c r="BF22" s="102" t="s">
        <v>166</v>
      </c>
      <c r="BG22" s="102"/>
      <c r="BH22" s="103">
        <v>49412121863</v>
      </c>
      <c r="BI22" s="103">
        <v>309091812923</v>
      </c>
      <c r="BJ22" s="103">
        <v>502552319181</v>
      </c>
    </row>
    <row r="23" spans="4:62" ht="16.5" customHeight="1">
      <c r="D23" s="388" t="s">
        <v>366</v>
      </c>
      <c r="E23" s="417">
        <f>AR16</f>
        <v>3545557150716</v>
      </c>
      <c r="F23" s="417">
        <f t="shared" ref="F23:G23" si="17">AS16</f>
        <v>2903786802438</v>
      </c>
      <c r="G23" s="418">
        <f t="shared" si="17"/>
        <v>5310715159144</v>
      </c>
      <c r="S23" s="385" t="s">
        <v>367</v>
      </c>
      <c r="T23" s="386">
        <v>205051386730</v>
      </c>
      <c r="U23" s="386">
        <v>111279330138</v>
      </c>
      <c r="V23" s="401" t="s">
        <v>33</v>
      </c>
      <c r="W23" s="401">
        <f>ROUND(T23/T27*100,2)</f>
        <v>10.41</v>
      </c>
      <c r="X23" s="401">
        <f>ROUND(U23/U27*100,2)</f>
        <v>3.34</v>
      </c>
      <c r="Y23" s="416" t="s">
        <v>33</v>
      </c>
      <c r="AN23" s="92" t="s">
        <v>8</v>
      </c>
      <c r="AO23" s="92" t="s">
        <v>368</v>
      </c>
      <c r="AP23" s="92" t="s">
        <v>369</v>
      </c>
      <c r="AQ23" s="92" t="s">
        <v>138</v>
      </c>
      <c r="AR23" s="93" t="s">
        <v>321</v>
      </c>
      <c r="AS23" s="93" t="s">
        <v>322</v>
      </c>
      <c r="AT23" s="93" t="s">
        <v>323</v>
      </c>
      <c r="AU23" s="64"/>
      <c r="AV23" s="64"/>
      <c r="AW23" s="64"/>
      <c r="AX23" s="87"/>
      <c r="AY23" s="87"/>
      <c r="AZ23" s="87"/>
      <c r="BA23" s="64"/>
      <c r="BB23" s="64"/>
      <c r="BC23" s="64"/>
      <c r="BD23" s="102">
        <v>51</v>
      </c>
      <c r="BE23" s="102" t="s">
        <v>167</v>
      </c>
      <c r="BF23" s="102" t="s">
        <v>168</v>
      </c>
      <c r="BG23" s="102">
        <v>34</v>
      </c>
      <c r="BH23" s="103">
        <v>23681645484</v>
      </c>
      <c r="BI23" s="103">
        <v>1536979754</v>
      </c>
      <c r="BJ23" s="103">
        <v>99693200</v>
      </c>
    </row>
    <row r="24" spans="4:62" ht="43.5">
      <c r="D24" s="406" t="s">
        <v>325</v>
      </c>
      <c r="E24" s="419">
        <f>AR8</f>
        <v>6210033388769</v>
      </c>
      <c r="F24" s="419">
        <f>AS8</f>
        <v>6829845298714</v>
      </c>
      <c r="G24" s="420">
        <f>AT8</f>
        <v>8878813931686</v>
      </c>
      <c r="S24" s="385" t="s">
        <v>370</v>
      </c>
      <c r="T24" s="386">
        <v>484333050520</v>
      </c>
      <c r="U24" s="386">
        <v>215321324077</v>
      </c>
      <c r="V24" s="401" t="s">
        <v>33</v>
      </c>
      <c r="W24" s="401">
        <f>ROUND(T24/T27*100,2)</f>
        <v>24.58</v>
      </c>
      <c r="X24" s="401">
        <f>ROUND(U24/U27*100,2)</f>
        <v>6.47</v>
      </c>
      <c r="Y24" s="416" t="s">
        <v>33</v>
      </c>
      <c r="AN24" s="94">
        <v>400</v>
      </c>
      <c r="AO24" s="94" t="s">
        <v>114</v>
      </c>
      <c r="AP24" s="94" t="s">
        <v>115</v>
      </c>
      <c r="AQ24" s="94"/>
      <c r="AR24" s="95">
        <v>11167127927226</v>
      </c>
      <c r="AS24" s="95">
        <v>11281950970475</v>
      </c>
      <c r="AT24" s="95">
        <v>11432969984383</v>
      </c>
      <c r="AU24" s="52"/>
      <c r="AV24" s="52"/>
      <c r="AW24" s="52"/>
      <c r="AX24" s="86"/>
      <c r="AY24" s="86"/>
      <c r="AZ24" s="86"/>
      <c r="BA24" s="52"/>
      <c r="BB24" s="52"/>
      <c r="BC24" s="52"/>
      <c r="BD24" s="102">
        <v>52</v>
      </c>
      <c r="BE24" s="102" t="s">
        <v>169</v>
      </c>
      <c r="BF24" s="102" t="s">
        <v>170</v>
      </c>
      <c r="BG24" s="102">
        <v>34</v>
      </c>
      <c r="BH24" s="103">
        <v>-22440081065</v>
      </c>
      <c r="BI24" s="103">
        <v>59265850625</v>
      </c>
      <c r="BJ24" s="103">
        <v>26469681181</v>
      </c>
    </row>
    <row r="25" spans="4:62" ht="15" thickBot="1">
      <c r="D25" s="411" t="s">
        <v>371</v>
      </c>
      <c r="E25" s="412">
        <f>ROUND(E23/E24*100,2)</f>
        <v>57.09</v>
      </c>
      <c r="F25" s="412">
        <f t="shared" ref="F25:G25" si="18">ROUND(F23/F24*100,2)</f>
        <v>42.52</v>
      </c>
      <c r="G25" s="413">
        <f t="shared" si="18"/>
        <v>59.81</v>
      </c>
      <c r="S25" s="385" t="s">
        <v>372</v>
      </c>
      <c r="T25" s="401" t="s">
        <v>33</v>
      </c>
      <c r="U25" s="386">
        <v>148774386772</v>
      </c>
      <c r="V25" s="386">
        <v>603635726823</v>
      </c>
      <c r="W25" s="401" t="s">
        <v>33</v>
      </c>
      <c r="X25" s="401">
        <f>ROUND(U25/U27*100,2)</f>
        <v>4.47</v>
      </c>
      <c r="Y25" s="395">
        <f>ROUND(V25/V27*100,2)</f>
        <v>21.15</v>
      </c>
      <c r="AN25" s="327">
        <v>410</v>
      </c>
      <c r="AO25" s="327" t="s">
        <v>116</v>
      </c>
      <c r="AP25" s="327" t="s">
        <v>117</v>
      </c>
      <c r="AQ25" s="327">
        <v>24</v>
      </c>
      <c r="AR25" s="96">
        <v>11167127927226</v>
      </c>
      <c r="AS25" s="96">
        <v>11281950970475</v>
      </c>
      <c r="AT25" s="96">
        <v>11432969984383</v>
      </c>
      <c r="AU25" s="52"/>
      <c r="AV25" s="52"/>
      <c r="AW25" s="52"/>
      <c r="AX25" s="86"/>
      <c r="AY25" s="86"/>
      <c r="AZ25" s="86"/>
      <c r="BA25" s="52"/>
      <c r="BB25" s="52"/>
      <c r="BC25" s="52"/>
      <c r="BD25" s="102">
        <v>60</v>
      </c>
      <c r="BE25" s="102" t="s">
        <v>171</v>
      </c>
      <c r="BF25" s="102" t="s">
        <v>172</v>
      </c>
      <c r="BG25" s="102"/>
      <c r="BH25" s="103">
        <v>48170557444</v>
      </c>
      <c r="BI25" s="103">
        <v>248288982544</v>
      </c>
      <c r="BJ25" s="103">
        <v>528922307162</v>
      </c>
    </row>
    <row r="26" spans="4:62" ht="29.1">
      <c r="S26" s="385" t="s">
        <v>373</v>
      </c>
      <c r="T26" s="401" t="s">
        <v>33</v>
      </c>
      <c r="U26" s="386">
        <v>29420508150</v>
      </c>
      <c r="V26" s="386">
        <v>382563821530</v>
      </c>
      <c r="W26" s="401" t="s">
        <v>33</v>
      </c>
      <c r="X26" s="401">
        <f>ROUND(U26/U27*100,2)</f>
        <v>0.88</v>
      </c>
      <c r="Y26" s="395">
        <f>ROUND(V26/V27*100,2)</f>
        <v>13.41</v>
      </c>
      <c r="AN26" s="327">
        <v>411</v>
      </c>
      <c r="AO26" s="327" t="s">
        <v>374</v>
      </c>
      <c r="AP26" s="327" t="s">
        <v>375</v>
      </c>
      <c r="AQ26" s="327">
        <v>25</v>
      </c>
      <c r="AR26" s="96">
        <v>5980549860000</v>
      </c>
      <c r="AS26" s="96">
        <v>6159823090000</v>
      </c>
      <c r="AT26" s="96">
        <v>6159823090000</v>
      </c>
      <c r="AU26" s="52"/>
      <c r="AV26" s="52"/>
      <c r="AW26" s="52"/>
      <c r="AX26" s="86"/>
      <c r="AY26" s="86"/>
      <c r="AZ26" s="86"/>
      <c r="BA26" s="52"/>
      <c r="BB26" s="52"/>
      <c r="BC26" s="52"/>
      <c r="BD26" s="326"/>
      <c r="BE26" s="326"/>
      <c r="BF26" s="326"/>
      <c r="BG26" s="326"/>
      <c r="BH26" s="335"/>
      <c r="BI26" s="326"/>
      <c r="BJ26" s="326"/>
    </row>
    <row r="27" spans="4:62" ht="29.1">
      <c r="S27" s="385" t="s">
        <v>376</v>
      </c>
      <c r="T27" s="386">
        <v>1970635586928</v>
      </c>
      <c r="U27" s="386">
        <v>3330483232614</v>
      </c>
      <c r="V27" s="386">
        <v>2853606214481</v>
      </c>
      <c r="W27" s="401">
        <v>100</v>
      </c>
      <c r="X27" s="401">
        <v>100</v>
      </c>
      <c r="Y27" s="395">
        <v>100</v>
      </c>
      <c r="AN27" s="327" t="s">
        <v>120</v>
      </c>
      <c r="AO27" s="327" t="s">
        <v>377</v>
      </c>
      <c r="AP27" s="327" t="s">
        <v>378</v>
      </c>
      <c r="AQ27" s="327"/>
      <c r="AR27" s="96">
        <v>5980549860000</v>
      </c>
      <c r="AS27" s="96">
        <v>6159823090000</v>
      </c>
      <c r="AT27" s="96">
        <v>6159823090000</v>
      </c>
      <c r="AU27" s="52"/>
      <c r="AV27" s="52"/>
      <c r="AW27" s="52"/>
      <c r="AX27" s="86"/>
      <c r="AY27" s="86"/>
      <c r="AZ27" s="86"/>
      <c r="BA27" s="52"/>
      <c r="BB27" s="52"/>
      <c r="BC27" s="52"/>
      <c r="BD27" s="499" t="s">
        <v>379</v>
      </c>
      <c r="BE27" s="499"/>
      <c r="BF27" s="499"/>
      <c r="BG27" s="499"/>
      <c r="BH27" s="499"/>
      <c r="BI27" s="499"/>
      <c r="BJ27" s="499"/>
    </row>
    <row r="28" spans="4:62" ht="15" thickBot="1">
      <c r="S28" s="414" t="s">
        <v>380</v>
      </c>
      <c r="T28" s="52"/>
      <c r="U28" s="52"/>
      <c r="V28" s="52"/>
      <c r="W28" s="410">
        <f>W27-SUM(W20:W26)</f>
        <v>18.03</v>
      </c>
      <c r="X28" s="410">
        <f t="shared" ref="X28:Y28" si="19">X27-SUM(X20:X26)</f>
        <v>35.330000000000013</v>
      </c>
      <c r="Y28" s="410">
        <f t="shared" si="19"/>
        <v>65.44</v>
      </c>
      <c r="AN28" s="327">
        <v>412</v>
      </c>
      <c r="AO28" s="327" t="s">
        <v>123</v>
      </c>
      <c r="AP28" s="327" t="s">
        <v>124</v>
      </c>
      <c r="AQ28" s="327"/>
      <c r="AR28" s="96">
        <v>157292539068</v>
      </c>
      <c r="AS28" s="96">
        <v>157292539068</v>
      </c>
      <c r="AT28" s="96">
        <v>157292539068</v>
      </c>
      <c r="AU28" s="52"/>
      <c r="AV28" s="52"/>
      <c r="AW28" s="52"/>
      <c r="AX28" s="86"/>
      <c r="AY28" s="86"/>
      <c r="AZ28" s="86"/>
      <c r="BA28" s="52"/>
      <c r="BB28" s="52"/>
      <c r="BC28" s="52"/>
      <c r="BD28" s="101" t="s">
        <v>8</v>
      </c>
      <c r="BE28" s="101" t="s">
        <v>9</v>
      </c>
      <c r="BF28" s="101" t="s">
        <v>137</v>
      </c>
      <c r="BG28" s="101" t="s">
        <v>138</v>
      </c>
      <c r="BH28" s="101" t="s">
        <v>321</v>
      </c>
      <c r="BI28" s="101" t="s">
        <v>322</v>
      </c>
      <c r="BJ28" s="101" t="s">
        <v>323</v>
      </c>
    </row>
    <row r="29" spans="4:62" ht="29.1">
      <c r="S29" s="385" t="s">
        <v>313</v>
      </c>
      <c r="T29" s="421" t="s">
        <v>381</v>
      </c>
      <c r="U29" s="421" t="s">
        <v>381</v>
      </c>
      <c r="V29" s="422">
        <v>13</v>
      </c>
      <c r="AN29" s="327">
        <v>420</v>
      </c>
      <c r="AO29" s="327" t="s">
        <v>125</v>
      </c>
      <c r="AP29" s="327" t="s">
        <v>126</v>
      </c>
      <c r="AQ29" s="327"/>
      <c r="AR29" s="96">
        <v>187499009876</v>
      </c>
      <c r="AS29" s="96">
        <v>77910496944</v>
      </c>
      <c r="AT29" s="96">
        <v>50993213769</v>
      </c>
      <c r="AU29" s="52"/>
      <c r="AV29" s="52"/>
      <c r="AW29" s="52"/>
      <c r="AX29" s="86"/>
      <c r="AY29" s="86"/>
      <c r="AZ29" s="86"/>
      <c r="BA29" s="52"/>
      <c r="BB29" s="52"/>
      <c r="BC29" s="52"/>
      <c r="BD29" s="332">
        <v>11</v>
      </c>
      <c r="BE29" s="332" t="s">
        <v>145</v>
      </c>
      <c r="BF29" s="332" t="s">
        <v>146</v>
      </c>
      <c r="BG29" s="332">
        <v>28</v>
      </c>
      <c r="BH29" s="333">
        <v>77388423409761</v>
      </c>
      <c r="BI29" s="333">
        <v>50476627454498</v>
      </c>
      <c r="BJ29" s="333">
        <v>63473799048283</v>
      </c>
    </row>
    <row r="30" spans="4:62" ht="29.1">
      <c r="AN30" s="327">
        <v>421</v>
      </c>
      <c r="AO30" s="327" t="s">
        <v>127</v>
      </c>
      <c r="AP30" s="327" t="s">
        <v>128</v>
      </c>
      <c r="AQ30" s="327"/>
      <c r="AR30" s="96">
        <v>4841786518282</v>
      </c>
      <c r="AS30" s="96">
        <v>4886924844463</v>
      </c>
      <c r="AT30" s="96">
        <v>5064861141546</v>
      </c>
      <c r="AU30" s="52"/>
      <c r="AV30" s="52"/>
      <c r="AW30" s="52"/>
      <c r="AX30" s="86"/>
      <c r="AY30" s="86"/>
      <c r="AZ30" s="86"/>
      <c r="BA30" s="52"/>
      <c r="BB30" s="52"/>
      <c r="BC30" s="52"/>
      <c r="BD30" s="332">
        <v>22</v>
      </c>
      <c r="BE30" s="332" t="s">
        <v>151</v>
      </c>
      <c r="BF30" s="332" t="s">
        <v>152</v>
      </c>
      <c r="BG30" s="332">
        <v>30</v>
      </c>
      <c r="BH30" s="333">
        <v>419889233636</v>
      </c>
      <c r="BI30" s="333">
        <v>300217604297</v>
      </c>
      <c r="BJ30" s="333">
        <v>251550025718</v>
      </c>
    </row>
    <row r="31" spans="4:62" ht="29.1">
      <c r="AN31" s="327" t="s">
        <v>129</v>
      </c>
      <c r="AO31" s="327" t="s">
        <v>382</v>
      </c>
      <c r="AP31" s="327" t="s">
        <v>383</v>
      </c>
      <c r="AQ31" s="327"/>
      <c r="AR31" s="96">
        <v>4793615960838</v>
      </c>
      <c r="AS31" s="96">
        <v>4638635861919</v>
      </c>
      <c r="AT31" s="96">
        <v>4576082907573</v>
      </c>
      <c r="AU31" s="52"/>
      <c r="AV31" s="52"/>
      <c r="AW31" s="52"/>
      <c r="AX31" s="86"/>
      <c r="AY31" s="86"/>
      <c r="AZ31" s="86"/>
      <c r="BA31" s="52"/>
      <c r="BB31" s="52"/>
      <c r="BC31" s="52"/>
      <c r="BD31" s="332">
        <v>23</v>
      </c>
      <c r="BE31" s="332" t="s">
        <v>351</v>
      </c>
      <c r="BF31" s="332" t="s">
        <v>352</v>
      </c>
      <c r="BG31" s="332"/>
      <c r="BH31" s="333">
        <v>176518452634</v>
      </c>
      <c r="BI31" s="333">
        <v>184694883045</v>
      </c>
      <c r="BJ31" s="333">
        <v>131805003372</v>
      </c>
    </row>
    <row r="32" spans="4:62" ht="29.1">
      <c r="AN32" s="327" t="s">
        <v>132</v>
      </c>
      <c r="AO32" s="327" t="s">
        <v>384</v>
      </c>
      <c r="AP32" s="327" t="s">
        <v>385</v>
      </c>
      <c r="AQ32" s="327"/>
      <c r="AR32" s="96">
        <v>48170557444</v>
      </c>
      <c r="AS32" s="96">
        <v>248288982544</v>
      </c>
      <c r="AT32" s="96">
        <v>488778233973</v>
      </c>
      <c r="AU32" s="52"/>
      <c r="AV32" s="52"/>
      <c r="AW32" s="52"/>
      <c r="AX32" s="86"/>
      <c r="AY32" s="86"/>
      <c r="AZ32" s="86"/>
      <c r="BA32" s="52"/>
      <c r="BB32" s="52"/>
      <c r="BC32" s="52"/>
      <c r="BD32" s="332">
        <v>25</v>
      </c>
      <c r="BE32" s="332" t="s">
        <v>153</v>
      </c>
      <c r="BF32" s="332" t="s">
        <v>154</v>
      </c>
      <c r="BG32" s="332">
        <v>31</v>
      </c>
      <c r="BH32" s="333">
        <v>3469159524662</v>
      </c>
      <c r="BI32" s="333">
        <v>2121829595199</v>
      </c>
      <c r="BJ32" s="333">
        <v>2858708812560</v>
      </c>
    </row>
    <row r="33" spans="2:62" s="312" customFormat="1" ht="15" thickBot="1">
      <c r="D33" s="312" t="s">
        <v>386</v>
      </c>
      <c r="E33" s="175"/>
      <c r="F33" s="175"/>
      <c r="G33" s="175"/>
      <c r="J33" s="312" t="s">
        <v>387</v>
      </c>
      <c r="K33" s="75"/>
      <c r="L33" s="75"/>
      <c r="M33" s="75"/>
      <c r="AN33" s="336"/>
      <c r="AO33" s="336"/>
      <c r="AP33" s="336"/>
      <c r="AQ33" s="336"/>
      <c r="AR33" s="178"/>
      <c r="AS33" s="178"/>
      <c r="AT33" s="178"/>
      <c r="AU33" s="336"/>
      <c r="AV33" s="336"/>
      <c r="AW33" s="336"/>
      <c r="AX33" s="179"/>
      <c r="AY33" s="179"/>
      <c r="AZ33" s="179"/>
      <c r="BA33" s="336"/>
      <c r="BB33" s="336"/>
      <c r="BC33" s="336"/>
      <c r="BD33" s="337">
        <v>26</v>
      </c>
      <c r="BE33" s="337" t="s">
        <v>155</v>
      </c>
      <c r="BF33" s="337" t="s">
        <v>156</v>
      </c>
      <c r="BG33" s="337">
        <v>32</v>
      </c>
      <c r="BH33" s="338">
        <v>323017357209</v>
      </c>
      <c r="BI33" s="338">
        <v>242553285595</v>
      </c>
      <c r="BJ33" s="338">
        <v>308367699972</v>
      </c>
    </row>
    <row r="34" spans="2:62" ht="15" thickBot="1">
      <c r="D34" s="43"/>
      <c r="E34" s="342">
        <v>2022</v>
      </c>
      <c r="F34" s="342">
        <v>2023</v>
      </c>
      <c r="G34" s="343">
        <v>2024</v>
      </c>
      <c r="J34" s="423"/>
      <c r="K34" s="424">
        <v>2022</v>
      </c>
      <c r="L34" s="424">
        <v>2023</v>
      </c>
      <c r="M34" s="424">
        <v>2024</v>
      </c>
      <c r="AN34" s="52"/>
      <c r="AO34" s="52"/>
      <c r="AP34" s="52"/>
      <c r="AQ34" s="52"/>
      <c r="AR34" s="85"/>
      <c r="AS34" s="85"/>
      <c r="AT34" s="85"/>
      <c r="AU34" s="52"/>
      <c r="AV34" s="52"/>
      <c r="AW34" s="52"/>
      <c r="AX34" s="86"/>
      <c r="AY34" s="86"/>
      <c r="AZ34" s="86"/>
      <c r="BA34" s="52"/>
      <c r="BB34" s="52"/>
      <c r="BC34" s="52"/>
      <c r="BD34" s="332">
        <v>32</v>
      </c>
      <c r="BE34" s="332" t="s">
        <v>161</v>
      </c>
      <c r="BF34" s="332" t="s">
        <v>162</v>
      </c>
      <c r="BG34" s="332"/>
      <c r="BH34" s="333">
        <v>2028544004</v>
      </c>
      <c r="BI34" s="333">
        <v>631991708</v>
      </c>
      <c r="BJ34" s="333">
        <v>5192249642</v>
      </c>
    </row>
    <row r="35" spans="2:62" ht="15" thickBot="1">
      <c r="D35" s="344" t="s">
        <v>388</v>
      </c>
      <c r="E35" s="425">
        <f>AR25</f>
        <v>11167127927226</v>
      </c>
      <c r="F35" s="425">
        <f t="shared" ref="F35:G35" si="20">AS25</f>
        <v>11281950970475</v>
      </c>
      <c r="G35" s="426">
        <f t="shared" si="20"/>
        <v>11432969984383</v>
      </c>
      <c r="J35" s="427" t="s">
        <v>389</v>
      </c>
      <c r="K35" s="428">
        <f>BH31</f>
        <v>176518452634</v>
      </c>
      <c r="L35" s="428">
        <f t="shared" ref="L35:M35" si="21">BI31</f>
        <v>184694883045</v>
      </c>
      <c r="M35" s="428">
        <f t="shared" si="21"/>
        <v>131805003372</v>
      </c>
      <c r="AN35" s="52"/>
      <c r="AO35" s="52"/>
      <c r="AP35" s="52"/>
      <c r="AQ35" s="52"/>
      <c r="AR35" s="85"/>
      <c r="AS35" s="85"/>
      <c r="AT35" s="85"/>
      <c r="AU35" s="52"/>
      <c r="AV35" s="52"/>
      <c r="AW35" s="52"/>
      <c r="AX35" s="86"/>
      <c r="AY35" s="86"/>
      <c r="AZ35" s="86"/>
      <c r="BA35" s="52"/>
      <c r="BB35" s="52"/>
      <c r="BC35" s="52"/>
      <c r="BD35" s="332">
        <v>51</v>
      </c>
      <c r="BE35" s="332" t="s">
        <v>167</v>
      </c>
      <c r="BF35" s="332" t="s">
        <v>168</v>
      </c>
      <c r="BG35" s="332">
        <v>34</v>
      </c>
      <c r="BH35" s="333">
        <v>23681645484</v>
      </c>
      <c r="BI35" s="333">
        <v>1536979754</v>
      </c>
      <c r="BJ35" s="333">
        <v>99693200</v>
      </c>
    </row>
    <row r="36" spans="2:62" ht="15" thickBot="1">
      <c r="D36" s="344" t="s">
        <v>390</v>
      </c>
      <c r="E36" s="425">
        <f>E35</f>
        <v>11167127927226</v>
      </c>
      <c r="F36" s="425">
        <f>F35</f>
        <v>11281950970475</v>
      </c>
      <c r="G36" s="426">
        <f t="shared" ref="F36:G36" si="22">G35</f>
        <v>11432969984383</v>
      </c>
      <c r="J36" s="427" t="s">
        <v>391</v>
      </c>
      <c r="K36" s="428">
        <f>BH43+K35</f>
        <v>225930574497</v>
      </c>
      <c r="L36" s="428">
        <f>BI43+L35</f>
        <v>493786695968</v>
      </c>
      <c r="M36" s="428">
        <f>BJ43+M35</f>
        <v>634357322553</v>
      </c>
      <c r="BD36" s="326"/>
      <c r="BE36" s="326"/>
      <c r="BF36" s="326"/>
      <c r="BG36" s="326"/>
      <c r="BH36" s="326"/>
      <c r="BI36" s="326"/>
      <c r="BJ36" s="326"/>
    </row>
    <row r="37" spans="2:62" ht="15" thickBot="1">
      <c r="D37" s="344" t="s">
        <v>128</v>
      </c>
      <c r="E37" s="425">
        <f>AR30</f>
        <v>4841786518282</v>
      </c>
      <c r="F37" s="425">
        <f t="shared" ref="F37:G37" si="23">AS30</f>
        <v>4886924844463</v>
      </c>
      <c r="G37" s="426">
        <f t="shared" si="23"/>
        <v>5064861141546</v>
      </c>
      <c r="J37" s="427" t="s">
        <v>392</v>
      </c>
      <c r="K37" s="429">
        <f>ROUND(K36/K35,2)</f>
        <v>1.28</v>
      </c>
      <c r="L37" s="429">
        <f t="shared" ref="L37:M37" si="24">ROUND(L36/L35,2)</f>
        <v>2.67</v>
      </c>
      <c r="M37" s="429">
        <f t="shared" si="24"/>
        <v>4.8099999999999996</v>
      </c>
      <c r="BD37" s="326"/>
      <c r="BE37" s="326"/>
      <c r="BF37" s="326"/>
      <c r="BG37" s="326"/>
      <c r="BH37" s="326"/>
      <c r="BI37" s="326"/>
      <c r="BJ37" s="326"/>
    </row>
    <row r="38" spans="2:62" ht="15" thickBot="1">
      <c r="D38" s="370" t="s">
        <v>393</v>
      </c>
      <c r="E38" s="430">
        <f>ROUND(E37/E36*100,2)</f>
        <v>43.36</v>
      </c>
      <c r="F38" s="430">
        <f t="shared" ref="F38:G38" si="25">ROUND(F37/F36*100,2)</f>
        <v>43.32</v>
      </c>
      <c r="G38" s="431">
        <f t="shared" si="25"/>
        <v>44.3</v>
      </c>
      <c r="K38" s="3">
        <f>BH10-SUM(BH29:BH35)</f>
        <v>-613236952291</v>
      </c>
      <c r="BD38" s="499" t="s">
        <v>394</v>
      </c>
      <c r="BE38" s="499"/>
      <c r="BF38" s="499"/>
      <c r="BG38" s="499"/>
      <c r="BH38" s="499"/>
      <c r="BI38" s="499"/>
      <c r="BJ38" s="499"/>
    </row>
    <row r="39" spans="2:62">
      <c r="K39" s="180" t="s">
        <v>395</v>
      </c>
      <c r="BD39" s="101" t="s">
        <v>8</v>
      </c>
      <c r="BE39" s="101" t="s">
        <v>9</v>
      </c>
      <c r="BF39" s="101" t="s">
        <v>137</v>
      </c>
      <c r="BG39" s="101" t="s">
        <v>138</v>
      </c>
      <c r="BH39" s="101" t="s">
        <v>321</v>
      </c>
      <c r="BI39" s="101" t="s">
        <v>322</v>
      </c>
      <c r="BJ39" s="101" t="s">
        <v>323</v>
      </c>
    </row>
    <row r="40" spans="2:62">
      <c r="K40" s="3">
        <f>BH25-BH23-K35</f>
        <v>-152029540674</v>
      </c>
      <c r="BD40" s="98">
        <v>20</v>
      </c>
      <c r="BE40" s="98" t="s">
        <v>147</v>
      </c>
      <c r="BF40" s="98" t="s">
        <v>148</v>
      </c>
      <c r="BG40" s="98"/>
      <c r="BH40" s="99">
        <v>3801057805338</v>
      </c>
      <c r="BI40" s="333">
        <v>2128135712692</v>
      </c>
      <c r="BJ40" s="333">
        <v>3238748750468</v>
      </c>
    </row>
    <row r="41" spans="2:62">
      <c r="K41" s="3">
        <f>BH43+K35</f>
        <v>225930574497</v>
      </c>
      <c r="BD41" s="332">
        <v>30</v>
      </c>
      <c r="BE41" s="332" t="s">
        <v>157</v>
      </c>
      <c r="BF41" s="332" t="s">
        <v>158</v>
      </c>
      <c r="BG41" s="332"/>
      <c r="BH41" s="333">
        <v>14159294710</v>
      </c>
      <c r="BI41" s="333">
        <v>264385484144</v>
      </c>
      <c r="BJ41" s="333">
        <v>473060306925</v>
      </c>
    </row>
    <row r="42" spans="2:62">
      <c r="BD42" s="332">
        <v>40</v>
      </c>
      <c r="BE42" s="332" t="s">
        <v>163</v>
      </c>
      <c r="BF42" s="332" t="s">
        <v>164</v>
      </c>
      <c r="BG42" s="332"/>
      <c r="BH42" s="333">
        <v>35252827153</v>
      </c>
      <c r="BI42" s="333">
        <v>44706328779</v>
      </c>
      <c r="BJ42" s="333">
        <v>29492012256</v>
      </c>
    </row>
    <row r="43" spans="2:62">
      <c r="BD43" s="332">
        <v>50</v>
      </c>
      <c r="BE43" s="332" t="s">
        <v>165</v>
      </c>
      <c r="BF43" s="332" t="s">
        <v>166</v>
      </c>
      <c r="BG43" s="332"/>
      <c r="BH43" s="333">
        <v>49412121863</v>
      </c>
      <c r="BI43" s="333">
        <v>309091812923</v>
      </c>
      <c r="BJ43" s="333">
        <v>502552319181</v>
      </c>
    </row>
    <row r="44" spans="2:62" s="181" customFormat="1" ht="15" thickBot="1">
      <c r="B44" s="84" t="s">
        <v>396</v>
      </c>
      <c r="D44" s="84" t="s">
        <v>397</v>
      </c>
      <c r="E44" s="182"/>
      <c r="F44" s="182"/>
      <c r="G44" s="182"/>
      <c r="J44" s="181" t="s">
        <v>398</v>
      </c>
      <c r="K44" s="182"/>
      <c r="L44" s="182"/>
      <c r="M44" s="182"/>
      <c r="BD44" s="183">
        <v>60</v>
      </c>
      <c r="BE44" s="183" t="s">
        <v>171</v>
      </c>
      <c r="BF44" s="183" t="s">
        <v>172</v>
      </c>
      <c r="BG44" s="183"/>
      <c r="BH44" s="184">
        <v>48170557444</v>
      </c>
      <c r="BI44" s="184">
        <v>248288982544</v>
      </c>
      <c r="BJ44" s="184">
        <v>528922307162</v>
      </c>
    </row>
    <row r="45" spans="2:62">
      <c r="D45" s="43"/>
      <c r="E45" s="77">
        <v>2022</v>
      </c>
      <c r="F45" s="77">
        <v>2023</v>
      </c>
      <c r="G45" s="78">
        <v>2024</v>
      </c>
      <c r="J45" s="43"/>
      <c r="K45" s="77">
        <v>2022</v>
      </c>
      <c r="L45" s="77">
        <v>2023</v>
      </c>
      <c r="M45" s="78">
        <v>2024</v>
      </c>
    </row>
    <row r="46" spans="2:62" ht="15" thickBot="1">
      <c r="D46" s="32" t="s">
        <v>399</v>
      </c>
      <c r="E46" s="76">
        <f>'Balance Sheet'!D22</f>
        <v>5118727087531</v>
      </c>
      <c r="F46" s="76">
        <f>'Balance Sheet'!E22</f>
        <v>4924991584484</v>
      </c>
      <c r="G46" s="79">
        <f>'Balance Sheet'!F22</f>
        <v>4763897298254</v>
      </c>
      <c r="J46" s="323" t="s">
        <v>400</v>
      </c>
      <c r="K46" s="80">
        <f>'Balance Sheet'!D3-'3. Financing'!AR9</f>
        <v>6062634538882</v>
      </c>
      <c r="L46" s="80">
        <f>'Balance Sheet'!E3-'3. Financing'!AS9</f>
        <v>6371195202158</v>
      </c>
      <c r="M46" s="83">
        <f>'Balance Sheet'!F3-'3. Financing'!AT9</f>
        <v>6683033197254</v>
      </c>
    </row>
    <row r="47" spans="2:62" ht="15" thickBot="1">
      <c r="D47" s="323" t="s">
        <v>401</v>
      </c>
      <c r="E47" s="80">
        <f>AR18+AR24</f>
        <v>11181361626413</v>
      </c>
      <c r="F47" s="80">
        <f t="shared" ref="F47:G47" si="26">AS18+AS24</f>
        <v>11296186786642</v>
      </c>
      <c r="G47" s="83">
        <f t="shared" si="26"/>
        <v>11446930495508</v>
      </c>
      <c r="L47"/>
    </row>
    <row r="51" spans="15:18">
      <c r="O51" s="502" t="s">
        <v>402</v>
      </c>
      <c r="P51" s="501"/>
      <c r="Q51" s="501"/>
      <c r="R51" s="501"/>
    </row>
    <row r="52" spans="15:18">
      <c r="O52" s="501"/>
      <c r="P52" s="501"/>
      <c r="Q52" s="501"/>
      <c r="R52" s="501"/>
    </row>
    <row r="53" spans="15:18">
      <c r="O53" s="501"/>
      <c r="P53" s="501"/>
      <c r="Q53" s="501"/>
      <c r="R53" s="501"/>
    </row>
    <row r="54" spans="15:18">
      <c r="O54" s="501"/>
      <c r="P54" s="501"/>
      <c r="Q54" s="501"/>
      <c r="R54" s="501"/>
    </row>
    <row r="55" spans="15:18">
      <c r="O55" s="501"/>
      <c r="P55" s="501"/>
      <c r="Q55" s="501"/>
      <c r="R55" s="501"/>
    </row>
    <row r="56" spans="15:18">
      <c r="O56" s="501"/>
      <c r="P56" s="501"/>
      <c r="Q56" s="501"/>
      <c r="R56" s="501"/>
    </row>
    <row r="64" spans="15:18" ht="15" thickBot="1"/>
    <row r="65" spans="2:21">
      <c r="D65" s="43"/>
      <c r="E65" s="77">
        <v>2022</v>
      </c>
      <c r="F65" s="77">
        <v>2023</v>
      </c>
      <c r="G65" s="78">
        <v>2024</v>
      </c>
    </row>
    <row r="66" spans="2:21">
      <c r="D66" s="32" t="s">
        <v>346</v>
      </c>
      <c r="E66" s="76">
        <f>AR18</f>
        <v>14233699187</v>
      </c>
      <c r="F66" s="76">
        <f t="shared" ref="F66:G66" si="27">AS18</f>
        <v>14235816167</v>
      </c>
      <c r="G66" s="79">
        <f t="shared" si="27"/>
        <v>13960511125</v>
      </c>
    </row>
    <row r="67" spans="2:21" ht="15" thickBot="1">
      <c r="D67" s="323" t="s">
        <v>390</v>
      </c>
      <c r="E67" s="80">
        <f>AR24</f>
        <v>11167127927226</v>
      </c>
      <c r="F67" s="80">
        <f t="shared" ref="F67:G67" si="28">AS24</f>
        <v>11281950970475</v>
      </c>
      <c r="G67" s="83">
        <f t="shared" si="28"/>
        <v>11432969984383</v>
      </c>
    </row>
    <row r="72" spans="2:21" s="312" customFormat="1" ht="15" thickBot="1">
      <c r="B72" s="312" t="s">
        <v>403</v>
      </c>
      <c r="C72" s="312" t="s">
        <v>404</v>
      </c>
      <c r="D72" s="84" t="s">
        <v>405</v>
      </c>
      <c r="E72" s="75"/>
      <c r="F72" s="75"/>
      <c r="G72" s="75"/>
      <c r="K72" s="75" t="s">
        <v>406</v>
      </c>
      <c r="L72" s="84" t="s">
        <v>407</v>
      </c>
      <c r="M72" s="75"/>
    </row>
    <row r="73" spans="2:21">
      <c r="D73" s="43"/>
      <c r="E73" s="77">
        <v>2022</v>
      </c>
      <c r="F73" s="77">
        <v>2023</v>
      </c>
      <c r="G73" s="78">
        <v>2024</v>
      </c>
      <c r="H73" s="188">
        <v>2021</v>
      </c>
      <c r="L73" s="185"/>
      <c r="M73" s="77">
        <v>2022</v>
      </c>
      <c r="N73" s="44">
        <v>2023</v>
      </c>
      <c r="O73" s="45">
        <v>2024</v>
      </c>
      <c r="R73" s="43"/>
      <c r="S73" s="190" t="s">
        <v>408</v>
      </c>
      <c r="T73" s="190" t="s">
        <v>409</v>
      </c>
      <c r="U73" s="189" t="s">
        <v>410</v>
      </c>
    </row>
    <row r="74" spans="2:21">
      <c r="D74" s="32" t="s">
        <v>389</v>
      </c>
      <c r="E74" s="76">
        <f>BH15</f>
        <v>176518452634</v>
      </c>
      <c r="F74" s="76">
        <f t="shared" ref="F74:G74" si="29">BI15</f>
        <v>184694883045</v>
      </c>
      <c r="G74" s="79">
        <f t="shared" si="29"/>
        <v>131805003372</v>
      </c>
      <c r="L74" s="186" t="s">
        <v>411</v>
      </c>
      <c r="M74" s="76">
        <f>BH44</f>
        <v>48170557444</v>
      </c>
      <c r="N74" s="76">
        <f t="shared" ref="N74:O74" si="30">BI44</f>
        <v>248288982544</v>
      </c>
      <c r="O74" s="79">
        <f t="shared" si="30"/>
        <v>528922307162</v>
      </c>
      <c r="R74" s="32" t="s">
        <v>411</v>
      </c>
      <c r="S74" s="76">
        <f>O74</f>
        <v>528922307162</v>
      </c>
      <c r="T74" s="76">
        <v>10247400472100</v>
      </c>
      <c r="U74" s="339">
        <v>456063292961</v>
      </c>
    </row>
    <row r="75" spans="2:21">
      <c r="D75" s="32" t="s">
        <v>412</v>
      </c>
      <c r="E75" s="76">
        <f>BH22</f>
        <v>49412121863</v>
      </c>
      <c r="F75" s="76">
        <f t="shared" ref="F75:G75" si="31">BI22</f>
        <v>309091812923</v>
      </c>
      <c r="G75" s="79">
        <f t="shared" si="31"/>
        <v>502552319181</v>
      </c>
      <c r="L75" s="186" t="s">
        <v>115</v>
      </c>
      <c r="M75" s="76">
        <f>AR24</f>
        <v>11167127927226</v>
      </c>
      <c r="N75" s="76">
        <f t="shared" ref="N75:O75" si="32">AS24</f>
        <v>11281950970475</v>
      </c>
      <c r="O75" s="79">
        <f t="shared" si="32"/>
        <v>11432969984383</v>
      </c>
      <c r="R75" s="32" t="s">
        <v>413</v>
      </c>
      <c r="S75" s="76">
        <f>O76</f>
        <v>11375810760844.5</v>
      </c>
      <c r="T75" s="76">
        <v>75790640877920</v>
      </c>
      <c r="U75" s="339">
        <v>5476820876106</v>
      </c>
    </row>
    <row r="76" spans="2:21" ht="15" thickBot="1">
      <c r="D76" s="323" t="s">
        <v>391</v>
      </c>
      <c r="E76" s="80">
        <f>E75+E74</f>
        <v>225930574497</v>
      </c>
      <c r="F76" s="80">
        <f t="shared" ref="F76:G76" si="33">F75+F74</f>
        <v>493786695968</v>
      </c>
      <c r="G76" s="83">
        <f t="shared" si="33"/>
        <v>634357322553</v>
      </c>
      <c r="L76" s="186" t="s">
        <v>413</v>
      </c>
      <c r="M76" s="76">
        <f>AVERAGE(H81,M75)</f>
        <v>11242889732266</v>
      </c>
      <c r="N76" s="76">
        <f>AVERAGE(H81,N75)</f>
        <v>11300301253890.5</v>
      </c>
      <c r="O76" s="79">
        <f>AVERAGE(H81,O75)</f>
        <v>11375810760844.5</v>
      </c>
      <c r="R76" s="323" t="s">
        <v>414</v>
      </c>
      <c r="S76" s="191">
        <f>S74/S75</f>
        <v>4.6495350378238418E-2</v>
      </c>
      <c r="T76" s="191">
        <f>T74/T75</f>
        <v>0.13520667398242522</v>
      </c>
      <c r="U76" s="192">
        <f>U74/U75</f>
        <v>8.3271537134013293E-2</v>
      </c>
    </row>
    <row r="77" spans="2:21" ht="15" thickBot="1">
      <c r="L77" s="187" t="s">
        <v>415</v>
      </c>
      <c r="M77" s="191">
        <f>M74/M76</f>
        <v>4.2845352566035742E-3</v>
      </c>
      <c r="N77" s="191">
        <f t="shared" ref="N77" si="34">N74/N76</f>
        <v>2.1971890568715447E-2</v>
      </c>
      <c r="O77" s="191">
        <f>O74/O76</f>
        <v>4.6495350378238418E-2</v>
      </c>
      <c r="R77" t="s">
        <v>416</v>
      </c>
      <c r="T77" t="s">
        <v>417</v>
      </c>
      <c r="U77" t="s">
        <v>418</v>
      </c>
    </row>
    <row r="78" spans="2:21" ht="15" thickBot="1"/>
    <row r="79" spans="2:21">
      <c r="D79" s="43"/>
      <c r="E79" s="77">
        <v>2022</v>
      </c>
      <c r="F79" s="77">
        <v>2023</v>
      </c>
      <c r="G79" s="78">
        <v>2024</v>
      </c>
      <c r="L79" s="185"/>
      <c r="M79" s="77">
        <v>2022</v>
      </c>
      <c r="N79" s="44">
        <v>2023</v>
      </c>
      <c r="O79" s="45">
        <v>2024</v>
      </c>
    </row>
    <row r="80" spans="2:21" ht="15" thickBot="1">
      <c r="D80" s="32" t="s">
        <v>346</v>
      </c>
      <c r="E80" s="76">
        <f>AR18</f>
        <v>14233699187</v>
      </c>
      <c r="F80" s="76">
        <f t="shared" ref="F80:G80" si="35">AS18</f>
        <v>14235816167</v>
      </c>
      <c r="G80" s="79">
        <f t="shared" si="35"/>
        <v>13960511125</v>
      </c>
      <c r="H80" s="14">
        <v>13652557267</v>
      </c>
      <c r="I80" s="501" t="s">
        <v>419</v>
      </c>
      <c r="L80" s="187" t="s">
        <v>415</v>
      </c>
      <c r="M80" s="191">
        <f>M74/M76</f>
        <v>4.2845352566035742E-3</v>
      </c>
      <c r="N80" s="191">
        <f t="shared" ref="N80:O80" si="36">N74/N76</f>
        <v>2.1971890568715447E-2</v>
      </c>
      <c r="O80" s="191">
        <f t="shared" si="36"/>
        <v>4.6495350378238418E-2</v>
      </c>
    </row>
    <row r="81" spans="2:25">
      <c r="D81" s="32" t="s">
        <v>115</v>
      </c>
      <c r="E81" s="76">
        <f>AR24</f>
        <v>11167127927226</v>
      </c>
      <c r="F81" s="76">
        <f t="shared" ref="F81:G81" si="37">AS24</f>
        <v>11281950970475</v>
      </c>
      <c r="G81" s="79">
        <f t="shared" si="37"/>
        <v>11432969984383</v>
      </c>
      <c r="H81" s="14">
        <v>11318651537306</v>
      </c>
      <c r="I81" s="501"/>
    </row>
    <row r="82" spans="2:25">
      <c r="D82" s="32" t="s">
        <v>420</v>
      </c>
      <c r="E82" s="76">
        <f>SUM(E80:E81)</f>
        <v>11181361626413</v>
      </c>
      <c r="F82" s="76">
        <f t="shared" ref="F82:G82" si="38">SUM(F80:F81)</f>
        <v>11296186786642</v>
      </c>
      <c r="G82" s="79">
        <f t="shared" si="38"/>
        <v>11446930495508</v>
      </c>
      <c r="H82" s="14">
        <f>SUM(H80:H81)</f>
        <v>11332304094573</v>
      </c>
      <c r="I82" s="501"/>
    </row>
    <row r="83" spans="2:25">
      <c r="D83" s="32" t="s">
        <v>421</v>
      </c>
      <c r="E83" s="76">
        <f>AVERAGE(E82,H82)</f>
        <v>11256832860493</v>
      </c>
      <c r="F83" s="76">
        <f>AVERAGE(F82,E82)</f>
        <v>11238774206527.5</v>
      </c>
      <c r="G83" s="79">
        <f>AVERAGE(F82,G82)</f>
        <v>11371558641075</v>
      </c>
    </row>
    <row r="84" spans="2:25" ht="15" thickBot="1">
      <c r="D84" s="323" t="s">
        <v>422</v>
      </c>
      <c r="E84" s="191">
        <f>E76/E83</f>
        <v>2.0070527589507555E-2</v>
      </c>
      <c r="F84" s="191">
        <f t="shared" ref="F84:G84" si="39">F76/F83</f>
        <v>4.393599220822568E-2</v>
      </c>
      <c r="G84" s="192">
        <f t="shared" si="39"/>
        <v>5.5784553602146451E-2</v>
      </c>
    </row>
    <row r="85" spans="2:25" ht="15" thickBot="1"/>
    <row r="86" spans="2:25">
      <c r="D86" s="43"/>
      <c r="E86" s="77">
        <v>2022</v>
      </c>
      <c r="F86" s="77">
        <v>2023</v>
      </c>
      <c r="G86" s="78">
        <v>2024</v>
      </c>
    </row>
    <row r="87" spans="2:25" ht="15" thickBot="1">
      <c r="D87" s="323" t="s">
        <v>422</v>
      </c>
      <c r="E87" s="191">
        <f>E76/E83</f>
        <v>2.0070527589507555E-2</v>
      </c>
      <c r="F87" s="191">
        <f t="shared" ref="F87:G87" si="40">F76/F83</f>
        <v>4.393599220822568E-2</v>
      </c>
      <c r="G87" s="191">
        <f t="shared" si="40"/>
        <v>5.5784553602146451E-2</v>
      </c>
    </row>
    <row r="88" spans="2:25" s="312" customFormat="1" ht="15" thickBot="1">
      <c r="B88" s="312" t="s">
        <v>423</v>
      </c>
      <c r="D88" s="312" t="s">
        <v>424</v>
      </c>
      <c r="E88" s="75"/>
      <c r="F88" s="75"/>
      <c r="G88" s="75"/>
      <c r="J88" s="340" t="s">
        <v>425</v>
      </c>
      <c r="K88" s="75"/>
      <c r="L88" s="75"/>
      <c r="M88" s="75"/>
      <c r="Q88" s="312" t="s">
        <v>426</v>
      </c>
    </row>
    <row r="89" spans="2:25">
      <c r="D89" s="341"/>
      <c r="E89" s="342">
        <v>2022</v>
      </c>
      <c r="F89" s="342">
        <v>2023</v>
      </c>
      <c r="G89" s="343">
        <v>2024</v>
      </c>
      <c r="J89" s="341"/>
      <c r="K89" s="342">
        <v>2022</v>
      </c>
      <c r="L89" s="342">
        <v>2023</v>
      </c>
      <c r="M89" s="343">
        <v>2024</v>
      </c>
      <c r="Q89" s="341"/>
      <c r="R89" s="342">
        <v>2022</v>
      </c>
      <c r="S89" s="342">
        <v>2023</v>
      </c>
      <c r="T89" s="343">
        <v>2024</v>
      </c>
      <c r="V89" s="302" t="s">
        <v>427</v>
      </c>
    </row>
    <row r="90" spans="2:25">
      <c r="D90" s="344" t="s">
        <v>14</v>
      </c>
      <c r="E90" s="345">
        <f>'Balance Sheet'!D3</f>
        <v>12258434228464</v>
      </c>
      <c r="F90" s="345">
        <f>'Balance Sheet'!E3</f>
        <v>13186804684705</v>
      </c>
      <c r="G90" s="346">
        <f>'Balance Sheet'!F3</f>
        <v>15547886617815</v>
      </c>
      <c r="J90" s="344" t="s">
        <v>391</v>
      </c>
      <c r="K90" s="347">
        <f>E76</f>
        <v>225930574497</v>
      </c>
      <c r="L90" s="347">
        <f>F76</f>
        <v>493786695968</v>
      </c>
      <c r="M90" s="348">
        <f>G76</f>
        <v>634357322553</v>
      </c>
      <c r="Q90" s="349" t="s">
        <v>428</v>
      </c>
      <c r="R90" s="350">
        <f>'Balance Sheet'!D3-'3. Financing'!AR9</f>
        <v>6062634538882</v>
      </c>
      <c r="S90" s="350">
        <f>'Balance Sheet'!E3-'3. Financing'!AS9</f>
        <v>6371195202158</v>
      </c>
      <c r="T90" s="351">
        <f>'Balance Sheet'!F3-'3. Financing'!AT9</f>
        <v>6683033197254</v>
      </c>
      <c r="V90" s="302" t="s">
        <v>429</v>
      </c>
    </row>
    <row r="91" spans="2:25">
      <c r="D91" s="344" t="s">
        <v>91</v>
      </c>
      <c r="E91" s="347">
        <f>AR9</f>
        <v>6195799689582</v>
      </c>
      <c r="F91" s="347">
        <f t="shared" ref="F91:G91" si="41">AS9</f>
        <v>6815609482547</v>
      </c>
      <c r="G91" s="348">
        <f t="shared" si="41"/>
        <v>8864853420561</v>
      </c>
      <c r="J91" s="344" t="s">
        <v>389</v>
      </c>
      <c r="K91" s="352">
        <f>BH15</f>
        <v>176518452634</v>
      </c>
      <c r="L91" s="352">
        <f>BI15</f>
        <v>184694883045</v>
      </c>
      <c r="M91" s="353">
        <f>BJ15</f>
        <v>131805003372</v>
      </c>
      <c r="Q91" s="344" t="s">
        <v>87</v>
      </c>
      <c r="R91" s="345">
        <f>'Balance Sheet'!D3+'Balance Sheet'!D22</f>
        <v>17377161315995</v>
      </c>
      <c r="S91" s="345">
        <f>'Balance Sheet'!E3+'Balance Sheet'!E22</f>
        <v>18111796269189</v>
      </c>
      <c r="T91" s="346">
        <f>'Balance Sheet'!F3+'Balance Sheet'!F22</f>
        <v>20311783916069</v>
      </c>
      <c r="V91" s="302" t="s">
        <v>430</v>
      </c>
    </row>
    <row r="92" spans="2:25" ht="58.5" thickBot="1">
      <c r="D92" s="349" t="s">
        <v>431</v>
      </c>
      <c r="E92" s="354">
        <f>ROUND(E90/E91,2)</f>
        <v>1.98</v>
      </c>
      <c r="F92" s="354">
        <f>ROUND(F90/F91,2)</f>
        <v>1.93</v>
      </c>
      <c r="G92" s="355">
        <f>ROUND(G90/G91,2)</f>
        <v>1.75</v>
      </c>
      <c r="J92" s="356" t="s">
        <v>432</v>
      </c>
      <c r="K92" s="357">
        <f>K90/K91</f>
        <v>1.2799260990886485</v>
      </c>
      <c r="L92" s="357">
        <f t="shared" ref="L92:M92" si="42">L90/L91</f>
        <v>2.6735266718119703</v>
      </c>
      <c r="M92" s="358">
        <f t="shared" si="42"/>
        <v>4.8128470568193906</v>
      </c>
      <c r="Q92" s="344" t="s">
        <v>128</v>
      </c>
      <c r="R92" s="347">
        <f>AR30</f>
        <v>4841786518282</v>
      </c>
      <c r="S92" s="347">
        <f t="shared" ref="S92:T92" si="43">AS30</f>
        <v>4886924844463</v>
      </c>
      <c r="T92" s="348">
        <f t="shared" si="43"/>
        <v>5064861141546</v>
      </c>
    </row>
    <row r="93" spans="2:25">
      <c r="D93" s="344" t="s">
        <v>39</v>
      </c>
      <c r="E93" s="345">
        <f>'Balance Sheet'!D15</f>
        <v>3185372278891</v>
      </c>
      <c r="F93" s="345">
        <f>'Balance Sheet'!E15</f>
        <v>3749491109277</v>
      </c>
      <c r="G93" s="346">
        <f>'Balance Sheet'!F15</f>
        <v>3943145442782</v>
      </c>
      <c r="Q93" s="344" t="s">
        <v>391</v>
      </c>
      <c r="R93" s="347">
        <f>E74+E75</f>
        <v>225930574497</v>
      </c>
      <c r="S93" s="347">
        <f t="shared" ref="S93:T93" si="44">F74+F75</f>
        <v>493786695968</v>
      </c>
      <c r="T93" s="348">
        <f t="shared" si="44"/>
        <v>634357322553</v>
      </c>
    </row>
    <row r="94" spans="2:25" ht="29.45" thickBot="1">
      <c r="D94" s="349" t="s">
        <v>433</v>
      </c>
      <c r="E94" s="359">
        <f>(E90-E93)/E91</f>
        <v>1.4643891675240899</v>
      </c>
      <c r="F94" s="359">
        <f t="shared" ref="F94:G94" si="45">(F90-F93)/F91</f>
        <v>1.3846617238846359</v>
      </c>
      <c r="G94" s="360">
        <f t="shared" si="45"/>
        <v>1.3090731030156852</v>
      </c>
      <c r="Q94" s="349" t="s">
        <v>434</v>
      </c>
      <c r="R94" s="361">
        <f>R95*R96</f>
        <v>8137734194502</v>
      </c>
      <c r="S94" s="361">
        <f t="shared" ref="S94:T94" si="46">S95*S96</f>
        <v>11663009038606</v>
      </c>
      <c r="T94" s="362">
        <f t="shared" si="46"/>
        <v>12747753884755</v>
      </c>
    </row>
    <row r="95" spans="2:25" ht="29.1">
      <c r="D95" s="344" t="s">
        <v>16</v>
      </c>
      <c r="E95" s="345">
        <f>'Cash flow Statement'!C37</f>
        <v>242815476591</v>
      </c>
      <c r="F95" s="345">
        <f>'Cash flow Statement'!D37</f>
        <v>501386999566</v>
      </c>
      <c r="G95" s="346">
        <f>'Cash flow Statement'!E37</f>
        <v>427778817941</v>
      </c>
      <c r="J95" s="303"/>
      <c r="K95" s="304">
        <v>2022</v>
      </c>
      <c r="L95" s="304">
        <v>2023</v>
      </c>
      <c r="M95" s="305">
        <v>2024</v>
      </c>
      <c r="Q95" s="344" t="s">
        <v>435</v>
      </c>
      <c r="R95" s="352">
        <v>13607</v>
      </c>
      <c r="S95" s="352">
        <v>18934</v>
      </c>
      <c r="T95" s="353">
        <v>20695</v>
      </c>
      <c r="U95" s="501" t="s">
        <v>436</v>
      </c>
      <c r="V95" s="43"/>
      <c r="W95" s="44">
        <v>2022</v>
      </c>
      <c r="X95" s="44">
        <v>2023</v>
      </c>
      <c r="Y95" s="45">
        <v>2024</v>
      </c>
    </row>
    <row r="96" spans="2:25" ht="13.5" customHeight="1" thickBot="1">
      <c r="D96" s="356" t="s">
        <v>437</v>
      </c>
      <c r="E96" s="363">
        <f>E95/E91</f>
        <v>3.9190336801766673E-2</v>
      </c>
      <c r="F96" s="363">
        <f t="shared" ref="F96:G96" si="47">F95/F91</f>
        <v>7.3564514054087385E-2</v>
      </c>
      <c r="G96" s="364">
        <f t="shared" si="47"/>
        <v>4.8255599686376834E-2</v>
      </c>
      <c r="J96" s="39" t="s">
        <v>391</v>
      </c>
      <c r="K96" s="308">
        <v>225930574497</v>
      </c>
      <c r="L96" s="308">
        <v>493786695968</v>
      </c>
      <c r="M96" s="309">
        <v>634357322553</v>
      </c>
      <c r="N96" s="12"/>
      <c r="Q96" s="344" t="s">
        <v>438</v>
      </c>
      <c r="R96" s="352">
        <v>598054986</v>
      </c>
      <c r="S96" s="352">
        <v>615982309</v>
      </c>
      <c r="T96" s="353">
        <v>615982309</v>
      </c>
      <c r="U96" s="501"/>
      <c r="V96" s="365">
        <v>1.2</v>
      </c>
      <c r="W96">
        <f>R90/R91</f>
        <v>0.34888520792527727</v>
      </c>
      <c r="X96">
        <f t="shared" ref="X96:Y96" si="48">S90/S91</f>
        <v>0.35177047640472858</v>
      </c>
      <c r="Y96" s="21">
        <f t="shared" si="48"/>
        <v>0.32902246424386872</v>
      </c>
    </row>
    <row r="97" spans="10:25" ht="29.1">
      <c r="J97" s="306" t="s">
        <v>66</v>
      </c>
      <c r="K97" s="308">
        <v>2779798381221</v>
      </c>
      <c r="L97" s="308">
        <v>3039859254081</v>
      </c>
      <c r="M97" s="309">
        <v>3184751243181</v>
      </c>
      <c r="Q97" s="344" t="s">
        <v>325</v>
      </c>
      <c r="R97" s="347">
        <f>AR8</f>
        <v>6210033388769</v>
      </c>
      <c r="S97" s="347">
        <f t="shared" ref="S97:T97" si="49">AS8</f>
        <v>6829845298714</v>
      </c>
      <c r="T97" s="348">
        <f t="shared" si="49"/>
        <v>8878813931686</v>
      </c>
      <c r="V97" s="32">
        <v>1.4</v>
      </c>
      <c r="W97">
        <f>R92/R91</f>
        <v>0.27862931293762716</v>
      </c>
      <c r="X97">
        <f t="shared" ref="X97:Y97" si="50">S92/S91</f>
        <v>0.26981999862578093</v>
      </c>
      <c r="Y97" s="21">
        <f t="shared" si="50"/>
        <v>0.24935580067583832</v>
      </c>
    </row>
    <row r="98" spans="10:25" ht="29.1">
      <c r="J98" s="306" t="s">
        <v>69</v>
      </c>
      <c r="K98" s="308">
        <v>75490553004</v>
      </c>
      <c r="L98" s="308">
        <v>86989447935</v>
      </c>
      <c r="M98" s="309">
        <v>92813092849</v>
      </c>
      <c r="Q98" s="349" t="s">
        <v>439</v>
      </c>
      <c r="R98" s="366">
        <f>BH10+BH13+BH19</f>
        <v>81651930191135</v>
      </c>
      <c r="S98" s="366">
        <f>BI10+BI13+BI19</f>
        <v>53450951744220</v>
      </c>
      <c r="T98" s="367">
        <f>BJ10+BJ13+BJ19</f>
        <v>67400170155356</v>
      </c>
      <c r="V98" s="32">
        <v>3.3</v>
      </c>
      <c r="W98">
        <f>R93/R91</f>
        <v>1.3001581235770637E-2</v>
      </c>
      <c r="X98">
        <f t="shared" ref="X98:Y98" si="51">S93/S91</f>
        <v>2.7263264704893375E-2</v>
      </c>
      <c r="Y98" s="21">
        <f t="shared" si="51"/>
        <v>3.1230999954226034E-2</v>
      </c>
    </row>
    <row r="99" spans="10:25" ht="29.1">
      <c r="J99" s="306" t="s">
        <v>440</v>
      </c>
      <c r="K99" s="308">
        <v>33679445401829</v>
      </c>
      <c r="L99" s="308">
        <v>22061887581884</v>
      </c>
      <c r="M99" s="309">
        <v>28854393170251</v>
      </c>
      <c r="Q99" s="349" t="s">
        <v>441</v>
      </c>
      <c r="R99" s="354">
        <f>SUMPRODUCT($V$96:$V$100,W96:W100)</f>
        <v>6.3367059601878379</v>
      </c>
      <c r="S99" s="354">
        <f>SUMPRODUCT($V$96:$V$100,X96:X100)</f>
        <v>4.8656013256539357</v>
      </c>
      <c r="T99" s="355">
        <f>SUMPRODUCT($V$96:$V$100,Y96:Y100)</f>
        <v>5.0267163639824473</v>
      </c>
      <c r="V99" s="349">
        <v>0.6</v>
      </c>
      <c r="W99">
        <f>R94/R97</f>
        <v>1.3104171403038338</v>
      </c>
      <c r="X99">
        <f t="shared" ref="X99:Y99" si="52">S94/S97</f>
        <v>1.7076534721514178</v>
      </c>
      <c r="Y99" s="21">
        <f t="shared" si="52"/>
        <v>1.4357496376021393</v>
      </c>
    </row>
    <row r="100" spans="10:25" ht="29.25">
      <c r="J100" s="307" t="s">
        <v>442</v>
      </c>
      <c r="K100" s="310">
        <f>SUM(K96:K98)/K99</f>
        <v>9.1486646290044632E-2</v>
      </c>
      <c r="L100" s="310">
        <f t="shared" ref="L100:M100" si="53">SUM(L96:L98)/L99</f>
        <v>0.16411267551544706</v>
      </c>
      <c r="M100" s="311">
        <f t="shared" si="53"/>
        <v>0.13557456001591492</v>
      </c>
      <c r="Q100" s="344" t="s">
        <v>443</v>
      </c>
      <c r="R100" s="368">
        <v>2.5000000000000001E-2</v>
      </c>
      <c r="S100" s="368">
        <v>2.8000000000000001E-2</v>
      </c>
      <c r="T100" s="369">
        <v>0.02</v>
      </c>
      <c r="U100" s="501" t="s">
        <v>444</v>
      </c>
      <c r="V100" s="370">
        <v>1</v>
      </c>
      <c r="W100" s="371">
        <f>R98/R91</f>
        <v>4.6988071703044838</v>
      </c>
      <c r="X100" s="371">
        <f t="shared" ref="X100:Y100" si="54">S98/S91</f>
        <v>2.9511678990751697</v>
      </c>
      <c r="Y100" s="372">
        <f t="shared" si="54"/>
        <v>3.3182792035334017</v>
      </c>
    </row>
    <row r="101" spans="10:25" ht="15">
      <c r="Q101" s="344" t="s">
        <v>443</v>
      </c>
      <c r="R101" s="368">
        <v>0.03</v>
      </c>
      <c r="S101" s="368">
        <v>3.5000000000000003E-2</v>
      </c>
      <c r="T101" s="369">
        <v>2.8000000000000001E-2</v>
      </c>
      <c r="U101" s="501"/>
    </row>
    <row r="102" spans="10:25">
      <c r="Q102" s="344" t="s">
        <v>445</v>
      </c>
      <c r="R102" s="373">
        <f>K90/K91</f>
        <v>1.2799260990886485</v>
      </c>
      <c r="S102" s="373">
        <f t="shared" ref="S102:T102" si="55">L90/L91</f>
        <v>2.6735266718119703</v>
      </c>
      <c r="T102" s="374">
        <f t="shared" si="55"/>
        <v>4.8128470568193906</v>
      </c>
    </row>
    <row r="103" spans="10:25">
      <c r="Q103" s="344" t="s">
        <v>446</v>
      </c>
      <c r="R103" s="375" t="s">
        <v>447</v>
      </c>
      <c r="S103" s="375" t="s">
        <v>448</v>
      </c>
      <c r="T103" s="376" t="s">
        <v>449</v>
      </c>
    </row>
    <row r="104" spans="10:25" ht="15">
      <c r="Q104" s="344" t="s">
        <v>450</v>
      </c>
      <c r="R104" s="368">
        <v>0.1157</v>
      </c>
      <c r="S104" s="368">
        <v>4.5499999999999999E-2</v>
      </c>
      <c r="T104" s="369">
        <v>2.4199999999999999E-2</v>
      </c>
    </row>
    <row r="105" spans="10:25">
      <c r="Q105" s="349" t="s">
        <v>451</v>
      </c>
      <c r="R105" s="377">
        <f>R100+R104</f>
        <v>0.14069999999999999</v>
      </c>
      <c r="S105" s="377">
        <f t="shared" ref="S105:T105" si="56">S100+S104</f>
        <v>7.3499999999999996E-2</v>
      </c>
      <c r="T105" s="378">
        <f t="shared" si="56"/>
        <v>4.4200000000000003E-2</v>
      </c>
    </row>
    <row r="106" spans="10:25">
      <c r="Q106" s="349" t="s">
        <v>451</v>
      </c>
      <c r="R106" s="377">
        <f>R101+R104</f>
        <v>0.1457</v>
      </c>
      <c r="S106" s="377">
        <f t="shared" ref="S106:T106" si="57">S101+S104</f>
        <v>8.0500000000000002E-2</v>
      </c>
      <c r="T106" s="378">
        <f t="shared" si="57"/>
        <v>5.2199999999999996E-2</v>
      </c>
    </row>
    <row r="107" spans="10:25" ht="15" thickBot="1">
      <c r="Q107" s="356" t="s">
        <v>452</v>
      </c>
      <c r="R107" s="379">
        <f>BH15/((AR8+AU8)/2)</f>
        <v>1.8192401735410372E-2</v>
      </c>
      <c r="S107" s="379">
        <f>BI15/((AR8+AS8)/2)</f>
        <v>2.832769958547067E-2</v>
      </c>
      <c r="T107" s="380">
        <f>BJ15/((AS8+AT8)/2)</f>
        <v>1.6781190735479946E-2</v>
      </c>
    </row>
  </sheetData>
  <mergeCells count="11">
    <mergeCell ref="I80:I82"/>
    <mergeCell ref="O51:R56"/>
    <mergeCell ref="N17:N18"/>
    <mergeCell ref="U95:U96"/>
    <mergeCell ref="U100:U101"/>
    <mergeCell ref="AN6:AT6"/>
    <mergeCell ref="AN22:AT22"/>
    <mergeCell ref="BD6:BJ6"/>
    <mergeCell ref="BD27:BJ27"/>
    <mergeCell ref="BD38:BJ38"/>
    <mergeCell ref="BA15:BA17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AF812-58B1-4A74-9224-7E072F303178}">
  <dimension ref="A1:N85"/>
  <sheetViews>
    <sheetView topLeftCell="A27" zoomScale="70" workbookViewId="0">
      <selection activeCell="D48" sqref="D48"/>
    </sheetView>
  </sheetViews>
  <sheetFormatPr defaultColWidth="11.42578125" defaultRowHeight="14.45"/>
  <cols>
    <col min="1" max="1" width="7.5703125" customWidth="1"/>
    <col min="2" max="2" width="12.140625" customWidth="1"/>
    <col min="3" max="6" width="18.42578125" bestFit="1" customWidth="1"/>
    <col min="7" max="7" width="8.5703125" bestFit="1" customWidth="1"/>
    <col min="8" max="8" width="8.5703125" customWidth="1"/>
    <col min="9" max="9" width="27.5703125" customWidth="1"/>
    <col min="10" max="10" width="17.42578125" bestFit="1" customWidth="1"/>
    <col min="11" max="11" width="20.85546875" bestFit="1" customWidth="1"/>
    <col min="12" max="13" width="18.42578125" bestFit="1" customWidth="1"/>
    <col min="14" max="14" width="20.85546875" bestFit="1" customWidth="1"/>
    <col min="15" max="15" width="21.85546875" bestFit="1" customWidth="1"/>
    <col min="17" max="17" width="33.140625" customWidth="1"/>
  </cols>
  <sheetData>
    <row r="1" spans="1:14">
      <c r="A1" s="2" t="s">
        <v>453</v>
      </c>
      <c r="H1" t="s">
        <v>8</v>
      </c>
      <c r="I1" t="s">
        <v>9</v>
      </c>
      <c r="K1">
        <v>2021</v>
      </c>
      <c r="L1" t="s">
        <v>10</v>
      </c>
      <c r="M1" t="s">
        <v>11</v>
      </c>
      <c r="N1" t="s">
        <v>12</v>
      </c>
    </row>
    <row r="2" spans="1:14">
      <c r="A2" s="2" t="s">
        <v>454</v>
      </c>
      <c r="H2" s="2">
        <v>100</v>
      </c>
      <c r="I2" s="4" t="s">
        <v>13</v>
      </c>
      <c r="J2" s="4" t="s">
        <v>14</v>
      </c>
      <c r="K2" s="3">
        <v>19651184333706</v>
      </c>
      <c r="L2" s="5">
        <v>12258434228464</v>
      </c>
      <c r="M2" s="5">
        <v>13186804684705</v>
      </c>
      <c r="N2" s="5">
        <v>15547886617815</v>
      </c>
    </row>
    <row r="3" spans="1:14">
      <c r="A3" t="s">
        <v>455</v>
      </c>
      <c r="C3">
        <v>2022</v>
      </c>
      <c r="D3">
        <v>2023</v>
      </c>
      <c r="E3">
        <v>2024</v>
      </c>
      <c r="H3" s="2">
        <v>110</v>
      </c>
      <c r="I3" s="4" t="s">
        <v>15</v>
      </c>
      <c r="J3" s="4" t="s">
        <v>16</v>
      </c>
      <c r="K3" s="3">
        <v>406017139417</v>
      </c>
      <c r="L3" s="5">
        <v>242815476591</v>
      </c>
      <c r="M3" s="5">
        <v>501386999566</v>
      </c>
      <c r="N3" s="5">
        <v>427778817941</v>
      </c>
    </row>
    <row r="4" spans="1:14" ht="43.5">
      <c r="A4" s="62">
        <v>1</v>
      </c>
      <c r="B4" s="52" t="s">
        <v>456</v>
      </c>
      <c r="C4" s="12">
        <f>L3</f>
        <v>242815476591</v>
      </c>
      <c r="D4" s="12">
        <f>M3</f>
        <v>501386999566</v>
      </c>
      <c r="E4" s="12">
        <f>N3</f>
        <v>427778817941</v>
      </c>
      <c r="H4">
        <v>111</v>
      </c>
      <c r="I4" s="1" t="s">
        <v>17</v>
      </c>
      <c r="J4" s="1" t="s">
        <v>18</v>
      </c>
      <c r="K4" s="3">
        <v>405267139417</v>
      </c>
      <c r="L4" s="3">
        <v>242065476591</v>
      </c>
      <c r="M4" s="3">
        <v>500636999566</v>
      </c>
      <c r="N4" s="3">
        <v>426922790174</v>
      </c>
    </row>
    <row r="5" spans="1:14" ht="29.1">
      <c r="A5" s="62">
        <v>2</v>
      </c>
      <c r="B5" s="52" t="s">
        <v>457</v>
      </c>
      <c r="C5" s="12">
        <f t="shared" ref="C5:E6" si="0">L8</f>
        <v>8315127736295</v>
      </c>
      <c r="D5" s="12">
        <f t="shared" si="0"/>
        <v>8405245948063</v>
      </c>
      <c r="E5" s="12">
        <f t="shared" si="0"/>
        <v>10613408098640</v>
      </c>
      <c r="H5">
        <v>112</v>
      </c>
      <c r="I5" s="1" t="s">
        <v>19</v>
      </c>
      <c r="J5" s="1" t="s">
        <v>20</v>
      </c>
      <c r="K5" s="3">
        <v>750000000</v>
      </c>
      <c r="L5" s="3">
        <v>750000000</v>
      </c>
      <c r="M5" s="3">
        <v>750000000</v>
      </c>
      <c r="N5" s="3">
        <v>856027767</v>
      </c>
    </row>
    <row r="6" spans="1:14">
      <c r="A6" s="63"/>
      <c r="B6" t="s">
        <v>458</v>
      </c>
      <c r="C6" s="12">
        <f t="shared" si="0"/>
        <v>7934070297881</v>
      </c>
      <c r="D6" s="12">
        <f t="shared" si="0"/>
        <v>7416195465814</v>
      </c>
      <c r="E6" s="12">
        <f t="shared" si="0"/>
        <v>9337308709135</v>
      </c>
      <c r="H6" s="2">
        <v>120</v>
      </c>
      <c r="I6" s="4" t="s">
        <v>21</v>
      </c>
      <c r="J6" s="4" t="s">
        <v>22</v>
      </c>
      <c r="K6" s="5">
        <v>5000000000</v>
      </c>
      <c r="L6" s="5">
        <v>5000000000</v>
      </c>
      <c r="M6" s="5">
        <v>20560958904</v>
      </c>
      <c r="N6" s="5">
        <v>21278737672</v>
      </c>
    </row>
    <row r="7" spans="1:14">
      <c r="A7" s="63"/>
      <c r="B7" t="s">
        <v>37</v>
      </c>
      <c r="C7" s="12">
        <f t="shared" ref="C7:E8" si="1">L13</f>
        <v>-13707168589</v>
      </c>
      <c r="D7" s="12">
        <f t="shared" si="1"/>
        <v>-10773807954</v>
      </c>
      <c r="E7" s="12">
        <f t="shared" si="1"/>
        <v>-428638286</v>
      </c>
      <c r="H7">
        <v>123</v>
      </c>
      <c r="I7" s="1" t="s">
        <v>23</v>
      </c>
      <c r="J7" s="1" t="s">
        <v>24</v>
      </c>
      <c r="K7" s="5">
        <v>5000000000</v>
      </c>
      <c r="L7" s="3">
        <v>5000000000</v>
      </c>
      <c r="M7" s="3">
        <v>20560958904</v>
      </c>
      <c r="N7" s="3">
        <v>21278737672</v>
      </c>
    </row>
    <row r="8" spans="1:14">
      <c r="A8" s="62">
        <v>3</v>
      </c>
      <c r="B8" s="52" t="s">
        <v>39</v>
      </c>
      <c r="C8" s="12">
        <f t="shared" si="1"/>
        <v>3185372278891</v>
      </c>
      <c r="D8" s="12">
        <f t="shared" si="1"/>
        <v>3749491109277</v>
      </c>
      <c r="E8" s="12">
        <f t="shared" si="1"/>
        <v>3943145442782</v>
      </c>
      <c r="H8" s="2">
        <v>130</v>
      </c>
      <c r="I8" s="4" t="s">
        <v>25</v>
      </c>
      <c r="J8" s="4" t="s">
        <v>26</v>
      </c>
      <c r="K8" s="3">
        <v>11898280531814</v>
      </c>
      <c r="L8" s="5">
        <v>8315127736295</v>
      </c>
      <c r="M8" s="5">
        <v>8405245948063</v>
      </c>
      <c r="N8" s="5">
        <v>10613408098640</v>
      </c>
    </row>
    <row r="9" spans="1:14">
      <c r="A9" s="63"/>
      <c r="B9" s="1" t="s">
        <v>42</v>
      </c>
      <c r="C9" s="12">
        <f>L16</f>
        <v>-192583414198</v>
      </c>
      <c r="D9" s="12">
        <f>M16</f>
        <v>-127008960824</v>
      </c>
      <c r="E9" s="12">
        <f>N16</f>
        <v>-121848817394</v>
      </c>
      <c r="H9">
        <v>131</v>
      </c>
      <c r="I9" s="1" t="s">
        <v>27</v>
      </c>
      <c r="J9" s="1" t="s">
        <v>28</v>
      </c>
      <c r="K9" s="3">
        <v>9335440945200</v>
      </c>
      <c r="L9" s="3">
        <v>7934070297881</v>
      </c>
      <c r="M9" s="3">
        <v>7416195465814</v>
      </c>
      <c r="N9" s="3">
        <v>9337308709135</v>
      </c>
    </row>
    <row r="10" spans="1:14">
      <c r="A10" s="62">
        <v>4</v>
      </c>
      <c r="B10" t="s">
        <v>459</v>
      </c>
      <c r="C10" s="12">
        <f>L22</f>
        <v>241195291600</v>
      </c>
      <c r="D10" s="12">
        <f>M22</f>
        <v>140931524246</v>
      </c>
      <c r="E10" s="12">
        <f>N22</f>
        <v>175741186200</v>
      </c>
      <c r="H10">
        <v>132</v>
      </c>
      <c r="I10" s="1" t="s">
        <v>29</v>
      </c>
      <c r="J10" s="1" t="s">
        <v>30</v>
      </c>
      <c r="K10" s="3">
        <v>59244726922</v>
      </c>
      <c r="L10" s="3">
        <v>95559044734</v>
      </c>
      <c r="M10" s="3">
        <v>26549614993</v>
      </c>
      <c r="N10" s="3">
        <v>535694209756</v>
      </c>
    </row>
    <row r="11" spans="1:14">
      <c r="A11" s="62">
        <v>5</v>
      </c>
      <c r="B11" s="52" t="s">
        <v>60</v>
      </c>
      <c r="C11" s="12">
        <f>L25</f>
        <v>1198450061079</v>
      </c>
      <c r="D11" s="12">
        <f>M25</f>
        <v>1016313002019</v>
      </c>
      <c r="E11" s="12">
        <f>N25</f>
        <v>844402354164</v>
      </c>
      <c r="H11">
        <v>135</v>
      </c>
      <c r="I11" s="1" t="s">
        <v>31</v>
      </c>
      <c r="J11" s="1" t="s">
        <v>32</v>
      </c>
      <c r="K11" s="3">
        <v>68000000000</v>
      </c>
      <c r="L11" s="3" t="s">
        <v>33</v>
      </c>
      <c r="M11" s="3">
        <v>118500000000</v>
      </c>
      <c r="N11" s="3">
        <v>374000000000</v>
      </c>
    </row>
    <row r="12" spans="1:14" ht="29.1">
      <c r="A12" s="62">
        <v>5.0999999999999996</v>
      </c>
      <c r="B12" s="52" t="s">
        <v>460</v>
      </c>
      <c r="C12" s="12">
        <f>SUM(C13:C14)</f>
        <v>1014508752822</v>
      </c>
      <c r="D12" s="12">
        <f>SUM(D13:D14)</f>
        <v>848743235444</v>
      </c>
      <c r="E12" s="12">
        <f>SUM(E13:E14)</f>
        <v>666709132303</v>
      </c>
      <c r="H12">
        <v>136</v>
      </c>
      <c r="I12" s="1" t="s">
        <v>34</v>
      </c>
      <c r="J12" s="1" t="s">
        <v>35</v>
      </c>
      <c r="K12" s="3">
        <v>2449326144281</v>
      </c>
      <c r="L12" s="3">
        <v>299205562269</v>
      </c>
      <c r="M12" s="3">
        <v>854774675210</v>
      </c>
      <c r="N12" s="3">
        <v>366833818035</v>
      </c>
    </row>
    <row r="13" spans="1:14" ht="57.95">
      <c r="A13" s="63"/>
      <c r="B13" s="52" t="s">
        <v>461</v>
      </c>
      <c r="C13" s="12">
        <f t="shared" ref="C13:E14" si="2">L27</f>
        <v>3794307134043</v>
      </c>
      <c r="D13" s="12">
        <f t="shared" si="2"/>
        <v>3888602489525</v>
      </c>
      <c r="E13" s="12">
        <f t="shared" si="2"/>
        <v>3851460375484</v>
      </c>
      <c r="H13">
        <v>137</v>
      </c>
      <c r="I13" s="1" t="s">
        <v>36</v>
      </c>
      <c r="J13" s="1" t="s">
        <v>37</v>
      </c>
      <c r="K13" s="3">
        <v>-13731284589</v>
      </c>
      <c r="L13" s="3">
        <v>-13707168589</v>
      </c>
      <c r="M13" s="3">
        <v>-10773807954</v>
      </c>
      <c r="N13" s="3">
        <v>-428638286</v>
      </c>
    </row>
    <row r="14" spans="1:14" ht="34.5" customHeight="1">
      <c r="A14" s="63"/>
      <c r="B14" s="52" t="s">
        <v>462</v>
      </c>
      <c r="C14" s="12">
        <f t="shared" si="2"/>
        <v>-2779798381221</v>
      </c>
      <c r="D14" s="12">
        <f t="shared" si="2"/>
        <v>-3039859254081</v>
      </c>
      <c r="E14" s="12">
        <f t="shared" si="2"/>
        <v>-3184751243181</v>
      </c>
      <c r="H14" s="2">
        <v>140</v>
      </c>
      <c r="I14" s="4" t="s">
        <v>38</v>
      </c>
      <c r="J14" s="4" t="s">
        <v>39</v>
      </c>
      <c r="K14" s="3">
        <v>6384320637756</v>
      </c>
      <c r="L14" s="5">
        <v>3185372278891</v>
      </c>
      <c r="M14" s="5">
        <v>3749491109277</v>
      </c>
      <c r="N14" s="5">
        <v>3943145442782</v>
      </c>
    </row>
    <row r="15" spans="1:14" ht="29.1">
      <c r="A15" s="63">
        <v>5.2</v>
      </c>
      <c r="B15" s="52" t="s">
        <v>463</v>
      </c>
      <c r="C15" s="12">
        <f>SUM(C16:C17)</f>
        <v>183941308257</v>
      </c>
      <c r="D15" s="12">
        <f>SUM(D16:D17)</f>
        <v>167569766575</v>
      </c>
      <c r="E15" s="12">
        <f>SUM(E16:E17)</f>
        <v>177693221861</v>
      </c>
      <c r="H15">
        <v>141</v>
      </c>
      <c r="I15" s="1" t="s">
        <v>38</v>
      </c>
      <c r="J15" s="1" t="s">
        <v>40</v>
      </c>
      <c r="K15" s="3">
        <v>6464778720342</v>
      </c>
      <c r="L15" s="3">
        <v>3377955693089</v>
      </c>
      <c r="M15" s="3">
        <v>3876500070101</v>
      </c>
      <c r="N15" s="3">
        <v>4064994260176</v>
      </c>
    </row>
    <row r="16" spans="1:14" ht="57.95">
      <c r="A16" s="63"/>
      <c r="B16" s="52" t="s">
        <v>464</v>
      </c>
      <c r="C16" s="12">
        <f t="shared" ref="C16:E17" si="3">L30</f>
        <v>259431861261</v>
      </c>
      <c r="D16" s="12">
        <f t="shared" si="3"/>
        <v>254559214510</v>
      </c>
      <c r="E16" s="12">
        <f t="shared" si="3"/>
        <v>270506314710</v>
      </c>
      <c r="H16">
        <v>149</v>
      </c>
      <c r="I16" s="1" t="s">
        <v>41</v>
      </c>
      <c r="J16" s="1" t="s">
        <v>42</v>
      </c>
      <c r="K16" s="3">
        <v>-80458082586</v>
      </c>
      <c r="L16" s="3">
        <v>-192583414198</v>
      </c>
      <c r="M16" s="3">
        <v>-127008960824</v>
      </c>
      <c r="N16" s="3">
        <v>-121848817394</v>
      </c>
    </row>
    <row r="17" spans="1:14" ht="57.95">
      <c r="A17" s="63"/>
      <c r="B17" s="52" t="s">
        <v>465</v>
      </c>
      <c r="C17" s="12">
        <f t="shared" si="3"/>
        <v>-75490553004</v>
      </c>
      <c r="D17" s="12">
        <f t="shared" si="3"/>
        <v>-86989447935</v>
      </c>
      <c r="E17" s="12">
        <f t="shared" si="3"/>
        <v>-92813092849</v>
      </c>
      <c r="H17" s="2">
        <v>150</v>
      </c>
      <c r="I17" s="2" t="s">
        <v>43</v>
      </c>
      <c r="J17" s="2" t="s">
        <v>44</v>
      </c>
      <c r="K17" s="3">
        <v>957566024719</v>
      </c>
      <c r="L17" s="5">
        <v>510118736687</v>
      </c>
      <c r="M17" s="5">
        <v>510119668895</v>
      </c>
      <c r="N17" s="5">
        <v>542275520780</v>
      </c>
    </row>
    <row r="18" spans="1:14">
      <c r="A18" t="s">
        <v>466</v>
      </c>
      <c r="H18">
        <v>151</v>
      </c>
      <c r="I18" t="s">
        <v>45</v>
      </c>
      <c r="J18" t="s">
        <v>46</v>
      </c>
      <c r="K18" s="3">
        <v>85590388401</v>
      </c>
      <c r="L18" s="3">
        <v>94748267020</v>
      </c>
      <c r="M18" s="3">
        <v>96483062965</v>
      </c>
      <c r="N18" s="3">
        <v>86974686528</v>
      </c>
    </row>
    <row r="19" spans="1:14" ht="43.5">
      <c r="A19" s="62">
        <v>6</v>
      </c>
      <c r="B19" s="52" t="s">
        <v>467</v>
      </c>
      <c r="C19" s="12">
        <f>L32</f>
        <v>106037865309</v>
      </c>
      <c r="D19" s="12">
        <f>M32</f>
        <v>27180502737</v>
      </c>
      <c r="E19" s="12">
        <f>N32</f>
        <v>9027013569</v>
      </c>
      <c r="H19">
        <v>152</v>
      </c>
      <c r="I19" t="s">
        <v>47</v>
      </c>
      <c r="J19" t="s">
        <v>48</v>
      </c>
      <c r="K19" s="3">
        <v>871962016601</v>
      </c>
      <c r="L19" s="3">
        <v>286790842330</v>
      </c>
      <c r="M19" s="3">
        <v>285106020138</v>
      </c>
      <c r="N19" s="3">
        <v>326902155004</v>
      </c>
    </row>
    <row r="20" spans="1:14">
      <c r="A20" s="63" t="s">
        <v>468</v>
      </c>
      <c r="H20">
        <v>153</v>
      </c>
      <c r="I20" t="s">
        <v>49</v>
      </c>
      <c r="J20" t="s">
        <v>50</v>
      </c>
      <c r="K20" s="3">
        <v>13619717</v>
      </c>
      <c r="L20" s="3">
        <v>128579627337</v>
      </c>
      <c r="M20" s="3">
        <v>128530585792</v>
      </c>
      <c r="N20" s="3">
        <v>128398679248</v>
      </c>
    </row>
    <row r="21" spans="1:14" ht="29.1">
      <c r="A21" s="62">
        <v>7</v>
      </c>
      <c r="B21" s="52" t="s">
        <v>469</v>
      </c>
      <c r="C21" s="12">
        <f>SUM(C22:C24)</f>
        <v>510118736687</v>
      </c>
      <c r="D21" s="12">
        <f>SUM(D22:D24)</f>
        <v>510119668895</v>
      </c>
      <c r="E21" s="12">
        <f>SUM(E22:E24)</f>
        <v>542275520780</v>
      </c>
      <c r="H21" s="2">
        <v>200</v>
      </c>
      <c r="I21" s="2" t="s">
        <v>51</v>
      </c>
      <c r="J21" s="2" t="s">
        <v>52</v>
      </c>
      <c r="K21" s="3">
        <v>4863167615269</v>
      </c>
      <c r="L21" s="5">
        <v>5118727087531</v>
      </c>
      <c r="M21" s="5">
        <v>4924991584484</v>
      </c>
      <c r="N21" s="5">
        <v>4763897298254</v>
      </c>
    </row>
    <row r="22" spans="1:14" ht="43.5">
      <c r="A22" s="63"/>
      <c r="B22" s="52" t="s">
        <v>46</v>
      </c>
      <c r="C22" s="12">
        <f t="shared" ref="C22:E24" si="4">L18</f>
        <v>94748267020</v>
      </c>
      <c r="D22" s="12">
        <f t="shared" si="4"/>
        <v>96483062965</v>
      </c>
      <c r="E22" s="12">
        <f t="shared" si="4"/>
        <v>86974686528</v>
      </c>
      <c r="H22" s="2">
        <v>210</v>
      </c>
      <c r="I22" s="2" t="s">
        <v>53</v>
      </c>
      <c r="J22" s="2" t="s">
        <v>459</v>
      </c>
      <c r="K22" s="3">
        <v>178887837400</v>
      </c>
      <c r="L22" s="3">
        <v>241195291600</v>
      </c>
      <c r="M22" s="3">
        <v>140931524246</v>
      </c>
      <c r="N22" s="3">
        <v>175741186200</v>
      </c>
    </row>
    <row r="23" spans="1:14">
      <c r="A23" s="63"/>
      <c r="B23" t="s">
        <v>48</v>
      </c>
      <c r="C23" s="12">
        <f t="shared" si="4"/>
        <v>286790842330</v>
      </c>
      <c r="D23" s="12">
        <f t="shared" si="4"/>
        <v>285106020138</v>
      </c>
      <c r="E23" s="12">
        <f t="shared" si="4"/>
        <v>326902155004</v>
      </c>
      <c r="H23">
        <v>215</v>
      </c>
      <c r="I23" t="s">
        <v>55</v>
      </c>
      <c r="J23" t="s">
        <v>56</v>
      </c>
      <c r="K23" s="3" t="s">
        <v>33</v>
      </c>
      <c r="L23" s="3">
        <v>70700000000</v>
      </c>
      <c r="M23" s="3" t="s">
        <v>33</v>
      </c>
      <c r="N23" s="3" t="s">
        <v>33</v>
      </c>
    </row>
    <row r="24" spans="1:14">
      <c r="A24" s="63"/>
      <c r="B24" t="s">
        <v>50</v>
      </c>
      <c r="C24" s="12">
        <f t="shared" si="4"/>
        <v>128579627337</v>
      </c>
      <c r="D24" s="12">
        <f t="shared" si="4"/>
        <v>128530585792</v>
      </c>
      <c r="E24" s="12">
        <f t="shared" si="4"/>
        <v>128398679248</v>
      </c>
      <c r="H24">
        <v>216</v>
      </c>
      <c r="I24" t="s">
        <v>57</v>
      </c>
      <c r="J24" t="s">
        <v>58</v>
      </c>
      <c r="K24" s="3">
        <v>178887837400</v>
      </c>
      <c r="L24" s="3">
        <v>170495291600</v>
      </c>
      <c r="M24" s="3">
        <v>140931524246</v>
      </c>
      <c r="N24" s="3">
        <v>175741186200</v>
      </c>
    </row>
    <row r="25" spans="1:14" ht="29.1">
      <c r="A25" s="62">
        <v>8</v>
      </c>
      <c r="B25" s="52" t="s">
        <v>470</v>
      </c>
      <c r="C25" s="12">
        <f>SUM(C26:C27)</f>
        <v>179193869543</v>
      </c>
      <c r="D25" s="12">
        <f>SUM(D26:D27)</f>
        <v>150716555482</v>
      </c>
      <c r="E25" s="12">
        <f>SUM(E26:E27)</f>
        <v>139131656650</v>
      </c>
      <c r="H25" s="2">
        <v>220</v>
      </c>
      <c r="I25" s="2" t="s">
        <v>59</v>
      </c>
      <c r="J25" s="2" t="s">
        <v>60</v>
      </c>
      <c r="K25" s="3">
        <v>1134208705003</v>
      </c>
      <c r="L25" s="5">
        <v>1198450061079</v>
      </c>
      <c r="M25" s="5">
        <v>1016313002019</v>
      </c>
      <c r="N25" s="5">
        <v>844402354164</v>
      </c>
    </row>
    <row r="26" spans="1:14">
      <c r="A26" s="63"/>
      <c r="B26" t="s">
        <v>83</v>
      </c>
      <c r="C26" s="12">
        <f t="shared" ref="C26:E27" si="5">L39</f>
        <v>69639780740</v>
      </c>
      <c r="D26" s="12">
        <f t="shared" si="5"/>
        <v>100428317304</v>
      </c>
      <c r="E26" s="12">
        <f t="shared" si="5"/>
        <v>62373737291</v>
      </c>
      <c r="H26">
        <v>221</v>
      </c>
      <c r="I26" t="s">
        <v>61</v>
      </c>
      <c r="J26" t="s">
        <v>62</v>
      </c>
      <c r="K26" s="3">
        <v>936170702614</v>
      </c>
      <c r="L26" s="3">
        <v>1014508752822</v>
      </c>
      <c r="M26" s="3">
        <v>848743235444</v>
      </c>
      <c r="N26" s="3">
        <v>666709132303</v>
      </c>
    </row>
    <row r="27" spans="1:14">
      <c r="A27" s="63"/>
      <c r="B27" t="s">
        <v>471</v>
      </c>
      <c r="C27" s="12">
        <f t="shared" si="5"/>
        <v>109554088803</v>
      </c>
      <c r="D27" s="12">
        <f t="shared" si="5"/>
        <v>50288238178</v>
      </c>
      <c r="E27" s="12">
        <f t="shared" si="5"/>
        <v>76757919359</v>
      </c>
      <c r="H27">
        <v>222</v>
      </c>
      <c r="I27" t="s">
        <v>63</v>
      </c>
      <c r="J27" t="s">
        <v>64</v>
      </c>
      <c r="K27" s="3">
        <v>3463673580489</v>
      </c>
      <c r="L27" s="3">
        <v>3794307134043</v>
      </c>
      <c r="M27" s="3">
        <v>3888602489525</v>
      </c>
      <c r="N27" s="3">
        <v>3851460375484</v>
      </c>
    </row>
    <row r="28" spans="1:14">
      <c r="H28">
        <v>223</v>
      </c>
      <c r="I28" t="s">
        <v>65</v>
      </c>
      <c r="J28" t="s">
        <v>66</v>
      </c>
      <c r="K28" s="3">
        <v>-2527502877875</v>
      </c>
      <c r="L28" s="3">
        <v>-2779798381221</v>
      </c>
      <c r="M28" s="3">
        <v>-3039859254081</v>
      </c>
      <c r="N28" s="3">
        <v>-3184751243181</v>
      </c>
    </row>
    <row r="29" spans="1:14">
      <c r="A29" s="2" t="s">
        <v>472</v>
      </c>
      <c r="H29">
        <v>227</v>
      </c>
      <c r="I29" t="s">
        <v>67</v>
      </c>
      <c r="J29" t="s">
        <v>68</v>
      </c>
      <c r="K29" s="3">
        <v>198038002389</v>
      </c>
      <c r="L29" s="3">
        <v>183941308257</v>
      </c>
      <c r="M29" s="3">
        <v>167569766575</v>
      </c>
      <c r="N29" s="3">
        <v>177693221861</v>
      </c>
    </row>
    <row r="30" spans="1:14">
      <c r="A30" s="3">
        <v>1</v>
      </c>
      <c r="B30" t="s">
        <v>22</v>
      </c>
      <c r="C30" s="12">
        <f>C31</f>
        <v>5000000000</v>
      </c>
      <c r="D30" s="12">
        <f>D31</f>
        <v>20560958904</v>
      </c>
      <c r="E30" s="12">
        <f>E31</f>
        <v>21278737672</v>
      </c>
      <c r="H30">
        <v>228</v>
      </c>
      <c r="I30" t="s">
        <v>63</v>
      </c>
      <c r="J30" t="s">
        <v>64</v>
      </c>
      <c r="K30" s="3">
        <v>259988428918</v>
      </c>
      <c r="L30" s="3">
        <v>259431861261</v>
      </c>
      <c r="M30" s="3">
        <v>254559214510</v>
      </c>
      <c r="N30" s="3">
        <v>270506314710</v>
      </c>
    </row>
    <row r="31" spans="1:14">
      <c r="B31" t="s">
        <v>24</v>
      </c>
      <c r="C31" s="12">
        <f>L7</f>
        <v>5000000000</v>
      </c>
      <c r="D31" s="12">
        <f>M7</f>
        <v>20560958904</v>
      </c>
      <c r="E31" s="12">
        <f>N7</f>
        <v>21278737672</v>
      </c>
      <c r="H31">
        <v>229</v>
      </c>
      <c r="I31" t="s">
        <v>65</v>
      </c>
      <c r="J31" t="s">
        <v>69</v>
      </c>
      <c r="K31" s="3">
        <v>-61950426529</v>
      </c>
      <c r="L31" s="3">
        <v>-75490553004</v>
      </c>
      <c r="M31" s="3">
        <v>-86989447935</v>
      </c>
      <c r="N31" s="3">
        <v>-92813092849</v>
      </c>
    </row>
    <row r="32" spans="1:14">
      <c r="A32" s="3">
        <v>2</v>
      </c>
      <c r="B32" t="s">
        <v>75</v>
      </c>
      <c r="C32" s="12">
        <f>SUM(C33:C35)</f>
        <v>3393850000000</v>
      </c>
      <c r="D32" s="12">
        <f>SUM(D33:D35)</f>
        <v>3589850000000</v>
      </c>
      <c r="E32" s="12">
        <f>SUM(E33:E35)</f>
        <v>3595595087671</v>
      </c>
      <c r="H32" s="2">
        <v>240</v>
      </c>
      <c r="I32" s="2" t="s">
        <v>70</v>
      </c>
      <c r="J32" s="2" t="s">
        <v>71</v>
      </c>
      <c r="K32" s="3">
        <v>180277059193</v>
      </c>
      <c r="L32" s="5">
        <v>106037865309</v>
      </c>
      <c r="M32" s="5">
        <v>27180502737</v>
      </c>
      <c r="N32" s="5">
        <v>9027013569</v>
      </c>
    </row>
    <row r="33" spans="1:14">
      <c r="B33" t="s">
        <v>24</v>
      </c>
      <c r="C33" s="12">
        <f>L37</f>
        <v>16000000000</v>
      </c>
      <c r="D33" s="12">
        <f>M37</f>
        <v>1000000000</v>
      </c>
      <c r="E33" s="12">
        <f>N37</f>
        <v>1000000000</v>
      </c>
      <c r="H33">
        <v>242</v>
      </c>
      <c r="I33" t="s">
        <v>72</v>
      </c>
      <c r="J33" t="s">
        <v>73</v>
      </c>
      <c r="K33" s="3">
        <v>180277059193</v>
      </c>
      <c r="L33" s="3">
        <v>106037865309</v>
      </c>
      <c r="M33" s="3">
        <v>27180502737</v>
      </c>
      <c r="N33" s="3">
        <v>9027013569</v>
      </c>
    </row>
    <row r="34" spans="1:14">
      <c r="B34" t="s">
        <v>473</v>
      </c>
      <c r="C34" s="12">
        <f t="shared" ref="C34:E35" si="6">L35</f>
        <v>3377850000000</v>
      </c>
      <c r="D34" s="12">
        <f t="shared" si="6"/>
        <v>3588850000000</v>
      </c>
      <c r="E34" s="12">
        <f t="shared" si="6"/>
        <v>3594595087671</v>
      </c>
      <c r="H34" s="2">
        <v>250</v>
      </c>
      <c r="I34" s="2" t="s">
        <v>74</v>
      </c>
      <c r="J34" s="2" t="s">
        <v>75</v>
      </c>
      <c r="K34" s="3">
        <v>3244000000000</v>
      </c>
      <c r="L34" s="5">
        <v>3393850000000</v>
      </c>
      <c r="M34" s="5">
        <v>3589850000000</v>
      </c>
      <c r="N34" s="5">
        <v>3595595087671</v>
      </c>
    </row>
    <row r="35" spans="1:14">
      <c r="B35" t="s">
        <v>79</v>
      </c>
      <c r="C35" s="12" t="str">
        <f t="shared" si="6"/>
        <v>-</v>
      </c>
      <c r="D35" s="12" t="str">
        <f t="shared" si="6"/>
        <v>-</v>
      </c>
      <c r="E35" s="12" t="str">
        <f t="shared" si="6"/>
        <v>-</v>
      </c>
      <c r="H35">
        <v>251</v>
      </c>
      <c r="I35" t="s">
        <v>76</v>
      </c>
      <c r="J35" t="s">
        <v>77</v>
      </c>
      <c r="K35" s="3">
        <v>3228000000000</v>
      </c>
      <c r="L35" s="3">
        <v>3377850000000</v>
      </c>
      <c r="M35" s="3">
        <v>3588850000000</v>
      </c>
      <c r="N35" s="3">
        <v>3594595087671</v>
      </c>
    </row>
    <row r="36" spans="1:14">
      <c r="H36">
        <v>252</v>
      </c>
      <c r="I36" t="s">
        <v>78</v>
      </c>
      <c r="J36" t="s">
        <v>79</v>
      </c>
      <c r="K36" s="3" t="s">
        <v>33</v>
      </c>
      <c r="L36" s="3" t="s">
        <v>33</v>
      </c>
      <c r="M36" s="3" t="s">
        <v>33</v>
      </c>
      <c r="N36" s="3" t="s">
        <v>33</v>
      </c>
    </row>
    <row r="37" spans="1:14">
      <c r="A37" s="2" t="s">
        <v>474</v>
      </c>
      <c r="H37">
        <v>255</v>
      </c>
      <c r="I37" t="s">
        <v>23</v>
      </c>
      <c r="J37" t="s">
        <v>24</v>
      </c>
      <c r="K37" s="3">
        <v>16000000000</v>
      </c>
      <c r="L37" s="3">
        <v>16000000000</v>
      </c>
      <c r="M37" s="3">
        <v>1000000000</v>
      </c>
      <c r="N37" s="3">
        <v>1000000000</v>
      </c>
    </row>
    <row r="38" spans="1:14">
      <c r="A38" s="2" t="s">
        <v>475</v>
      </c>
      <c r="H38" s="2">
        <v>260</v>
      </c>
      <c r="I38" s="2" t="s">
        <v>80</v>
      </c>
      <c r="J38" s="2" t="s">
        <v>81</v>
      </c>
      <c r="K38" s="3">
        <v>125794013673</v>
      </c>
      <c r="L38" s="5">
        <v>179193869543</v>
      </c>
      <c r="M38" s="5">
        <v>150716555482</v>
      </c>
      <c r="N38" s="5">
        <v>139131656650</v>
      </c>
    </row>
    <row r="39" spans="1:14">
      <c r="A39" s="2"/>
      <c r="B39" s="52"/>
      <c r="C39">
        <v>2021</v>
      </c>
      <c r="D39">
        <v>2022</v>
      </c>
      <c r="E39">
        <v>2023</v>
      </c>
      <c r="F39">
        <v>2024</v>
      </c>
      <c r="H39">
        <v>261</v>
      </c>
      <c r="I39" t="s">
        <v>82</v>
      </c>
      <c r="J39" t="s">
        <v>83</v>
      </c>
      <c r="K39" s="3">
        <v>38680005935</v>
      </c>
      <c r="L39" s="3">
        <v>69639780740</v>
      </c>
      <c r="M39" s="3">
        <v>100428317304</v>
      </c>
      <c r="N39" s="3">
        <v>62373737291</v>
      </c>
    </row>
    <row r="40" spans="1:14" ht="29.1">
      <c r="B40" s="52" t="s">
        <v>476</v>
      </c>
      <c r="C40" s="12">
        <f>K2</f>
        <v>19651184333706</v>
      </c>
      <c r="D40" s="12">
        <f>L2</f>
        <v>12258434228464</v>
      </c>
      <c r="E40" s="12">
        <f>M2</f>
        <v>13186804684705</v>
      </c>
      <c r="F40" s="12">
        <f>N2</f>
        <v>15547886617815</v>
      </c>
      <c r="H40">
        <v>262</v>
      </c>
      <c r="I40" t="s">
        <v>84</v>
      </c>
      <c r="J40" t="s">
        <v>85</v>
      </c>
      <c r="K40" s="3">
        <v>87114007738</v>
      </c>
      <c r="L40" s="3">
        <v>109554088803</v>
      </c>
      <c r="M40" s="3">
        <v>50288238178</v>
      </c>
      <c r="N40" s="3">
        <v>76757919359</v>
      </c>
    </row>
    <row r="41" spans="1:14" ht="43.5">
      <c r="B41" s="52" t="s">
        <v>477</v>
      </c>
      <c r="C41" s="12">
        <f>K21</f>
        <v>4863167615269</v>
      </c>
      <c r="D41" s="12">
        <f>L21</f>
        <v>5118727087531</v>
      </c>
      <c r="E41" s="12">
        <f>M21</f>
        <v>4924991584484</v>
      </c>
      <c r="F41" s="12">
        <f>N21</f>
        <v>4763897298254</v>
      </c>
      <c r="H41" s="10">
        <v>270</v>
      </c>
      <c r="I41" s="10" t="s">
        <v>86</v>
      </c>
      <c r="J41" s="10" t="s">
        <v>87</v>
      </c>
      <c r="K41" s="3">
        <v>24514351948975</v>
      </c>
      <c r="L41" s="11">
        <v>17377161315995</v>
      </c>
      <c r="M41" s="11">
        <v>18111796269189</v>
      </c>
      <c r="N41" s="11">
        <v>20311783916069</v>
      </c>
    </row>
    <row r="42" spans="1:14" ht="29.1">
      <c r="B42" s="52" t="s">
        <v>478</v>
      </c>
      <c r="C42" s="12">
        <f>SUM(C40:C41)</f>
        <v>24514351948975</v>
      </c>
      <c r="D42" s="12">
        <f>SUM(D40:D41)</f>
        <v>17377161315995</v>
      </c>
      <c r="E42" s="12">
        <f>SUM(E40:E41)</f>
        <v>18111796269189</v>
      </c>
      <c r="F42" s="12">
        <f>SUM(F40:F41)</f>
        <v>20311783916069</v>
      </c>
      <c r="H42" s="2">
        <v>300</v>
      </c>
      <c r="I42" s="2" t="s">
        <v>88</v>
      </c>
      <c r="J42" t="s">
        <v>89</v>
      </c>
      <c r="K42" s="3">
        <v>13195700411669</v>
      </c>
      <c r="L42" s="5">
        <v>6210033388769</v>
      </c>
      <c r="M42" s="5">
        <v>6829845298714</v>
      </c>
      <c r="N42" s="5">
        <v>8878813931686</v>
      </c>
    </row>
    <row r="43" spans="1:14" ht="43.5">
      <c r="B43" s="52" t="s">
        <v>479</v>
      </c>
      <c r="C43" s="12" t="s">
        <v>33</v>
      </c>
      <c r="D43" s="12">
        <f>AVERAGE(C42:D42)</f>
        <v>20945756632485</v>
      </c>
      <c r="E43" s="12">
        <f>AVERAGE(D42:E42)</f>
        <v>17744478792592</v>
      </c>
      <c r="F43" s="12">
        <f>AVERAGE(E42:F42)</f>
        <v>19211790092629</v>
      </c>
      <c r="H43" s="2">
        <v>310</v>
      </c>
      <c r="I43" s="2" t="s">
        <v>90</v>
      </c>
      <c r="J43" t="s">
        <v>91</v>
      </c>
      <c r="K43" s="3">
        <v>13182047854402</v>
      </c>
      <c r="L43" s="5">
        <v>6195799689582</v>
      </c>
      <c r="M43" s="5">
        <v>6815609482547</v>
      </c>
      <c r="N43" s="5">
        <v>8864853420561</v>
      </c>
    </row>
    <row r="44" spans="1:14">
      <c r="B44" s="52" t="s">
        <v>411</v>
      </c>
      <c r="C44" s="12">
        <f>K85</f>
        <v>4375801849593</v>
      </c>
      <c r="D44" s="12">
        <f>L85</f>
        <v>48170557444</v>
      </c>
      <c r="E44" s="12">
        <f>M85</f>
        <v>248288982544</v>
      </c>
      <c r="F44" s="12">
        <f>N85</f>
        <v>528922307162</v>
      </c>
      <c r="H44">
        <v>311</v>
      </c>
      <c r="I44" t="s">
        <v>92</v>
      </c>
      <c r="J44" t="s">
        <v>93</v>
      </c>
      <c r="K44" s="3">
        <v>4283263896000</v>
      </c>
      <c r="L44" s="3">
        <v>1970635586928</v>
      </c>
      <c r="M44" s="3">
        <v>3330483232614</v>
      </c>
      <c r="N44" s="3">
        <v>2853606214481</v>
      </c>
    </row>
    <row r="45" spans="1:14">
      <c r="B45" s="52" t="s">
        <v>480</v>
      </c>
      <c r="C45" t="s">
        <v>33</v>
      </c>
      <c r="D45">
        <f>D44/D43</f>
        <v>2.2997764315322829E-3</v>
      </c>
      <c r="E45">
        <f>E44/E43</f>
        <v>1.3992464103688195E-2</v>
      </c>
      <c r="F45">
        <f>F44/F43</f>
        <v>2.7531130863486374E-2</v>
      </c>
      <c r="H45">
        <v>312</v>
      </c>
      <c r="I45" t="s">
        <v>94</v>
      </c>
      <c r="J45" t="s">
        <v>95</v>
      </c>
      <c r="K45" s="3">
        <v>233052080172</v>
      </c>
      <c r="L45" s="3">
        <v>176845202295</v>
      </c>
      <c r="M45" s="3">
        <v>129957335766</v>
      </c>
      <c r="N45" s="3">
        <v>179998887975</v>
      </c>
    </row>
    <row r="46" spans="1:14">
      <c r="B46" s="52"/>
      <c r="H46">
        <v>313</v>
      </c>
      <c r="I46" t="s">
        <v>96</v>
      </c>
      <c r="J46" t="s">
        <v>265</v>
      </c>
      <c r="K46" s="3">
        <v>309240420455</v>
      </c>
      <c r="L46" s="3">
        <v>5275868275</v>
      </c>
      <c r="M46" s="3">
        <v>145505586644</v>
      </c>
      <c r="N46" s="3">
        <v>74417109924</v>
      </c>
    </row>
    <row r="47" spans="1:14">
      <c r="A47" s="2"/>
      <c r="B47" s="52"/>
      <c r="C47">
        <v>2021</v>
      </c>
      <c r="D47">
        <v>2022</v>
      </c>
      <c r="E47">
        <v>2023</v>
      </c>
      <c r="F47">
        <v>2024</v>
      </c>
      <c r="H47">
        <v>314</v>
      </c>
      <c r="I47" t="s">
        <v>98</v>
      </c>
      <c r="J47" t="s">
        <v>99</v>
      </c>
      <c r="K47" s="3">
        <v>55566725013</v>
      </c>
      <c r="L47" s="3">
        <v>64245590725</v>
      </c>
      <c r="M47" s="3">
        <v>48600453107</v>
      </c>
      <c r="N47" s="3">
        <v>64468071697</v>
      </c>
    </row>
    <row r="48" spans="1:14">
      <c r="B48" s="52" t="s">
        <v>481</v>
      </c>
      <c r="C48" s="12">
        <f>K70</f>
        <v>86267008434432</v>
      </c>
      <c r="D48" s="12">
        <f>L70</f>
        <v>81189481215099</v>
      </c>
      <c r="E48" s="12">
        <f>M70</f>
        <v>52604763167190</v>
      </c>
      <c r="F48" s="12">
        <f>N70</f>
        <v>66712547798751</v>
      </c>
      <c r="H48">
        <v>315</v>
      </c>
      <c r="I48" t="s">
        <v>100</v>
      </c>
      <c r="J48" t="s">
        <v>101</v>
      </c>
      <c r="K48" s="3">
        <v>214800245166</v>
      </c>
      <c r="L48" s="3">
        <v>207561319455</v>
      </c>
      <c r="M48" s="3">
        <v>66684028030</v>
      </c>
      <c r="N48" s="3">
        <v>208807717032</v>
      </c>
    </row>
    <row r="49" spans="1:14" ht="43.5">
      <c r="B49" s="52" t="s">
        <v>479</v>
      </c>
      <c r="C49" s="12" t="str">
        <f>C43</f>
        <v>-</v>
      </c>
      <c r="D49" s="12">
        <f>D43</f>
        <v>20945756632485</v>
      </c>
      <c r="E49" s="12">
        <f>E43</f>
        <v>17744478792592</v>
      </c>
      <c r="F49" s="12">
        <f>F43</f>
        <v>19211790092629</v>
      </c>
      <c r="H49">
        <v>319</v>
      </c>
      <c r="I49" t="s">
        <v>102</v>
      </c>
      <c r="J49" s="2" t="s">
        <v>103</v>
      </c>
      <c r="K49" s="3">
        <v>3256582146203</v>
      </c>
      <c r="L49" s="3">
        <v>18979145366</v>
      </c>
      <c r="M49" s="3">
        <v>42122470287</v>
      </c>
      <c r="N49" s="3">
        <v>137451191503</v>
      </c>
    </row>
    <row r="50" spans="1:14" ht="29.1">
      <c r="B50" s="52" t="s">
        <v>482</v>
      </c>
      <c r="C50" s="12" t="s">
        <v>33</v>
      </c>
      <c r="D50">
        <f>D48/D49</f>
        <v>3.8761780077775447</v>
      </c>
      <c r="E50">
        <f>E48/E49</f>
        <v>2.9645707705515441</v>
      </c>
      <c r="F50">
        <f>F48/F49</f>
        <v>3.472479528305207</v>
      </c>
      <c r="H50">
        <v>320</v>
      </c>
      <c r="I50" t="s">
        <v>104</v>
      </c>
      <c r="J50" t="s">
        <v>105</v>
      </c>
      <c r="K50" s="3">
        <v>4754513830764</v>
      </c>
      <c r="L50" s="3">
        <v>3545557150716</v>
      </c>
      <c r="M50" s="3">
        <v>2903786802438</v>
      </c>
      <c r="N50" s="3">
        <v>5310715159144</v>
      </c>
    </row>
    <row r="51" spans="1:14">
      <c r="B51" s="52"/>
      <c r="H51">
        <v>322</v>
      </c>
      <c r="I51" t="s">
        <v>106</v>
      </c>
      <c r="J51" t="s">
        <v>107</v>
      </c>
      <c r="K51" s="3">
        <v>75028510629</v>
      </c>
      <c r="L51" s="3">
        <v>206699825822</v>
      </c>
      <c r="M51" s="3">
        <v>148469573661</v>
      </c>
      <c r="N51" s="3">
        <v>35388068805</v>
      </c>
    </row>
    <row r="52" spans="1:14">
      <c r="A52" s="2" t="s">
        <v>483</v>
      </c>
      <c r="B52" s="52"/>
      <c r="H52" s="2">
        <v>330</v>
      </c>
      <c r="I52" s="2" t="s">
        <v>108</v>
      </c>
      <c r="J52" s="2" t="s">
        <v>109</v>
      </c>
      <c r="K52" s="3">
        <v>13652557267</v>
      </c>
      <c r="L52" s="5">
        <v>14233699187</v>
      </c>
      <c r="M52" s="5">
        <v>14235816167</v>
      </c>
      <c r="N52" s="5">
        <v>13960511125</v>
      </c>
    </row>
    <row r="53" spans="1:14">
      <c r="A53" s="2" t="s">
        <v>484</v>
      </c>
      <c r="B53" s="52"/>
      <c r="C53">
        <v>2021</v>
      </c>
      <c r="D53">
        <v>2022</v>
      </c>
      <c r="E53">
        <v>2023</v>
      </c>
      <c r="F53">
        <v>2024</v>
      </c>
      <c r="H53">
        <v>337</v>
      </c>
      <c r="I53" t="s">
        <v>110</v>
      </c>
      <c r="J53" s="2" t="s">
        <v>111</v>
      </c>
      <c r="K53" s="3">
        <v>709500</v>
      </c>
      <c r="L53" s="3">
        <v>709500000</v>
      </c>
      <c r="M53" s="3">
        <v>709500000</v>
      </c>
      <c r="N53" s="3">
        <v>709500000</v>
      </c>
    </row>
    <row r="54" spans="1:14" ht="29.1">
      <c r="B54" s="52" t="s">
        <v>485</v>
      </c>
      <c r="C54" s="12">
        <f>K71</f>
        <v>80500728426285</v>
      </c>
      <c r="D54" s="12">
        <f>L71</f>
        <v>77388423409761</v>
      </c>
      <c r="E54" s="12">
        <f>M71</f>
        <v>50476627454498</v>
      </c>
      <c r="F54" s="12">
        <f>N71</f>
        <v>63473799048283</v>
      </c>
      <c r="H54">
        <v>342</v>
      </c>
      <c r="I54" t="s">
        <v>112</v>
      </c>
      <c r="J54" t="s">
        <v>113</v>
      </c>
      <c r="K54" s="3">
        <v>12943057267</v>
      </c>
      <c r="L54" s="3">
        <v>13524199187</v>
      </c>
      <c r="M54" s="3">
        <v>13526316167</v>
      </c>
      <c r="N54" s="3">
        <v>13251011125</v>
      </c>
    </row>
    <row r="55" spans="1:14" ht="29.1">
      <c r="B55" s="52" t="s">
        <v>486</v>
      </c>
      <c r="C55" s="12">
        <f>K70</f>
        <v>86267008434432</v>
      </c>
      <c r="D55" s="12">
        <f>L70</f>
        <v>81189481215099</v>
      </c>
      <c r="E55" s="12">
        <f>M70</f>
        <v>52604763167190</v>
      </c>
      <c r="F55" s="12">
        <f>N70</f>
        <v>66712547798751</v>
      </c>
      <c r="H55" s="2">
        <v>400</v>
      </c>
      <c r="I55" s="2" t="s">
        <v>114</v>
      </c>
      <c r="J55" t="s">
        <v>115</v>
      </c>
      <c r="K55" s="3">
        <v>11318651537306</v>
      </c>
      <c r="L55" s="5">
        <v>11167127927226</v>
      </c>
      <c r="M55" s="5">
        <v>11281950970475</v>
      </c>
      <c r="N55" s="5">
        <v>11432969984383</v>
      </c>
    </row>
    <row r="56" spans="1:14">
      <c r="B56" s="52" t="s">
        <v>40</v>
      </c>
      <c r="C56" s="12">
        <f>K14</f>
        <v>6384320637756</v>
      </c>
      <c r="D56" s="12">
        <f>L14</f>
        <v>3185372278891</v>
      </c>
      <c r="E56" s="12">
        <f>M14</f>
        <v>3749491109277</v>
      </c>
      <c r="F56" s="12">
        <f>N14</f>
        <v>3943145442782</v>
      </c>
      <c r="H56" s="2">
        <v>410</v>
      </c>
      <c r="I56" s="2" t="s">
        <v>116</v>
      </c>
      <c r="J56" t="s">
        <v>117</v>
      </c>
      <c r="K56" s="3">
        <v>11318651537306</v>
      </c>
      <c r="L56" s="5">
        <v>11167127927226</v>
      </c>
      <c r="M56" s="5">
        <v>11281950970475</v>
      </c>
      <c r="N56" s="5">
        <v>11432969984383</v>
      </c>
    </row>
    <row r="57" spans="1:14">
      <c r="B57" s="52" t="s">
        <v>487</v>
      </c>
      <c r="C57" t="s">
        <v>33</v>
      </c>
      <c r="D57" s="12">
        <f>AVERAGE(C56:D56)</f>
        <v>4784846458323.5</v>
      </c>
      <c r="E57" s="12">
        <f>AVERAGE(D56:E56)</f>
        <v>3467431694084</v>
      </c>
      <c r="F57" s="12">
        <f>AVERAGE(E56:F56)</f>
        <v>3846318276029.5</v>
      </c>
      <c r="H57">
        <v>411</v>
      </c>
      <c r="I57" t="s">
        <v>118</v>
      </c>
      <c r="J57" t="s">
        <v>119</v>
      </c>
      <c r="K57" s="3">
        <v>4934818960000</v>
      </c>
      <c r="L57" s="3">
        <v>5980549860000</v>
      </c>
      <c r="M57" s="3">
        <v>6159823090000</v>
      </c>
      <c r="N57" s="3">
        <v>6159823090000</v>
      </c>
    </row>
    <row r="58" spans="1:14" ht="29.1">
      <c r="B58" s="52" t="s">
        <v>255</v>
      </c>
      <c r="C58" s="12">
        <f>SUM(K8,K22)</f>
        <v>12077168369214</v>
      </c>
      <c r="D58" s="12">
        <f>SUM(L8,L22)</f>
        <v>8556323027895</v>
      </c>
      <c r="E58" s="12">
        <f>SUM(M8,M22)</f>
        <v>8546177472309</v>
      </c>
      <c r="F58" s="12">
        <f>SUM(N8,N22)</f>
        <v>10789149284840</v>
      </c>
      <c r="H58" s="7" t="s">
        <v>120</v>
      </c>
      <c r="I58" s="8" t="s">
        <v>121</v>
      </c>
      <c r="J58" s="8" t="s">
        <v>122</v>
      </c>
      <c r="K58" s="3">
        <v>4934818960000</v>
      </c>
      <c r="L58" s="9">
        <v>5980549860000</v>
      </c>
      <c r="M58" s="9">
        <v>6159823090000</v>
      </c>
      <c r="N58" s="9">
        <v>6159823090000</v>
      </c>
    </row>
    <row r="59" spans="1:14" ht="29.1">
      <c r="B59" s="52" t="s">
        <v>488</v>
      </c>
      <c r="C59" t="s">
        <v>33</v>
      </c>
      <c r="D59" s="12">
        <f>AVERAGE(C58:D58)</f>
        <v>10316745698554.5</v>
      </c>
      <c r="E59" s="12">
        <f>AVERAGE(D58:E58)</f>
        <v>8551250250102</v>
      </c>
      <c r="F59" s="12">
        <f>AVERAGE(E58:F58)</f>
        <v>9667663378574.5</v>
      </c>
      <c r="H59" s="6">
        <v>412</v>
      </c>
      <c r="I59" t="s">
        <v>123</v>
      </c>
      <c r="J59" s="8" t="s">
        <v>124</v>
      </c>
      <c r="K59" s="3">
        <v>157292539068</v>
      </c>
      <c r="L59" s="3">
        <v>157292539068</v>
      </c>
      <c r="M59" s="3">
        <v>157292539068</v>
      </c>
      <c r="N59" s="3">
        <v>157292539068</v>
      </c>
    </row>
    <row r="60" spans="1:14" ht="43.5">
      <c r="B60" s="52" t="s">
        <v>489</v>
      </c>
      <c r="C60" t="s">
        <v>33</v>
      </c>
      <c r="D60">
        <f>D54/D57</f>
        <v>16.173648221279837</v>
      </c>
      <c r="E60">
        <f>E54/E57</f>
        <v>14.557353080846351</v>
      </c>
      <c r="F60">
        <f>F54/F57</f>
        <v>16.50248224226678</v>
      </c>
      <c r="H60" s="6">
        <v>420</v>
      </c>
      <c r="I60" t="s">
        <v>125</v>
      </c>
      <c r="J60" s="2" t="s">
        <v>126</v>
      </c>
      <c r="K60" s="3">
        <v>90695201265</v>
      </c>
      <c r="L60" s="3">
        <v>187499009876</v>
      </c>
      <c r="M60" s="3">
        <v>77910496944</v>
      </c>
      <c r="N60" s="3">
        <v>50993213769</v>
      </c>
    </row>
    <row r="61" spans="1:14" ht="43.5">
      <c r="B61" s="52" t="s">
        <v>490</v>
      </c>
      <c r="C61" t="s">
        <v>33</v>
      </c>
      <c r="D61">
        <f>360/D60</f>
        <v>22.258428962634678</v>
      </c>
      <c r="E61">
        <f>360/E60</f>
        <v>24.729770446638774</v>
      </c>
      <c r="F61">
        <f>360/F60</f>
        <v>21.814900008069962</v>
      </c>
      <c r="H61" s="6">
        <v>421</v>
      </c>
      <c r="I61" t="s">
        <v>127</v>
      </c>
      <c r="J61" t="s">
        <v>128</v>
      </c>
      <c r="K61" s="3">
        <v>6135844836973</v>
      </c>
      <c r="L61" s="3">
        <v>4841786518282</v>
      </c>
      <c r="M61" s="3">
        <v>4886924844463</v>
      </c>
      <c r="N61" s="3">
        <v>5064861141546</v>
      </c>
    </row>
    <row r="62" spans="1:14" ht="29.1">
      <c r="B62" s="52" t="s">
        <v>491</v>
      </c>
      <c r="C62" t="s">
        <v>33</v>
      </c>
      <c r="D62">
        <f>D55/D59</f>
        <v>7.8696794112580113</v>
      </c>
      <c r="E62">
        <f>E55/E59</f>
        <v>6.1517043272780523</v>
      </c>
      <c r="F62">
        <f>F55/F59</f>
        <v>6.9005865415835137</v>
      </c>
      <c r="H62" s="7" t="s">
        <v>129</v>
      </c>
      <c r="I62" s="8" t="s">
        <v>130</v>
      </c>
      <c r="J62" t="s">
        <v>131</v>
      </c>
      <c r="K62" s="3">
        <v>1824320198455</v>
      </c>
      <c r="L62" s="9">
        <v>4793615960838</v>
      </c>
      <c r="M62" s="9">
        <v>4638635861919</v>
      </c>
      <c r="N62" s="9">
        <v>4576082907573</v>
      </c>
    </row>
    <row r="63" spans="1:14" ht="29.1">
      <c r="B63" s="52" t="s">
        <v>492</v>
      </c>
      <c r="C63" t="s">
        <v>33</v>
      </c>
      <c r="D63">
        <f>360/D62</f>
        <v>45.745192553206181</v>
      </c>
      <c r="E63">
        <f>360/E62</f>
        <v>58.520367827770649</v>
      </c>
      <c r="F63">
        <f>360/F62</f>
        <v>52.169478323416392</v>
      </c>
      <c r="H63" s="7" t="s">
        <v>132</v>
      </c>
      <c r="I63" s="8" t="s">
        <v>133</v>
      </c>
      <c r="J63" t="s">
        <v>134</v>
      </c>
      <c r="K63" s="3">
        <v>4311524638518</v>
      </c>
      <c r="L63" s="9">
        <v>48170557444</v>
      </c>
      <c r="M63" s="9">
        <v>248288982544</v>
      </c>
      <c r="N63" s="9">
        <v>488778233973</v>
      </c>
    </row>
    <row r="64" spans="1:14">
      <c r="B64" s="52"/>
      <c r="H64" s="2">
        <v>440</v>
      </c>
      <c r="I64" s="2" t="s">
        <v>135</v>
      </c>
      <c r="J64" t="s">
        <v>136</v>
      </c>
      <c r="K64" s="3">
        <v>24514351948975</v>
      </c>
      <c r="L64" s="5">
        <v>17377161315995</v>
      </c>
      <c r="M64" s="5">
        <v>18111796269189</v>
      </c>
      <c r="N64" s="5">
        <v>20311783916069</v>
      </c>
    </row>
    <row r="65" spans="1:14">
      <c r="A65" s="2" t="s">
        <v>493</v>
      </c>
      <c r="B65" s="52"/>
      <c r="C65">
        <v>2021</v>
      </c>
      <c r="D65">
        <v>2022</v>
      </c>
      <c r="E65">
        <v>2023</v>
      </c>
      <c r="F65">
        <v>2024</v>
      </c>
    </row>
    <row r="66" spans="1:14">
      <c r="B66" s="52" t="s">
        <v>60</v>
      </c>
      <c r="C66" s="12">
        <f>K25</f>
        <v>1134208705003</v>
      </c>
      <c r="D66" s="12">
        <f>L25</f>
        <v>1198450061079</v>
      </c>
      <c r="E66" s="12">
        <f>M25</f>
        <v>1016313002019</v>
      </c>
      <c r="F66" s="12">
        <f>N25</f>
        <v>844402354164</v>
      </c>
      <c r="H66" t="s">
        <v>8</v>
      </c>
      <c r="I66" t="s">
        <v>9</v>
      </c>
      <c r="J66" t="s">
        <v>137</v>
      </c>
      <c r="K66" s="61">
        <v>2021</v>
      </c>
      <c r="L66" t="s">
        <v>321</v>
      </c>
      <c r="M66" t="s">
        <v>322</v>
      </c>
      <c r="N66" t="s">
        <v>323</v>
      </c>
    </row>
    <row r="67" spans="1:14" ht="29.1">
      <c r="B67" s="52" t="s">
        <v>494</v>
      </c>
      <c r="C67" t="s">
        <v>33</v>
      </c>
      <c r="D67" s="12">
        <f>AVERAGE(C66:D66)</f>
        <v>1166329383041</v>
      </c>
      <c r="E67" s="12">
        <f>AVERAGE(D66:E66)</f>
        <v>1107381531549</v>
      </c>
      <c r="F67" s="12">
        <f>AVERAGE(E66:F66)</f>
        <v>930357678091.5</v>
      </c>
      <c r="H67" s="2">
        <v>1</v>
      </c>
      <c r="I67" s="2" t="s">
        <v>139</v>
      </c>
      <c r="J67" s="2" t="s">
        <v>140</v>
      </c>
      <c r="K67" s="3">
        <v>86441507897173</v>
      </c>
      <c r="L67" s="5">
        <v>81450228213277</v>
      </c>
      <c r="M67" s="5">
        <v>52881019564133</v>
      </c>
      <c r="N67" s="5">
        <v>67051370845971</v>
      </c>
    </row>
    <row r="68" spans="1:14" ht="57.95">
      <c r="B68" s="52" t="s">
        <v>495</v>
      </c>
      <c r="C68" s="12">
        <f>K32</f>
        <v>180277059193</v>
      </c>
      <c r="D68" s="12">
        <f>L32</f>
        <v>106037865309</v>
      </c>
      <c r="E68" s="12">
        <f>M32</f>
        <v>27180502737</v>
      </c>
      <c r="F68" s="12">
        <f>N32</f>
        <v>9027013569</v>
      </c>
      <c r="H68" s="2">
        <v>2</v>
      </c>
      <c r="I68" s="2" t="s">
        <v>141</v>
      </c>
      <c r="J68" s="2" t="s">
        <v>142</v>
      </c>
      <c r="K68" s="3">
        <v>174499462741</v>
      </c>
      <c r="L68" s="5">
        <v>260746998178</v>
      </c>
      <c r="M68" s="5">
        <v>276256396943</v>
      </c>
      <c r="N68" s="5">
        <v>338823047220</v>
      </c>
    </row>
    <row r="69" spans="1:14" ht="43.5">
      <c r="B69" s="52" t="s">
        <v>496</v>
      </c>
      <c r="C69" t="s">
        <v>33</v>
      </c>
      <c r="D69" s="12">
        <f>AVERAGE(C68:D68)</f>
        <v>143157462251</v>
      </c>
      <c r="E69" s="12">
        <f>AVERAGE(D68:E68)</f>
        <v>66609184023</v>
      </c>
      <c r="F69" s="12">
        <f>AVERAGE(E68:F68)</f>
        <v>18103758153</v>
      </c>
      <c r="H69" s="2"/>
      <c r="I69" s="2"/>
      <c r="J69" s="2"/>
      <c r="L69" s="5"/>
      <c r="M69" s="5"/>
      <c r="N69" s="5"/>
    </row>
    <row r="70" spans="1:14" ht="72.599999999999994">
      <c r="B70" s="168" t="s">
        <v>497</v>
      </c>
      <c r="C70" t="s">
        <v>33</v>
      </c>
      <c r="D70">
        <f>D55/D67</f>
        <v>69.611108487562589</v>
      </c>
      <c r="E70">
        <f>E55/E67</f>
        <v>47.50373892691411</v>
      </c>
      <c r="F70">
        <f>F55/F67</f>
        <v>71.706344097253606</v>
      </c>
      <c r="H70" s="2">
        <v>10</v>
      </c>
      <c r="I70" s="2" t="s">
        <v>143</v>
      </c>
      <c r="J70" s="2" t="s">
        <v>144</v>
      </c>
      <c r="K70" s="3">
        <v>86267008434432</v>
      </c>
      <c r="L70" s="5">
        <v>81189481215099</v>
      </c>
      <c r="M70" s="5">
        <v>52604763167190</v>
      </c>
      <c r="N70" s="5">
        <v>66712547798751</v>
      </c>
    </row>
    <row r="71" spans="1:14" ht="87">
      <c r="B71" s="168" t="s">
        <v>498</v>
      </c>
      <c r="C71" t="s">
        <v>33</v>
      </c>
      <c r="D71">
        <f>D55/D69</f>
        <v>567.1341188819647</v>
      </c>
      <c r="E71">
        <f>E55/E69</f>
        <v>789.75240334764794</v>
      </c>
      <c r="F71">
        <f>F55/F69</f>
        <v>3685.0109924660019</v>
      </c>
      <c r="H71">
        <v>11</v>
      </c>
      <c r="I71" s="2" t="s">
        <v>145</v>
      </c>
      <c r="J71" s="2" t="s">
        <v>146</v>
      </c>
      <c r="K71" s="3">
        <v>80500728426285</v>
      </c>
      <c r="L71" s="5">
        <v>77388423409761</v>
      </c>
      <c r="M71" s="5">
        <v>50476627454498</v>
      </c>
      <c r="N71" s="5">
        <v>63473799048283</v>
      </c>
    </row>
    <row r="72" spans="1:14">
      <c r="B72" s="52"/>
      <c r="H72" s="2">
        <v>20</v>
      </c>
      <c r="I72" s="2" t="s">
        <v>147</v>
      </c>
      <c r="J72" s="2" t="s">
        <v>148</v>
      </c>
      <c r="K72" s="3">
        <v>5766280008147</v>
      </c>
      <c r="L72" s="5">
        <v>3801057805338</v>
      </c>
      <c r="M72" s="5">
        <v>2128135712692</v>
      </c>
      <c r="N72" s="5">
        <v>3238748750468</v>
      </c>
    </row>
    <row r="73" spans="1:14">
      <c r="A73" s="2" t="s">
        <v>499</v>
      </c>
      <c r="B73" s="52"/>
      <c r="C73">
        <v>2021</v>
      </c>
      <c r="D73">
        <v>2022</v>
      </c>
      <c r="E73">
        <v>2023</v>
      </c>
      <c r="F73">
        <v>2024</v>
      </c>
      <c r="H73">
        <v>21</v>
      </c>
      <c r="I73" t="s">
        <v>149</v>
      </c>
      <c r="J73" t="s">
        <v>150</v>
      </c>
      <c r="K73" s="3">
        <v>2660392557597</v>
      </c>
      <c r="L73" s="3">
        <v>425167604879</v>
      </c>
      <c r="M73" s="3">
        <v>800850256543</v>
      </c>
      <c r="N73" s="3">
        <v>652938094707</v>
      </c>
    </row>
    <row r="74" spans="1:14" ht="29.1">
      <c r="B74" s="52" t="s">
        <v>500</v>
      </c>
      <c r="C74" s="12">
        <f>K73</f>
        <v>2660392557597</v>
      </c>
      <c r="D74" s="12">
        <f>L73</f>
        <v>425167604879</v>
      </c>
      <c r="E74" s="12">
        <f>M73</f>
        <v>800850256543</v>
      </c>
      <c r="F74" s="12">
        <f>N73</f>
        <v>652938094707</v>
      </c>
      <c r="H74">
        <v>22</v>
      </c>
      <c r="I74" t="s">
        <v>151</v>
      </c>
      <c r="J74" t="s">
        <v>152</v>
      </c>
      <c r="K74" s="3">
        <v>354050453366</v>
      </c>
      <c r="L74" s="3">
        <v>419889233636</v>
      </c>
      <c r="M74" s="3">
        <v>300217604297</v>
      </c>
      <c r="N74" s="3">
        <v>251550025718</v>
      </c>
    </row>
    <row r="75" spans="1:14" ht="29.1">
      <c r="B75" s="52" t="s">
        <v>501</v>
      </c>
      <c r="C75" s="12">
        <f>SUM(K6,K34)</f>
        <v>3249000000000</v>
      </c>
      <c r="D75" s="12">
        <f>SUM(L6,L34)</f>
        <v>3398850000000</v>
      </c>
      <c r="E75" s="12">
        <f>SUM(M6,M34)</f>
        <v>3610410958904</v>
      </c>
      <c r="F75" s="12">
        <f>SUM(N6,N34)</f>
        <v>3616873825343</v>
      </c>
      <c r="H75">
        <v>25</v>
      </c>
      <c r="I75" t="s">
        <v>153</v>
      </c>
      <c r="J75" t="s">
        <v>154</v>
      </c>
      <c r="K75" s="3">
        <v>163982509811</v>
      </c>
      <c r="L75" s="3">
        <v>3469159524662</v>
      </c>
      <c r="M75" s="3">
        <v>2121829595199</v>
      </c>
      <c r="N75" s="3">
        <v>2858708812560</v>
      </c>
    </row>
    <row r="76" spans="1:14" ht="43.5">
      <c r="B76" s="52" t="s">
        <v>502</v>
      </c>
      <c r="C76" t="s">
        <v>33</v>
      </c>
      <c r="D76" s="12">
        <f>AVERAGE(C75:D75)</f>
        <v>3323925000000</v>
      </c>
      <c r="E76" s="12">
        <f>AVERAGE(D75:E75)</f>
        <v>3504630479452</v>
      </c>
      <c r="F76" s="12">
        <f>AVERAGE(E75:F75)</f>
        <v>3613642392123.5</v>
      </c>
      <c r="H76">
        <v>26</v>
      </c>
      <c r="I76" t="s">
        <v>155</v>
      </c>
      <c r="J76" t="s">
        <v>156</v>
      </c>
      <c r="K76" s="3">
        <v>2971926540542</v>
      </c>
      <c r="L76" s="3">
        <v>323017357209</v>
      </c>
      <c r="M76" s="3">
        <v>242553285595</v>
      </c>
      <c r="N76" s="3">
        <v>308367699972</v>
      </c>
    </row>
    <row r="77" spans="1:14" ht="29.1">
      <c r="B77" s="52" t="s">
        <v>503</v>
      </c>
      <c r="C77" t="s">
        <v>33</v>
      </c>
      <c r="D77">
        <f>D74/D76</f>
        <v>0.12791131113939094</v>
      </c>
      <c r="E77">
        <f>E74/E76</f>
        <v>0.22851203892634769</v>
      </c>
      <c r="F77">
        <f>F74/F76</f>
        <v>0.18068697005829379</v>
      </c>
      <c r="H77">
        <v>30</v>
      </c>
      <c r="I77" s="2" t="s">
        <v>157</v>
      </c>
      <c r="J77" s="2" t="s">
        <v>158</v>
      </c>
      <c r="K77" s="3">
        <v>253197996846</v>
      </c>
      <c r="L77" s="5">
        <v>14159294710</v>
      </c>
      <c r="M77" s="5">
        <v>264385484144</v>
      </c>
      <c r="N77" s="5">
        <v>473060306925</v>
      </c>
    </row>
    <row r="78" spans="1:14">
      <c r="K78" s="3">
        <v>4847497574990</v>
      </c>
      <c r="L78" s="3"/>
      <c r="M78" s="3"/>
      <c r="N78" s="3"/>
    </row>
    <row r="79" spans="1:14">
      <c r="H79">
        <v>31</v>
      </c>
      <c r="I79" t="s">
        <v>159</v>
      </c>
      <c r="J79" t="s">
        <v>160</v>
      </c>
      <c r="K79" s="3">
        <v>7884997850</v>
      </c>
      <c r="L79" s="3">
        <v>37281371157</v>
      </c>
      <c r="M79" s="3">
        <v>45338320487</v>
      </c>
      <c r="N79" s="3">
        <v>34684261898</v>
      </c>
    </row>
    <row r="80" spans="1:14">
      <c r="H80">
        <v>32</v>
      </c>
      <c r="I80" t="s">
        <v>161</v>
      </c>
      <c r="J80" t="s">
        <v>162</v>
      </c>
      <c r="K80" s="3">
        <v>11164052377</v>
      </c>
      <c r="L80" s="3">
        <v>2028544004</v>
      </c>
      <c r="M80" s="3">
        <v>631991708</v>
      </c>
      <c r="N80" s="3">
        <v>5192249642</v>
      </c>
    </row>
    <row r="81" spans="8:14">
      <c r="H81" s="2">
        <v>40</v>
      </c>
      <c r="I81" s="2" t="s">
        <v>163</v>
      </c>
      <c r="J81" s="2" t="s">
        <v>164</v>
      </c>
      <c r="K81" s="3">
        <v>-3279054527</v>
      </c>
      <c r="L81" s="5">
        <v>35252827153</v>
      </c>
      <c r="M81" s="5">
        <v>44706328779</v>
      </c>
      <c r="N81" s="5">
        <v>29492012256</v>
      </c>
    </row>
    <row r="82" spans="8:14">
      <c r="H82" s="2">
        <v>50</v>
      </c>
      <c r="I82" s="2" t="s">
        <v>165</v>
      </c>
      <c r="J82" s="2" t="s">
        <v>166</v>
      </c>
      <c r="K82" s="3">
        <v>4844218520463</v>
      </c>
      <c r="L82" s="5">
        <v>49412121863</v>
      </c>
      <c r="M82" s="5">
        <v>309091812923</v>
      </c>
      <c r="N82" s="5">
        <v>502552319181</v>
      </c>
    </row>
    <row r="83" spans="8:14">
      <c r="H83" s="2">
        <v>51</v>
      </c>
      <c r="I83" s="2" t="s">
        <v>167</v>
      </c>
      <c r="J83" s="2" t="s">
        <v>168</v>
      </c>
      <c r="K83" s="3">
        <v>515776476827</v>
      </c>
      <c r="L83" s="5">
        <v>23681645484</v>
      </c>
      <c r="M83" s="5">
        <v>1536979754</v>
      </c>
      <c r="N83" s="5">
        <v>99693200</v>
      </c>
    </row>
    <row r="84" spans="8:14">
      <c r="H84" s="2">
        <v>52</v>
      </c>
      <c r="I84" s="2" t="s">
        <v>169</v>
      </c>
      <c r="J84" s="2" t="s">
        <v>170</v>
      </c>
      <c r="K84" s="3">
        <v>-47359805957</v>
      </c>
      <c r="L84" s="5">
        <v>-22440081065</v>
      </c>
      <c r="M84" s="5">
        <v>59265850625</v>
      </c>
      <c r="N84" s="5">
        <v>26469681181</v>
      </c>
    </row>
    <row r="85" spans="8:14">
      <c r="H85" s="2">
        <v>60</v>
      </c>
      <c r="I85" s="2" t="s">
        <v>171</v>
      </c>
      <c r="J85" s="2" t="s">
        <v>172</v>
      </c>
      <c r="K85" s="3">
        <v>4375801849593</v>
      </c>
      <c r="L85" s="5">
        <v>48170557444</v>
      </c>
      <c r="M85" s="5">
        <v>248288982544</v>
      </c>
      <c r="N85" s="5">
        <v>528922307162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6FDA-AD5F-4B76-A693-F0B94A5421B1}">
  <dimension ref="A1:O67"/>
  <sheetViews>
    <sheetView zoomScale="57" workbookViewId="0">
      <selection activeCell="L44" sqref="L44"/>
    </sheetView>
  </sheetViews>
  <sheetFormatPr defaultColWidth="8.85546875" defaultRowHeight="14.45"/>
  <cols>
    <col min="1" max="1" width="9.85546875" customWidth="1"/>
    <col min="2" max="2" width="23" customWidth="1"/>
    <col min="3" max="3" width="18.42578125" bestFit="1" customWidth="1"/>
    <col min="4" max="4" width="19" customWidth="1"/>
    <col min="5" max="5" width="19.42578125" customWidth="1"/>
    <col min="6" max="6" width="22.140625" customWidth="1"/>
    <col min="7" max="7" width="17.140625" customWidth="1"/>
    <col min="8" max="8" width="17" customWidth="1"/>
    <col min="10" max="10" width="16.140625" bestFit="1" customWidth="1"/>
    <col min="11" max="11" width="45.85546875" bestFit="1" customWidth="1"/>
    <col min="12" max="13" width="20.140625" customWidth="1"/>
    <col min="14" max="14" width="20.140625" bestFit="1" customWidth="1"/>
    <col min="15" max="16" width="18.42578125" bestFit="1" customWidth="1"/>
  </cols>
  <sheetData>
    <row r="1" spans="1:15">
      <c r="A1" s="260" t="s">
        <v>504</v>
      </c>
      <c r="B1" s="261"/>
      <c r="C1" s="261"/>
      <c r="D1" s="261"/>
      <c r="E1" s="261"/>
      <c r="F1" s="261"/>
      <c r="G1" s="261"/>
      <c r="H1" s="262"/>
    </row>
    <row r="2" spans="1:15">
      <c r="A2" s="263"/>
      <c r="B2" s="264"/>
      <c r="C2" s="264"/>
      <c r="D2" s="264"/>
      <c r="E2" s="264"/>
      <c r="F2" s="264"/>
      <c r="G2" s="264"/>
      <c r="H2" s="265"/>
      <c r="J2" s="200" t="s">
        <v>505</v>
      </c>
      <c r="K2" s="199"/>
      <c r="L2" s="199"/>
      <c r="M2" s="199"/>
      <c r="N2" s="199"/>
      <c r="O2" s="199"/>
    </row>
    <row r="3" spans="1:15" ht="15" thickBot="1">
      <c r="A3" s="263"/>
      <c r="B3" s="230"/>
      <c r="C3" s="285">
        <v>2022</v>
      </c>
      <c r="D3" s="285">
        <v>2023</v>
      </c>
      <c r="E3" s="286">
        <v>2024</v>
      </c>
      <c r="F3" s="264"/>
      <c r="G3" s="264"/>
      <c r="H3" s="265"/>
      <c r="J3" s="204" t="s">
        <v>8</v>
      </c>
      <c r="K3" s="205" t="s">
        <v>9</v>
      </c>
      <c r="L3" s="205">
        <v>2022</v>
      </c>
      <c r="M3" s="205">
        <v>2023</v>
      </c>
      <c r="N3" s="206">
        <v>2024</v>
      </c>
    </row>
    <row r="4" spans="1:15" ht="15.75" customHeight="1">
      <c r="A4" s="263"/>
      <c r="B4" s="231" t="s">
        <v>411</v>
      </c>
      <c r="C4" s="232">
        <f>L22</f>
        <v>48170557444</v>
      </c>
      <c r="D4" s="232">
        <f>M22</f>
        <v>248288982544</v>
      </c>
      <c r="E4" s="233">
        <f>N22</f>
        <v>528922307162</v>
      </c>
      <c r="F4" s="264"/>
      <c r="G4" s="264"/>
      <c r="H4" s="265"/>
      <c r="J4" s="201">
        <v>1</v>
      </c>
      <c r="K4" s="2" t="s">
        <v>140</v>
      </c>
      <c r="L4" s="193">
        <v>81450228213277</v>
      </c>
      <c r="M4" s="193">
        <v>52881019564133</v>
      </c>
      <c r="N4" s="194">
        <v>67051370845971</v>
      </c>
    </row>
    <row r="5" spans="1:15">
      <c r="A5" s="263"/>
      <c r="B5" s="234" t="s">
        <v>128</v>
      </c>
      <c r="C5" s="235">
        <f>L31</f>
        <v>4841786518282</v>
      </c>
      <c r="D5" s="235">
        <f>M31</f>
        <v>4886924844463</v>
      </c>
      <c r="E5" s="236">
        <f>N31</f>
        <v>5064861141546</v>
      </c>
      <c r="F5" s="264"/>
      <c r="G5" s="264"/>
      <c r="H5" s="265"/>
      <c r="J5" s="201">
        <v>2</v>
      </c>
      <c r="K5" s="2" t="s">
        <v>142</v>
      </c>
      <c r="L5" s="193">
        <v>260746998178</v>
      </c>
      <c r="M5" s="193">
        <v>276256396943</v>
      </c>
      <c r="N5" s="194">
        <v>338823047220</v>
      </c>
    </row>
    <row r="6" spans="1:15">
      <c r="A6" s="263"/>
      <c r="B6" s="237"/>
      <c r="C6" s="232"/>
      <c r="D6" s="232"/>
      <c r="E6" s="264"/>
      <c r="F6" s="264"/>
      <c r="G6" s="264"/>
      <c r="H6" s="265"/>
      <c r="J6" s="201"/>
      <c r="K6" s="2"/>
      <c r="L6" s="193"/>
      <c r="M6" s="193"/>
      <c r="N6" s="194"/>
    </row>
    <row r="7" spans="1:15">
      <c r="A7" s="263"/>
      <c r="B7" s="264"/>
      <c r="C7" s="264"/>
      <c r="D7" s="264"/>
      <c r="E7" s="264"/>
      <c r="F7" s="264"/>
      <c r="G7" s="264"/>
      <c r="H7" s="265"/>
      <c r="J7" s="201">
        <v>10</v>
      </c>
      <c r="K7" s="2" t="s">
        <v>144</v>
      </c>
      <c r="L7" s="193">
        <v>81189481215099</v>
      </c>
      <c r="M7" s="193">
        <v>52604763167190</v>
      </c>
      <c r="N7" s="194">
        <v>66712547798751</v>
      </c>
    </row>
    <row r="8" spans="1:15">
      <c r="A8" s="266" t="s">
        <v>506</v>
      </c>
      <c r="B8" s="267"/>
      <c r="C8" s="267"/>
      <c r="D8" s="267"/>
      <c r="E8" s="267"/>
      <c r="F8" s="267"/>
      <c r="G8" s="267"/>
      <c r="H8" s="268"/>
      <c r="J8" s="202">
        <v>11</v>
      </c>
      <c r="K8" s="2" t="s">
        <v>146</v>
      </c>
      <c r="L8" s="193">
        <v>77388423409761</v>
      </c>
      <c r="M8" s="193">
        <v>50476627454498</v>
      </c>
      <c r="N8" s="194">
        <v>63473799048283</v>
      </c>
    </row>
    <row r="9" spans="1:15">
      <c r="A9" s="263"/>
      <c r="B9" s="264"/>
      <c r="C9" s="264"/>
      <c r="D9" s="264"/>
      <c r="E9" s="264"/>
      <c r="F9" s="264"/>
      <c r="G9" s="264"/>
      <c r="H9" s="265"/>
      <c r="J9" s="201">
        <v>20</v>
      </c>
      <c r="K9" s="2" t="s">
        <v>148</v>
      </c>
      <c r="L9" s="193">
        <v>3801057805338</v>
      </c>
      <c r="M9" s="193">
        <v>2128135712692</v>
      </c>
      <c r="N9" s="194">
        <v>3238748750468</v>
      </c>
    </row>
    <row r="10" spans="1:15" ht="15" thickBot="1">
      <c r="A10" s="263"/>
      <c r="B10" s="238" t="s">
        <v>289</v>
      </c>
      <c r="C10" s="287">
        <v>2023</v>
      </c>
      <c r="D10" s="288">
        <v>2024</v>
      </c>
      <c r="E10" s="264"/>
      <c r="F10" s="264"/>
      <c r="G10" s="264"/>
      <c r="H10" s="265"/>
      <c r="J10" s="202">
        <v>21</v>
      </c>
      <c r="K10" t="s">
        <v>150</v>
      </c>
      <c r="L10" s="76">
        <v>425167604879</v>
      </c>
      <c r="M10" s="76">
        <v>800850256543</v>
      </c>
      <c r="N10" s="195">
        <v>652938094707</v>
      </c>
    </row>
    <row r="11" spans="1:15">
      <c r="A11" s="263"/>
      <c r="B11" s="239" t="s">
        <v>507</v>
      </c>
      <c r="C11" s="269">
        <v>500</v>
      </c>
      <c r="D11" s="240">
        <v>500</v>
      </c>
      <c r="E11" s="505" t="s">
        <v>508</v>
      </c>
      <c r="F11" s="505"/>
      <c r="G11" s="264"/>
      <c r="H11" s="265"/>
      <c r="J11" s="202">
        <v>22</v>
      </c>
      <c r="K11" t="s">
        <v>152</v>
      </c>
      <c r="L11" s="76">
        <v>419889233636</v>
      </c>
      <c r="M11" s="76">
        <v>300217604297</v>
      </c>
      <c r="N11" s="195">
        <v>251550025718</v>
      </c>
    </row>
    <row r="12" spans="1:15">
      <c r="A12" s="263"/>
      <c r="B12" s="241" t="s">
        <v>509</v>
      </c>
      <c r="C12" s="242">
        <v>615982309</v>
      </c>
      <c r="D12" s="243">
        <v>620982309</v>
      </c>
      <c r="E12" s="505"/>
      <c r="F12" s="505"/>
      <c r="G12" s="264"/>
      <c r="H12" s="265"/>
      <c r="J12" s="202">
        <v>25</v>
      </c>
      <c r="K12" t="s">
        <v>154</v>
      </c>
      <c r="L12" s="76">
        <v>3469159524662</v>
      </c>
      <c r="M12" s="76">
        <v>2121829595199</v>
      </c>
      <c r="N12" s="195">
        <v>2858708812560</v>
      </c>
    </row>
    <row r="13" spans="1:15">
      <c r="A13" s="263"/>
      <c r="B13" s="239" t="s">
        <v>510</v>
      </c>
      <c r="C13" s="270">
        <f>C11*C12</f>
        <v>307991154500</v>
      </c>
      <c r="D13" s="244">
        <f>D11*D12</f>
        <v>310491154500</v>
      </c>
      <c r="E13" s="264"/>
      <c r="F13" s="264"/>
      <c r="G13" s="264"/>
      <c r="H13" s="265"/>
      <c r="J13" s="202">
        <v>26</v>
      </c>
      <c r="K13" t="s">
        <v>156</v>
      </c>
      <c r="L13" s="76">
        <v>323017357209</v>
      </c>
      <c r="M13" s="76">
        <v>242553285595</v>
      </c>
      <c r="N13" s="195">
        <v>308367699972</v>
      </c>
    </row>
    <row r="14" spans="1:15">
      <c r="A14" s="263"/>
      <c r="B14" s="241" t="s">
        <v>411</v>
      </c>
      <c r="C14" s="245">
        <f>D4</f>
        <v>248288982544</v>
      </c>
      <c r="D14" s="246">
        <f>E4</f>
        <v>528922307162</v>
      </c>
      <c r="E14" s="264"/>
      <c r="F14" s="264"/>
      <c r="G14" s="264"/>
      <c r="H14" s="265"/>
      <c r="J14" s="202">
        <v>30</v>
      </c>
      <c r="K14" s="2" t="s">
        <v>158</v>
      </c>
      <c r="L14" s="193">
        <v>14159294710</v>
      </c>
      <c r="M14" s="193">
        <v>264385484144</v>
      </c>
      <c r="N14" s="194">
        <v>473060306925</v>
      </c>
    </row>
    <row r="15" spans="1:15" ht="15" thickBot="1">
      <c r="A15" s="263"/>
      <c r="B15" s="289" t="s">
        <v>511</v>
      </c>
      <c r="C15" s="290">
        <f>C13/C14</f>
        <v>1.2404543743515482</v>
      </c>
      <c r="D15" s="291">
        <f>D13/D14</f>
        <v>0.58702601553332068</v>
      </c>
      <c r="E15" s="264"/>
      <c r="F15" s="264"/>
      <c r="G15" s="264"/>
      <c r="H15" s="265"/>
      <c r="J15" s="202"/>
      <c r="L15" s="76"/>
      <c r="M15" s="76"/>
      <c r="N15" s="195"/>
    </row>
    <row r="16" spans="1:15">
      <c r="A16" s="263"/>
      <c r="B16" s="247" t="s">
        <v>289</v>
      </c>
      <c r="C16" s="271" t="s">
        <v>289</v>
      </c>
      <c r="D16" s="248" t="s">
        <v>289</v>
      </c>
      <c r="E16" s="264"/>
      <c r="F16" s="264"/>
      <c r="G16" s="264"/>
      <c r="H16" s="265"/>
      <c r="J16" s="202">
        <v>31</v>
      </c>
      <c r="K16" t="s">
        <v>160</v>
      </c>
      <c r="L16" s="76">
        <v>37281371157</v>
      </c>
      <c r="M16" s="76">
        <v>45338320487</v>
      </c>
      <c r="N16" s="195">
        <v>34684261898</v>
      </c>
    </row>
    <row r="17" spans="1:14" ht="15" thickBot="1">
      <c r="A17" s="263"/>
      <c r="B17" s="289" t="s">
        <v>512</v>
      </c>
      <c r="C17" s="290">
        <f>1-C15</f>
        <v>-0.24045437435154815</v>
      </c>
      <c r="D17" s="291">
        <f>1-D15</f>
        <v>0.41297398446667932</v>
      </c>
      <c r="E17" s="264"/>
      <c r="F17" s="264"/>
      <c r="G17" s="264"/>
      <c r="H17" s="265"/>
      <c r="J17" s="202">
        <v>32</v>
      </c>
      <c r="K17" t="s">
        <v>162</v>
      </c>
      <c r="L17" s="76">
        <v>2028544004</v>
      </c>
      <c r="M17" s="76">
        <v>631991708</v>
      </c>
      <c r="N17" s="195">
        <v>5192249642</v>
      </c>
    </row>
    <row r="18" spans="1:14">
      <c r="A18" s="263"/>
      <c r="B18" s="264"/>
      <c r="C18" s="264"/>
      <c r="D18" s="264"/>
      <c r="E18" s="264"/>
      <c r="F18" s="264"/>
      <c r="G18" s="264"/>
      <c r="H18" s="265"/>
      <c r="J18" s="201">
        <v>40</v>
      </c>
      <c r="K18" s="2" t="s">
        <v>164</v>
      </c>
      <c r="L18" s="193">
        <v>35252827153</v>
      </c>
      <c r="M18" s="193">
        <v>44706328779</v>
      </c>
      <c r="N18" s="194">
        <v>29492012256</v>
      </c>
    </row>
    <row r="19" spans="1:14" ht="15" thickBot="1">
      <c r="A19" s="263"/>
      <c r="B19" s="238" t="s">
        <v>289</v>
      </c>
      <c r="C19" s="287">
        <v>2022</v>
      </c>
      <c r="D19" s="287">
        <v>2023</v>
      </c>
      <c r="E19" s="288">
        <v>2024</v>
      </c>
      <c r="F19" s="264"/>
      <c r="G19" s="264"/>
      <c r="H19" s="265"/>
      <c r="J19" s="201">
        <v>50</v>
      </c>
      <c r="K19" s="2" t="s">
        <v>166</v>
      </c>
      <c r="L19" s="193">
        <v>49412121863</v>
      </c>
      <c r="M19" s="193">
        <v>309091812923</v>
      </c>
      <c r="N19" s="194">
        <v>502552319181</v>
      </c>
    </row>
    <row r="20" spans="1:14">
      <c r="A20" s="263"/>
      <c r="B20" s="239" t="s">
        <v>289</v>
      </c>
      <c r="C20" s="272" t="s">
        <v>289</v>
      </c>
      <c r="D20" s="272" t="s">
        <v>289</v>
      </c>
      <c r="E20" s="249" t="s">
        <v>289</v>
      </c>
      <c r="F20" s="264"/>
      <c r="G20" s="264"/>
      <c r="H20" s="265"/>
      <c r="J20" s="201">
        <v>51</v>
      </c>
      <c r="K20" s="2" t="s">
        <v>168</v>
      </c>
      <c r="L20" s="193">
        <v>23681645484</v>
      </c>
      <c r="M20" s="193">
        <v>1536979754</v>
      </c>
      <c r="N20" s="194">
        <v>99693200</v>
      </c>
    </row>
    <row r="21" spans="1:14" ht="15" thickBot="1">
      <c r="A21" s="263"/>
      <c r="B21" s="289" t="s">
        <v>411</v>
      </c>
      <c r="C21" s="292">
        <f>C4</f>
        <v>48170557444</v>
      </c>
      <c r="D21" s="292">
        <f>D4</f>
        <v>248288982544</v>
      </c>
      <c r="E21" s="293">
        <f>E4</f>
        <v>528922307162</v>
      </c>
      <c r="F21" s="264"/>
      <c r="G21" s="264"/>
      <c r="H21" s="265"/>
      <c r="J21" s="201">
        <v>52</v>
      </c>
      <c r="K21" s="2" t="s">
        <v>170</v>
      </c>
      <c r="L21" s="193">
        <v>-22440081065</v>
      </c>
      <c r="M21" s="193">
        <v>59265850625</v>
      </c>
      <c r="N21" s="194">
        <v>26469681181</v>
      </c>
    </row>
    <row r="22" spans="1:14">
      <c r="A22" s="263"/>
      <c r="B22" s="247" t="s">
        <v>289</v>
      </c>
      <c r="C22" s="272" t="s">
        <v>289</v>
      </c>
      <c r="D22" s="272" t="s">
        <v>289</v>
      </c>
      <c r="E22" s="249" t="s">
        <v>289</v>
      </c>
      <c r="F22" s="264"/>
      <c r="G22" s="264"/>
      <c r="H22" s="265"/>
      <c r="J22" s="203">
        <v>60</v>
      </c>
      <c r="K22" s="196" t="s">
        <v>172</v>
      </c>
      <c r="L22" s="197">
        <v>48170557444</v>
      </c>
      <c r="M22" s="197">
        <v>248288982544</v>
      </c>
      <c r="N22" s="198">
        <v>528922307162</v>
      </c>
    </row>
    <row r="23" spans="1:14">
      <c r="A23" s="263"/>
      <c r="B23" s="250" t="s">
        <v>115</v>
      </c>
      <c r="C23" s="273">
        <f>L25</f>
        <v>11167127927226</v>
      </c>
      <c r="D23" s="273">
        <f>M25</f>
        <v>11281950970475</v>
      </c>
      <c r="E23" s="251">
        <f>N25</f>
        <v>11432969984383</v>
      </c>
      <c r="F23" s="264"/>
      <c r="G23" s="264"/>
      <c r="H23" s="265"/>
    </row>
    <row r="24" spans="1:14" ht="29.45" thickBot="1">
      <c r="A24" s="263"/>
      <c r="B24" s="294" t="s">
        <v>413</v>
      </c>
      <c r="C24" s="295" t="s">
        <v>513</v>
      </c>
      <c r="D24" s="296">
        <f>(C23+D23)/2</f>
        <v>11224539448850.5</v>
      </c>
      <c r="E24" s="297">
        <f>(D23+E23)/2</f>
        <v>11357460477429</v>
      </c>
      <c r="F24" s="264"/>
      <c r="G24" s="264"/>
      <c r="H24" s="265"/>
      <c r="J24" s="207" t="s">
        <v>514</v>
      </c>
    </row>
    <row r="25" spans="1:14">
      <c r="A25" s="263"/>
      <c r="B25" s="252" t="s">
        <v>289</v>
      </c>
      <c r="C25" s="282" t="s">
        <v>289</v>
      </c>
      <c r="D25" s="271" t="s">
        <v>289</v>
      </c>
      <c r="E25" s="248" t="s">
        <v>289</v>
      </c>
      <c r="F25" s="264"/>
      <c r="G25" s="264"/>
      <c r="H25" s="265"/>
      <c r="J25" s="204">
        <v>400</v>
      </c>
      <c r="K25" s="208" t="s">
        <v>115</v>
      </c>
      <c r="L25" s="209">
        <v>11167127927226</v>
      </c>
      <c r="M25" s="209">
        <v>11281950970475</v>
      </c>
      <c r="N25" s="210">
        <v>11432969984383</v>
      </c>
    </row>
    <row r="26" spans="1:14" ht="15" thickBot="1">
      <c r="A26" s="263"/>
      <c r="B26" s="298" t="s">
        <v>414</v>
      </c>
      <c r="C26" s="299" t="s">
        <v>513</v>
      </c>
      <c r="D26" s="290">
        <f>D21/D24</f>
        <v>2.2120193320664675E-2</v>
      </c>
      <c r="E26" s="291">
        <f>E21/E24</f>
        <v>4.6570473057171727E-2</v>
      </c>
      <c r="F26" s="264"/>
      <c r="G26" s="264"/>
      <c r="H26" s="265"/>
      <c r="J26" s="201">
        <v>410</v>
      </c>
      <c r="K26" s="2" t="s">
        <v>117</v>
      </c>
      <c r="L26" s="193">
        <v>11167127927226</v>
      </c>
      <c r="M26" s="193">
        <v>11281950970475</v>
      </c>
      <c r="N26" s="194">
        <v>11432969984383</v>
      </c>
    </row>
    <row r="27" spans="1:14">
      <c r="A27" s="263"/>
      <c r="B27" s="274"/>
      <c r="C27" s="275"/>
      <c r="D27" s="264"/>
      <c r="E27" s="264"/>
      <c r="F27" s="264"/>
      <c r="G27" s="264"/>
      <c r="H27" s="265"/>
      <c r="J27" s="202">
        <v>411</v>
      </c>
      <c r="K27" t="s">
        <v>119</v>
      </c>
      <c r="L27" s="76">
        <v>5980549860000</v>
      </c>
      <c r="M27" s="76">
        <v>6159823090000</v>
      </c>
      <c r="N27" s="195">
        <v>6159823090000</v>
      </c>
    </row>
    <row r="28" spans="1:14">
      <c r="A28" s="263"/>
      <c r="B28" s="264"/>
      <c r="C28" s="264"/>
      <c r="D28" s="264"/>
      <c r="E28" s="264"/>
      <c r="F28" s="264"/>
      <c r="G28" s="264"/>
      <c r="H28" s="265"/>
      <c r="J28" s="213" t="s">
        <v>120</v>
      </c>
      <c r="K28" s="8" t="s">
        <v>122</v>
      </c>
      <c r="L28" s="211">
        <v>5980549860000</v>
      </c>
      <c r="M28" s="211">
        <v>6159823090000</v>
      </c>
      <c r="N28" s="212">
        <v>6159823090000</v>
      </c>
    </row>
    <row r="29" spans="1:14" ht="15" thickBot="1">
      <c r="A29" s="263"/>
      <c r="B29" s="238" t="s">
        <v>289</v>
      </c>
      <c r="C29" s="287">
        <v>2023</v>
      </c>
      <c r="D29" s="288">
        <v>2024</v>
      </c>
      <c r="E29" s="264"/>
      <c r="F29" s="264"/>
      <c r="G29" s="264"/>
      <c r="H29" s="265"/>
      <c r="J29" s="202">
        <v>412</v>
      </c>
      <c r="K29" s="8" t="s">
        <v>124</v>
      </c>
      <c r="L29" s="76">
        <v>157292539068</v>
      </c>
      <c r="M29" s="76">
        <v>157292539068</v>
      </c>
      <c r="N29" s="195">
        <v>157292539068</v>
      </c>
    </row>
    <row r="30" spans="1:14">
      <c r="A30" s="263"/>
      <c r="B30" s="239" t="s">
        <v>512</v>
      </c>
      <c r="C30" s="276">
        <f>C17</f>
        <v>-0.24045437435154815</v>
      </c>
      <c r="D30" s="253">
        <f>D17</f>
        <v>0.41297398446667932</v>
      </c>
      <c r="E30" s="264"/>
      <c r="F30" s="264"/>
      <c r="G30" s="264"/>
      <c r="H30" s="265"/>
      <c r="J30" s="202">
        <v>420</v>
      </c>
      <c r="K30" t="s">
        <v>126</v>
      </c>
      <c r="L30" s="76">
        <v>187499009876</v>
      </c>
      <c r="M30" s="76">
        <v>77910496944</v>
      </c>
      <c r="N30" s="195">
        <v>50993213769</v>
      </c>
    </row>
    <row r="31" spans="1:14">
      <c r="A31" s="263"/>
      <c r="B31" s="254" t="s">
        <v>414</v>
      </c>
      <c r="C31" s="255">
        <f>D26</f>
        <v>2.2120193320664675E-2</v>
      </c>
      <c r="D31" s="256">
        <f>E26</f>
        <v>4.6570473057171727E-2</v>
      </c>
      <c r="E31" s="264"/>
      <c r="F31" s="264"/>
      <c r="G31" s="264"/>
      <c r="H31" s="265"/>
      <c r="J31" s="202">
        <v>421</v>
      </c>
      <c r="K31" t="s">
        <v>128</v>
      </c>
      <c r="L31" s="76">
        <v>4841786518282</v>
      </c>
      <c r="M31" s="76">
        <v>4886924844463</v>
      </c>
      <c r="N31" s="195">
        <v>5064861141546</v>
      </c>
    </row>
    <row r="32" spans="1:14" ht="15" thickBot="1">
      <c r="A32" s="263"/>
      <c r="B32" s="289" t="s">
        <v>515</v>
      </c>
      <c r="C32" s="290">
        <f>C30*C31</f>
        <v>-5.3188972454557186E-3</v>
      </c>
      <c r="D32" s="291">
        <f>D30*D31</f>
        <v>1.9232393816918346E-2</v>
      </c>
      <c r="E32" s="264"/>
      <c r="F32" s="264"/>
      <c r="G32" s="264"/>
      <c r="H32" s="265"/>
      <c r="J32" s="213" t="s">
        <v>129</v>
      </c>
      <c r="K32" t="s">
        <v>131</v>
      </c>
      <c r="L32" s="211">
        <v>4793615960838</v>
      </c>
      <c r="M32" s="211">
        <v>4638635861919</v>
      </c>
      <c r="N32" s="212">
        <v>4576082907573</v>
      </c>
    </row>
    <row r="33" spans="1:14">
      <c r="A33" s="263"/>
      <c r="B33" s="264"/>
      <c r="C33" s="264"/>
      <c r="D33" s="264"/>
      <c r="E33" s="264"/>
      <c r="F33" s="264"/>
      <c r="G33" s="264"/>
      <c r="H33" s="265"/>
      <c r="J33" s="213" t="s">
        <v>132</v>
      </c>
      <c r="K33" t="s">
        <v>134</v>
      </c>
      <c r="L33" s="211">
        <v>48170557444</v>
      </c>
      <c r="M33" s="211">
        <v>248288982544</v>
      </c>
      <c r="N33" s="212">
        <v>488778233973</v>
      </c>
    </row>
    <row r="34" spans="1:14">
      <c r="A34" s="263"/>
      <c r="B34" s="264"/>
      <c r="C34" s="264"/>
      <c r="D34" s="264"/>
      <c r="E34" s="264"/>
      <c r="F34" s="264"/>
      <c r="G34" s="264"/>
      <c r="H34" s="265"/>
      <c r="J34" s="203">
        <v>440</v>
      </c>
      <c r="K34" s="196" t="s">
        <v>136</v>
      </c>
      <c r="L34" s="197">
        <v>17377161315995</v>
      </c>
      <c r="M34" s="197">
        <v>18111796269189</v>
      </c>
      <c r="N34" s="198">
        <v>20311783916069</v>
      </c>
    </row>
    <row r="35" spans="1:14">
      <c r="A35" s="266" t="s">
        <v>516</v>
      </c>
      <c r="B35" s="267"/>
      <c r="C35" s="267"/>
      <c r="D35" s="267"/>
      <c r="E35" s="267"/>
      <c r="F35" s="267"/>
      <c r="G35" s="267"/>
      <c r="H35" s="268"/>
    </row>
    <row r="36" spans="1:14">
      <c r="A36" s="263"/>
      <c r="B36" s="264"/>
      <c r="C36" s="264"/>
      <c r="D36" s="264"/>
      <c r="E36" s="264"/>
      <c r="F36" s="264"/>
      <c r="G36" s="264"/>
      <c r="H36" s="265"/>
    </row>
    <row r="37" spans="1:14" ht="15" thickBot="1">
      <c r="A37" s="263"/>
      <c r="B37" s="238" t="s">
        <v>289</v>
      </c>
      <c r="C37" s="300" t="s">
        <v>517</v>
      </c>
      <c r="D37" s="301" t="s">
        <v>518</v>
      </c>
      <c r="E37" s="264"/>
      <c r="F37" s="264"/>
      <c r="G37" s="264"/>
      <c r="H37" s="265"/>
    </row>
    <row r="38" spans="1:14">
      <c r="A38" s="263"/>
      <c r="B38" s="257" t="s">
        <v>519</v>
      </c>
      <c r="C38" s="277" t="s">
        <v>520</v>
      </c>
      <c r="D38" s="283">
        <v>0.03</v>
      </c>
      <c r="E38" s="264"/>
      <c r="F38" s="264"/>
      <c r="G38" s="264"/>
      <c r="H38" s="265"/>
    </row>
    <row r="39" spans="1:14">
      <c r="A39" s="263"/>
      <c r="B39" s="257" t="s">
        <v>521</v>
      </c>
      <c r="C39" s="277" t="s">
        <v>18</v>
      </c>
      <c r="D39" s="283">
        <v>0.05</v>
      </c>
      <c r="E39" s="264"/>
      <c r="F39" s="264"/>
      <c r="G39" s="264"/>
      <c r="H39" s="265"/>
    </row>
    <row r="40" spans="1:14">
      <c r="A40" s="263"/>
      <c r="B40" s="258" t="s">
        <v>522</v>
      </c>
      <c r="C40" s="259" t="s">
        <v>18</v>
      </c>
      <c r="D40" s="284">
        <v>0.05</v>
      </c>
      <c r="E40" s="264"/>
      <c r="F40" s="264"/>
      <c r="G40" s="264"/>
      <c r="H40" s="265"/>
    </row>
    <row r="41" spans="1:14">
      <c r="A41" s="263"/>
      <c r="B41" s="278" t="s">
        <v>508</v>
      </c>
      <c r="C41" s="264"/>
      <c r="D41" s="264"/>
      <c r="E41" s="264"/>
      <c r="F41" s="264"/>
      <c r="G41" s="264"/>
      <c r="H41" s="265"/>
    </row>
    <row r="42" spans="1:14">
      <c r="A42" s="279"/>
      <c r="B42" s="280"/>
      <c r="C42" s="280"/>
      <c r="D42" s="280"/>
      <c r="E42" s="280"/>
      <c r="F42" s="280"/>
      <c r="G42" s="280"/>
      <c r="H42" s="281"/>
    </row>
    <row r="43" spans="1:14">
      <c r="A43" s="214"/>
      <c r="F43" s="214"/>
    </row>
    <row r="45" spans="1:14">
      <c r="A45" s="215"/>
      <c r="B45" s="216"/>
      <c r="C45" s="216"/>
      <c r="D45" s="216"/>
      <c r="F45" s="215"/>
      <c r="G45" s="217"/>
      <c r="H45" s="217"/>
    </row>
    <row r="46" spans="1:14">
      <c r="A46" s="218"/>
      <c r="B46" s="219"/>
      <c r="C46" s="220"/>
      <c r="D46" s="219"/>
      <c r="F46" s="215"/>
      <c r="G46" s="217"/>
      <c r="H46" s="217"/>
    </row>
    <row r="47" spans="1:14">
      <c r="A47" s="218"/>
      <c r="B47" s="221"/>
      <c r="C47" s="222"/>
      <c r="D47" s="221"/>
      <c r="F47" s="215"/>
      <c r="G47" s="223"/>
      <c r="H47" s="223"/>
    </row>
    <row r="48" spans="1:14">
      <c r="A48" s="218"/>
      <c r="B48" s="221"/>
      <c r="C48" s="222"/>
      <c r="D48" s="221"/>
      <c r="F48" s="217"/>
      <c r="G48" s="224"/>
      <c r="H48" s="224"/>
    </row>
    <row r="49" spans="1:8">
      <c r="F49" s="215"/>
      <c r="G49" s="225"/>
      <c r="H49" s="225"/>
    </row>
    <row r="50" spans="1:8">
      <c r="F50" s="217"/>
      <c r="G50" s="225"/>
      <c r="H50" s="225"/>
    </row>
    <row r="51" spans="1:8">
      <c r="F51" s="217"/>
      <c r="G51" s="226"/>
      <c r="H51" s="226"/>
    </row>
    <row r="52" spans="1:8">
      <c r="F52" s="217"/>
      <c r="G52" s="227"/>
      <c r="H52" s="227"/>
    </row>
    <row r="53" spans="1:8">
      <c r="F53" s="217"/>
      <c r="G53" s="226"/>
      <c r="H53" s="226"/>
    </row>
    <row r="56" spans="1:8">
      <c r="A56" s="214"/>
    </row>
    <row r="58" spans="1:8">
      <c r="A58" s="215"/>
      <c r="B58" s="217"/>
      <c r="C58" s="217"/>
      <c r="D58" s="217"/>
      <c r="F58" s="215"/>
      <c r="G58" s="217"/>
      <c r="H58" s="217"/>
    </row>
    <row r="59" spans="1:8">
      <c r="A59" s="215"/>
      <c r="B59" s="217"/>
      <c r="C59" s="217"/>
      <c r="D59" s="217"/>
      <c r="F59" s="215"/>
      <c r="G59" s="217"/>
      <c r="H59" s="217"/>
    </row>
    <row r="60" spans="1:8">
      <c r="A60" s="217"/>
      <c r="B60" s="225"/>
      <c r="C60" s="225"/>
      <c r="D60" s="225"/>
      <c r="F60" s="215"/>
      <c r="G60" s="226"/>
      <c r="H60" s="226"/>
    </row>
    <row r="61" spans="1:8">
      <c r="A61" s="217"/>
      <c r="B61" s="217"/>
      <c r="C61" s="217"/>
      <c r="D61" s="217"/>
      <c r="F61" s="217"/>
      <c r="G61" s="226"/>
      <c r="H61" s="226"/>
    </row>
    <row r="62" spans="1:8">
      <c r="A62" s="223"/>
      <c r="B62" s="224"/>
      <c r="C62" s="224"/>
      <c r="D62" s="224"/>
      <c r="F62" s="217"/>
      <c r="G62" s="226"/>
      <c r="H62" s="226"/>
    </row>
    <row r="63" spans="1:8">
      <c r="A63" s="217"/>
      <c r="B63" s="225"/>
      <c r="C63" s="225"/>
      <c r="D63" s="225"/>
    </row>
    <row r="64" spans="1:8">
      <c r="A64" s="227"/>
      <c r="B64" s="227"/>
      <c r="C64" s="227"/>
      <c r="D64" s="227"/>
    </row>
    <row r="65" spans="1:4">
      <c r="A65" s="215"/>
      <c r="B65" s="226"/>
      <c r="C65" s="226"/>
      <c r="D65" s="226"/>
    </row>
    <row r="67" spans="1:4">
      <c r="A67" s="228"/>
      <c r="B67" s="229"/>
    </row>
  </sheetData>
  <mergeCells count="1">
    <mergeCell ref="E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BE8FA-3C33-DB49-BAD7-BB9647A187D1}">
  <dimension ref="A1:U41"/>
  <sheetViews>
    <sheetView topLeftCell="E1" zoomScale="77" zoomScaleNormal="150" zoomScaleSheetLayoutView="100" workbookViewId="0">
      <selection activeCell="U20" sqref="U20"/>
    </sheetView>
  </sheetViews>
  <sheetFormatPr defaultColWidth="8.85546875" defaultRowHeight="14.45"/>
  <cols>
    <col min="1" max="1" width="30.42578125" bestFit="1" customWidth="1"/>
    <col min="2" max="2" width="17.42578125" customWidth="1"/>
    <col min="3" max="3" width="17.85546875" customWidth="1"/>
    <col min="4" max="4" width="18.42578125" customWidth="1"/>
    <col min="5" max="5" width="32.85546875" bestFit="1" customWidth="1"/>
    <col min="6" max="6" width="5" bestFit="1" customWidth="1"/>
    <col min="7" max="7" width="37.42578125" bestFit="1" customWidth="1"/>
    <col min="8" max="10" width="9.42578125" customWidth="1"/>
    <col min="11" max="11" width="8.85546875" bestFit="1" customWidth="1"/>
    <col min="12" max="12" width="12.42578125" customWidth="1"/>
    <col min="13" max="13" width="8" bestFit="1" customWidth="1"/>
    <col min="14" max="14" width="6.5703125" style="13" customWidth="1"/>
    <col min="15" max="15" width="30.42578125" bestFit="1" customWidth="1"/>
    <col min="16" max="16" width="14.5703125" customWidth="1"/>
    <col min="18" max="18" width="19.5703125" customWidth="1"/>
    <col min="19" max="21" width="17.5703125" bestFit="1" customWidth="1"/>
  </cols>
  <sheetData>
    <row r="1" spans="1:21">
      <c r="A1" s="66"/>
      <c r="B1" s="66">
        <v>2022</v>
      </c>
      <c r="C1" s="66">
        <v>2023</v>
      </c>
      <c r="D1" s="66">
        <v>2024</v>
      </c>
      <c r="F1" s="119"/>
      <c r="G1" s="119"/>
      <c r="H1" s="119">
        <v>0</v>
      </c>
      <c r="I1" s="119">
        <v>1</v>
      </c>
      <c r="J1" s="119" t="s">
        <v>523</v>
      </c>
    </row>
    <row r="2" spans="1:21">
      <c r="A2" s="66" t="s">
        <v>524</v>
      </c>
      <c r="B2" s="113">
        <f>'Income Statement'!E20</f>
        <v>48170557444</v>
      </c>
      <c r="C2" s="114">
        <f>'Income Statement'!F20</f>
        <v>248288982544</v>
      </c>
      <c r="D2" s="113">
        <f>'Income Statement'!G20</f>
        <v>528922307162</v>
      </c>
      <c r="E2" s="5"/>
      <c r="F2" s="119"/>
      <c r="G2" s="119"/>
      <c r="H2" s="119">
        <v>2023</v>
      </c>
      <c r="I2" s="119">
        <v>2024</v>
      </c>
      <c r="J2" s="119" t="s">
        <v>525</v>
      </c>
      <c r="L2" s="66" t="s">
        <v>526</v>
      </c>
      <c r="M2" s="115">
        <f>SUM(M3:M5)</f>
        <v>1.3538666759798184E-2</v>
      </c>
      <c r="N2" s="121" t="s">
        <v>527</v>
      </c>
      <c r="O2" s="65"/>
      <c r="P2" s="65" t="s">
        <v>528</v>
      </c>
      <c r="S2" s="169">
        <v>2022</v>
      </c>
      <c r="T2" s="169">
        <v>2023</v>
      </c>
      <c r="U2" s="169">
        <v>2024</v>
      </c>
    </row>
    <row r="3" spans="1:21" ht="28.5">
      <c r="A3" s="66" t="s">
        <v>529</v>
      </c>
      <c r="B3" s="113">
        <f>'Balance Sheet'!D42</f>
        <v>17377161315995</v>
      </c>
      <c r="C3" s="113">
        <f>'Balance Sheet'!E42</f>
        <v>18111796269189</v>
      </c>
      <c r="D3" s="113">
        <f>'Balance Sheet'!F42</f>
        <v>20311783916069</v>
      </c>
      <c r="E3" s="5"/>
      <c r="F3" s="119"/>
      <c r="G3" s="119" t="s">
        <v>480</v>
      </c>
      <c r="H3" s="120">
        <f>C2/((C3+B3)/2)</f>
        <v>1.3992464103688195E-2</v>
      </c>
      <c r="I3" s="120">
        <f>D2/((D3+C3)/2)</f>
        <v>2.7531130863486374E-2</v>
      </c>
      <c r="J3" s="120">
        <f t="shared" ref="J3:J12" si="0">I3-H3</f>
        <v>1.3538666759798179E-2</v>
      </c>
      <c r="L3" s="66" t="s">
        <v>530</v>
      </c>
      <c r="M3" s="115">
        <f>J5*H6*H7</f>
        <v>9.5117740560558377E-3</v>
      </c>
      <c r="N3" s="121" t="s">
        <v>527</v>
      </c>
      <c r="O3" s="66" t="s">
        <v>531</v>
      </c>
      <c r="P3" s="65">
        <f>ROUND(M3/M2*100,2)</f>
        <v>70.260000000000005</v>
      </c>
      <c r="R3" s="170" t="s">
        <v>532</v>
      </c>
      <c r="S3" s="170">
        <f>ROUND(B11/B5*100,2)</f>
        <v>1.26</v>
      </c>
      <c r="T3" s="170">
        <f>ROUND(C11/C5*100,2)</f>
        <v>1.44</v>
      </c>
      <c r="U3" s="170">
        <f>ROUND(D11/D5*100,2)</f>
        <v>1.48</v>
      </c>
    </row>
    <row r="4" spans="1:21">
      <c r="A4" s="66" t="s">
        <v>533</v>
      </c>
      <c r="B4" s="113">
        <f>'Balance Sheet'!D53+'Balance Sheet'!D57</f>
        <v>11181361626413</v>
      </c>
      <c r="C4" s="113">
        <f>'Balance Sheet'!E53+'Balance Sheet'!E57</f>
        <v>11296186786642</v>
      </c>
      <c r="D4" s="113">
        <f>'Balance Sheet'!F53+'Balance Sheet'!F57</f>
        <v>11446930495508</v>
      </c>
      <c r="E4" s="5"/>
      <c r="F4" s="119"/>
      <c r="G4" s="119" t="s">
        <v>534</v>
      </c>
      <c r="H4" s="120">
        <f>C2/((C4+B4)/2)</f>
        <v>2.2092176422566914E-2</v>
      </c>
      <c r="I4" s="120">
        <f>D2/((D4+C4)/2)</f>
        <v>4.6512736191808339E-2</v>
      </c>
      <c r="J4" s="120">
        <f t="shared" si="0"/>
        <v>2.4420559769241425E-2</v>
      </c>
      <c r="L4" s="66" t="s">
        <v>535</v>
      </c>
      <c r="M4" s="115">
        <f>I5*J6*H7</f>
        <v>3.5831983399060643E-3</v>
      </c>
      <c r="N4" s="121" t="s">
        <v>527</v>
      </c>
      <c r="O4" s="66" t="s">
        <v>536</v>
      </c>
      <c r="P4" s="65">
        <f>ROUND(M4/M2*100,2)</f>
        <v>26.47</v>
      </c>
      <c r="R4" s="170" t="s">
        <v>537</v>
      </c>
      <c r="S4" s="493">
        <f>B5/B12</f>
        <v>14298957593.360163</v>
      </c>
      <c r="T4" s="493">
        <f>C5/C12</f>
        <v>10126037183.289701</v>
      </c>
      <c r="U4" s="493">
        <f>D5/D12</f>
        <v>12601539062.854362</v>
      </c>
    </row>
    <row r="5" spans="1:21">
      <c r="A5" s="66" t="s">
        <v>538</v>
      </c>
      <c r="B5" s="113">
        <f>'Income Statement'!E5</f>
        <v>81189481215099</v>
      </c>
      <c r="C5" s="113">
        <f>'Income Statement'!F5</f>
        <v>52604763167190</v>
      </c>
      <c r="D5" s="113">
        <f>'Income Statement'!G5</f>
        <v>66712547798751</v>
      </c>
      <c r="E5" s="5"/>
      <c r="F5" s="119">
        <v>1</v>
      </c>
      <c r="G5" s="119" t="s">
        <v>531</v>
      </c>
      <c r="H5" s="120">
        <f>C2/C5</f>
        <v>4.7198954542363525E-3</v>
      </c>
      <c r="I5" s="120">
        <f>D2/D5</f>
        <v>7.9283781629443714E-3</v>
      </c>
      <c r="J5" s="120">
        <f t="shared" si="0"/>
        <v>3.2084827087080188E-3</v>
      </c>
      <c r="L5" s="66" t="s">
        <v>539</v>
      </c>
      <c r="M5" s="115">
        <f>I5*I6*J7</f>
        <v>4.4369436383628175E-4</v>
      </c>
      <c r="N5" s="121" t="s">
        <v>527</v>
      </c>
      <c r="O5" s="66" t="s">
        <v>540</v>
      </c>
      <c r="P5" s="65">
        <f>ROUND(M5/M2*100,2)</f>
        <v>3.28</v>
      </c>
    </row>
    <row r="6" spans="1:21">
      <c r="A6" s="66" t="s">
        <v>541</v>
      </c>
      <c r="B6" s="113">
        <f>('Balance Sheet'!D3-'Balance Sheet'!D7-'Balance Sheet'!D18) + ('Balance Sheet'!D22-'Balance Sheet'!D35-'Balance Sheet'!D39)</f>
        <v>13288998709765</v>
      </c>
      <c r="C6" s="113">
        <f>('Balance Sheet'!E3-'Balance Sheet'!E7-'Balance Sheet'!E18) + ('Balance Sheet'!E22-'Balance Sheet'!E35-'Balance Sheet'!E39)</f>
        <v>13840549085908</v>
      </c>
      <c r="D6" s="113">
        <f>('Balance Sheet'!F3-'Balance Sheet'!F7-'Balance Sheet'!F18) + ('Balance Sheet'!F22-'Balance Sheet'!F35-'Balance Sheet'!F39)</f>
        <v>16013502913296</v>
      </c>
      <c r="E6" s="5"/>
      <c r="F6" s="119">
        <v>2</v>
      </c>
      <c r="G6" s="119" t="s">
        <v>536</v>
      </c>
      <c r="H6" s="120">
        <f>C5/((C6+B6)/2)</f>
        <v>3.8780420199691013</v>
      </c>
      <c r="I6" s="120">
        <f>D5/((D6+C6)/2)</f>
        <v>4.469245769420497</v>
      </c>
      <c r="J6" s="120">
        <f t="shared" si="0"/>
        <v>0.59120374945139575</v>
      </c>
      <c r="M6" s="116"/>
    </row>
    <row r="7" spans="1:21">
      <c r="A7" s="66" t="s">
        <v>150</v>
      </c>
      <c r="B7" s="113">
        <f>'Income Statement'!E8</f>
        <v>425167604879</v>
      </c>
      <c r="C7" s="113">
        <f>'Income Statement'!F8</f>
        <v>800850256543</v>
      </c>
      <c r="D7" s="113">
        <f>'Income Statement'!G8</f>
        <v>652938094707</v>
      </c>
      <c r="E7" s="5"/>
      <c r="F7" s="119">
        <v>3</v>
      </c>
      <c r="G7" s="119" t="s">
        <v>542</v>
      </c>
      <c r="H7" s="120">
        <f>((C6+B6)/2)/((C3+B3)/2)</f>
        <v>0.7644503992700844</v>
      </c>
      <c r="I7" s="120">
        <f>((C6+D6)/2)/((C3+D3)/2)</f>
        <v>0.77697215759863325</v>
      </c>
      <c r="J7" s="120">
        <f t="shared" si="0"/>
        <v>1.2521758328548849E-2</v>
      </c>
      <c r="L7" s="66" t="s">
        <v>543</v>
      </c>
      <c r="M7" s="115">
        <f>SUM(M8:M10)</f>
        <v>1.3538666759798175E-2</v>
      </c>
      <c r="N7" s="121" t="s">
        <v>527</v>
      </c>
      <c r="O7" s="65"/>
      <c r="P7" s="65" t="s">
        <v>528</v>
      </c>
    </row>
    <row r="8" spans="1:21">
      <c r="A8" s="66" t="s">
        <v>544</v>
      </c>
      <c r="B8" s="113">
        <f>'Balance Sheet'!D35+'Balance Sheet'!D7</f>
        <v>3398850000000</v>
      </c>
      <c r="C8" s="113">
        <f>'Balance Sheet'!E7+'Balance Sheet'!E35</f>
        <v>3610410958904</v>
      </c>
      <c r="D8" s="113">
        <f>'Balance Sheet'!F35+'Balance Sheet'!F7</f>
        <v>3616873825343</v>
      </c>
      <c r="E8" s="3"/>
      <c r="F8" s="119">
        <v>1</v>
      </c>
      <c r="G8" s="119" t="s">
        <v>545</v>
      </c>
      <c r="H8" s="120">
        <f>C2/C7</f>
        <v>0.31003172005685514</v>
      </c>
      <c r="I8" s="120">
        <f>D2/D7</f>
        <v>0.81006501450853319</v>
      </c>
      <c r="J8" s="120">
        <f t="shared" si="0"/>
        <v>0.5000332944516781</v>
      </c>
      <c r="L8" s="66" t="s">
        <v>530</v>
      </c>
      <c r="M8" s="115">
        <f>J8*H9*H10</f>
        <v>2.2567684113035162E-2</v>
      </c>
      <c r="N8" s="121" t="s">
        <v>527</v>
      </c>
      <c r="O8" s="66" t="s">
        <v>545</v>
      </c>
      <c r="P8" s="65">
        <f>ROUND(M8/M7*100,2)</f>
        <v>166.69</v>
      </c>
    </row>
    <row r="9" spans="1:21">
      <c r="A9" s="66" t="s">
        <v>546</v>
      </c>
      <c r="B9" s="113">
        <f>'Balance Sheet'!D22</f>
        <v>5118727087531</v>
      </c>
      <c r="C9" s="113">
        <f>'Balance Sheet'!E22</f>
        <v>4924991584484</v>
      </c>
      <c r="D9" s="113">
        <f>'Balance Sheet'!F22</f>
        <v>4763897298254</v>
      </c>
      <c r="E9" s="3"/>
      <c r="F9" s="119">
        <v>2</v>
      </c>
      <c r="G9" s="119" t="s">
        <v>547</v>
      </c>
      <c r="H9" s="120">
        <f>C7/((C8+B8)/2)</f>
        <v>0.22851203892634769</v>
      </c>
      <c r="I9" s="120">
        <f>D7/((D8+C8)/2)</f>
        <v>0.18068697005829379</v>
      </c>
      <c r="J9" s="120">
        <f t="shared" si="0"/>
        <v>-4.7825068868053905E-2</v>
      </c>
      <c r="L9" s="66" t="s">
        <v>535</v>
      </c>
      <c r="M9" s="115">
        <f>I8*J9*H10</f>
        <v>-7.6516389005421882E-3</v>
      </c>
      <c r="N9" s="121" t="s">
        <v>33</v>
      </c>
      <c r="O9" s="66" t="s">
        <v>547</v>
      </c>
      <c r="P9" s="65">
        <f>ROUND(M9/M7*100,2)</f>
        <v>-56.52</v>
      </c>
    </row>
    <row r="10" spans="1:21">
      <c r="A10" s="66" t="s">
        <v>548</v>
      </c>
      <c r="B10" s="113">
        <f>'Balance Sheet'!D57</f>
        <v>11167127927226</v>
      </c>
      <c r="C10" s="113">
        <f>'Balance Sheet'!E57</f>
        <v>11281950970475</v>
      </c>
      <c r="D10" s="113">
        <f>'Balance Sheet'!F57</f>
        <v>11432969984383</v>
      </c>
      <c r="E10" s="3"/>
      <c r="F10" s="119">
        <v>3</v>
      </c>
      <c r="G10" s="119" t="s">
        <v>549</v>
      </c>
      <c r="H10" s="120">
        <f>((C8+B8)/2)/((C3+B3)/2)</f>
        <v>0.19750540550760612</v>
      </c>
      <c r="I10" s="120">
        <f>((D8+C8)/2)/((D3+C3)/2)</f>
        <v>0.1880950382395625</v>
      </c>
      <c r="J10" s="120">
        <f t="shared" si="0"/>
        <v>-9.4103672680436179E-3</v>
      </c>
      <c r="L10" s="66" t="s">
        <v>539</v>
      </c>
      <c r="M10" s="115">
        <f>I8*I9*J10</f>
        <v>-1.3773784526947986E-3</v>
      </c>
      <c r="N10" s="121" t="s">
        <v>33</v>
      </c>
      <c r="O10" s="66" t="s">
        <v>549</v>
      </c>
      <c r="P10" s="65">
        <f>ROUND(M10/M7*100,2)</f>
        <v>-10.17</v>
      </c>
    </row>
    <row r="11" spans="1:21">
      <c r="A11" s="170" t="s">
        <v>550</v>
      </c>
      <c r="B11" s="170">
        <v>1020188374598</v>
      </c>
      <c r="C11" s="14">
        <v>756748227290</v>
      </c>
      <c r="D11" s="170">
        <v>984900095440</v>
      </c>
      <c r="E11" t="s">
        <v>551</v>
      </c>
      <c r="F11" s="119">
        <v>2</v>
      </c>
      <c r="G11" s="119" t="s">
        <v>552</v>
      </c>
      <c r="H11" s="120">
        <f>C5/((C9+B9)/2)</f>
        <v>10.475156639694346</v>
      </c>
      <c r="I11" s="120">
        <f>D5/((D9+C9)/2)</f>
        <v>13.770938774539561</v>
      </c>
      <c r="J11" s="120">
        <f t="shared" si="0"/>
        <v>3.295782134845215</v>
      </c>
      <c r="M11" s="116"/>
    </row>
    <row r="12" spans="1:21" ht="26.45">
      <c r="A12" s="170" t="s">
        <v>553</v>
      </c>
      <c r="B12" s="170">
        <v>5678</v>
      </c>
      <c r="C12" s="170">
        <v>5195</v>
      </c>
      <c r="D12" s="170">
        <v>5294</v>
      </c>
      <c r="E12" t="s">
        <v>554</v>
      </c>
      <c r="F12" s="119">
        <v>3</v>
      </c>
      <c r="G12" s="119" t="s">
        <v>555</v>
      </c>
      <c r="H12" s="120">
        <f>((C9+B9)/2)/((C4+B4)/2)</f>
        <v>0.44683336845496863</v>
      </c>
      <c r="I12" s="120">
        <f>((D9+C9)/2)/((D4+C4)/2)</f>
        <v>0.42601411066645434</v>
      </c>
      <c r="J12" s="120">
        <f t="shared" si="0"/>
        <v>-2.0819257788514289E-2</v>
      </c>
      <c r="L12" s="66" t="s">
        <v>534</v>
      </c>
      <c r="M12" s="115">
        <f>SUM(M13:M15)</f>
        <v>2.4420559769241432E-2</v>
      </c>
      <c r="N12" s="121" t="s">
        <v>527</v>
      </c>
      <c r="O12" s="65"/>
      <c r="P12" s="65" t="s">
        <v>528</v>
      </c>
    </row>
    <row r="13" spans="1:21">
      <c r="A13" s="117" t="s">
        <v>556</v>
      </c>
      <c r="B13" s="117"/>
      <c r="C13" s="117"/>
      <c r="D13" s="117"/>
      <c r="E13" s="3"/>
      <c r="F13" s="119"/>
      <c r="G13" s="119"/>
      <c r="H13" s="119">
        <v>0</v>
      </c>
      <c r="I13" s="119">
        <v>1</v>
      </c>
      <c r="J13" s="119" t="s">
        <v>523</v>
      </c>
      <c r="L13" s="66" t="s">
        <v>530</v>
      </c>
      <c r="M13" s="115">
        <f>J5*H11*H12</f>
        <v>1.501778307100262E-2</v>
      </c>
      <c r="N13" s="121" t="s">
        <v>527</v>
      </c>
      <c r="O13" s="66" t="s">
        <v>531</v>
      </c>
      <c r="P13" s="65">
        <f>ROUND(M13/M12*100,2)</f>
        <v>61.5</v>
      </c>
    </row>
    <row r="14" spans="1:21">
      <c r="A14" s="117" t="s">
        <v>557</v>
      </c>
      <c r="B14" s="117" t="s">
        <v>558</v>
      </c>
      <c r="C14" s="117" t="s">
        <v>559</v>
      </c>
      <c r="D14" s="117" t="s">
        <v>560</v>
      </c>
      <c r="E14" s="3"/>
      <c r="F14" s="119"/>
      <c r="G14" s="119"/>
      <c r="H14" s="119">
        <v>2023</v>
      </c>
      <c r="I14" s="119">
        <v>2024</v>
      </c>
      <c r="J14" s="119" t="s">
        <v>525</v>
      </c>
      <c r="L14" s="66" t="s">
        <v>535</v>
      </c>
      <c r="M14" s="115">
        <f>I5*J11*H12</f>
        <v>1.1675848460372505E-2</v>
      </c>
      <c r="N14" s="121" t="s">
        <v>527</v>
      </c>
      <c r="O14" s="66" t="s">
        <v>552</v>
      </c>
      <c r="P14" s="65">
        <f>ROUND(M14/M12*100,2)</f>
        <v>47.81</v>
      </c>
    </row>
    <row r="15" spans="1:21" ht="26.45">
      <c r="A15" s="117" t="s">
        <v>561</v>
      </c>
      <c r="B15" s="118">
        <v>0.1105</v>
      </c>
      <c r="C15" s="118">
        <v>6.8400000000000002E-2</v>
      </c>
      <c r="D15" s="118">
        <v>9.0399999999999994E-2</v>
      </c>
      <c r="E15" s="3"/>
      <c r="F15" s="119"/>
      <c r="G15" s="119" t="s">
        <v>414</v>
      </c>
      <c r="H15" s="120">
        <f>C2/((C10+B10)/2)</f>
        <v>2.2120193320664675E-2</v>
      </c>
      <c r="I15" s="120">
        <f>D2/((D10+C10)/2)</f>
        <v>4.6570473057171727E-2</v>
      </c>
      <c r="J15" s="120">
        <f>I15-H15</f>
        <v>2.4450279736507052E-2</v>
      </c>
      <c r="L15" s="66" t="s">
        <v>539</v>
      </c>
      <c r="M15" s="115">
        <f>I5*I11*J12</f>
        <v>-2.2730717621336953E-3</v>
      </c>
      <c r="N15" s="121" t="s">
        <v>33</v>
      </c>
      <c r="O15" s="66" t="s">
        <v>555</v>
      </c>
      <c r="P15" s="65">
        <f>ROUND(M15/M12*100,2)</f>
        <v>-9.31</v>
      </c>
    </row>
    <row r="16" spans="1:21">
      <c r="A16" s="117" t="s">
        <v>562</v>
      </c>
      <c r="B16" s="118">
        <v>4.4299999999999999E-2</v>
      </c>
      <c r="C16" s="118">
        <v>3.3799999999999997E-2</v>
      </c>
      <c r="D16" s="118">
        <v>4.6899999999999997E-2</v>
      </c>
      <c r="E16" s="5"/>
      <c r="F16" s="119">
        <v>1</v>
      </c>
      <c r="G16" s="119" t="s">
        <v>531</v>
      </c>
      <c r="H16" s="120">
        <f>C2/C5</f>
        <v>4.7198954542363525E-3</v>
      </c>
      <c r="I16" s="120">
        <f>D2/D5</f>
        <v>7.9283781629443714E-3</v>
      </c>
      <c r="J16" s="120">
        <f>I16-H16</f>
        <v>3.2084827087080188E-3</v>
      </c>
      <c r="M16" s="116"/>
    </row>
    <row r="17" spans="1:16">
      <c r="A17" s="117" t="s">
        <v>563</v>
      </c>
      <c r="B17" s="118">
        <v>9.8000000000000004E-2</v>
      </c>
      <c r="C17" s="118">
        <v>8.3000000000000004E-2</v>
      </c>
      <c r="D17" s="118">
        <v>0.121</v>
      </c>
      <c r="E17" s="5"/>
      <c r="F17" s="119">
        <v>2</v>
      </c>
      <c r="G17" s="119" t="s">
        <v>564</v>
      </c>
      <c r="H17" s="120">
        <f>C5/((C3+B3)/2)</f>
        <v>2.9645707705515441</v>
      </c>
      <c r="I17" s="120">
        <f>D5/((D3+C3)/2)</f>
        <v>3.472479528305207</v>
      </c>
      <c r="J17" s="120">
        <f>I17-H17</f>
        <v>0.50790875775366295</v>
      </c>
      <c r="L17" s="66" t="s">
        <v>414</v>
      </c>
      <c r="M17" s="115">
        <f>SUM(M18:M20)</f>
        <v>2.4450279736507055E-2</v>
      </c>
      <c r="N17" s="121" t="s">
        <v>527</v>
      </c>
      <c r="O17" s="65"/>
      <c r="P17" s="65" t="s">
        <v>528</v>
      </c>
    </row>
    <row r="18" spans="1:16">
      <c r="A18" s="117" t="s">
        <v>565</v>
      </c>
      <c r="B18" s="117"/>
      <c r="C18" s="117"/>
      <c r="D18" s="117"/>
      <c r="E18" s="5"/>
      <c r="F18" s="119">
        <v>3</v>
      </c>
      <c r="G18" s="119" t="s">
        <v>566</v>
      </c>
      <c r="H18" s="120">
        <f>((C3+B3)/2)/((C10+B10)/2)</f>
        <v>1.5808647538237486</v>
      </c>
      <c r="I18" s="120">
        <f>((D3+C3)/2)/((D10+C10)/2)</f>
        <v>1.6915568520629352</v>
      </c>
      <c r="J18" s="120">
        <f>I18-H18</f>
        <v>0.11069209823918658</v>
      </c>
      <c r="L18" s="66" t="s">
        <v>530</v>
      </c>
      <c r="M18" s="115">
        <f>J16*H17*H18</f>
        <v>1.5036828351553828E-2</v>
      </c>
      <c r="N18" s="121" t="s">
        <v>527</v>
      </c>
      <c r="O18" s="66" t="s">
        <v>531</v>
      </c>
      <c r="P18" s="65">
        <f>ROUND(M18/M17*100,2)</f>
        <v>61.5</v>
      </c>
    </row>
    <row r="19" spans="1:16">
      <c r="A19" s="117" t="s">
        <v>557</v>
      </c>
      <c r="B19" s="117" t="s">
        <v>558</v>
      </c>
      <c r="C19" s="117" t="s">
        <v>559</v>
      </c>
      <c r="D19" s="117" t="s">
        <v>560</v>
      </c>
      <c r="E19" s="5"/>
      <c r="F19" s="5"/>
      <c r="G19" s="5"/>
      <c r="L19" s="66" t="s">
        <v>535</v>
      </c>
      <c r="M19" s="115">
        <f>I16*J17*H18</f>
        <v>6.3659727427762894E-3</v>
      </c>
      <c r="N19" s="121" t="s">
        <v>527</v>
      </c>
      <c r="O19" s="66" t="s">
        <v>567</v>
      </c>
      <c r="P19" s="65">
        <f>ROUND(M19/M17*100,2)</f>
        <v>26.04</v>
      </c>
    </row>
    <row r="20" spans="1:16">
      <c r="A20" s="117" t="s">
        <v>561</v>
      </c>
      <c r="B20" s="118">
        <v>8.0199999999999994E-2</v>
      </c>
      <c r="C20" s="118">
        <v>2.1899999999999999E-2</v>
      </c>
      <c r="D20" s="118">
        <v>-2.2599999999999999E-2</v>
      </c>
      <c r="E20" s="5"/>
      <c r="F20" s="5"/>
      <c r="G20" s="5"/>
      <c r="L20" s="66" t="s">
        <v>539</v>
      </c>
      <c r="M20" s="115">
        <f>I16*I17*J18</f>
        <v>3.0474786421769351E-3</v>
      </c>
      <c r="N20" s="121" t="s">
        <v>527</v>
      </c>
      <c r="O20" s="66" t="s">
        <v>568</v>
      </c>
      <c r="P20" s="65">
        <f>ROUND(M20/M17*100,2)</f>
        <v>12.46</v>
      </c>
    </row>
    <row r="21" spans="1:16">
      <c r="A21" s="117" t="s">
        <v>562</v>
      </c>
      <c r="B21" s="118">
        <v>3.3700000000000001E-2</v>
      </c>
      <c r="C21" s="118">
        <v>1.8100000000000002E-2</v>
      </c>
      <c r="D21" s="118">
        <v>4.0000000000000001E-3</v>
      </c>
    </row>
    <row r="22" spans="1:16">
      <c r="A22" s="117" t="s">
        <v>563</v>
      </c>
      <c r="B22" s="118">
        <v>0.11799999999999999</v>
      </c>
      <c r="C22" s="118">
        <v>6.8000000000000005E-2</v>
      </c>
      <c r="D22" s="118">
        <v>1.7000000000000001E-2</v>
      </c>
      <c r="M22" s="169"/>
      <c r="N22" s="169"/>
      <c r="O22" s="169"/>
    </row>
    <row r="23" spans="1:16">
      <c r="L23" s="170"/>
      <c r="M23" s="170"/>
      <c r="N23" s="170"/>
      <c r="O23" s="170"/>
    </row>
    <row r="24" spans="1:16">
      <c r="L24" s="170"/>
      <c r="M24" s="170"/>
      <c r="N24" s="170"/>
      <c r="O24" s="170"/>
    </row>
    <row r="25" spans="1:16">
      <c r="A25" s="169"/>
      <c r="B25" s="169"/>
      <c r="C25" s="169"/>
      <c r="D25" s="169"/>
    </row>
    <row r="26" spans="1:16">
      <c r="A26" s="170"/>
      <c r="B26" s="170"/>
      <c r="C26" s="170"/>
      <c r="D26" s="170"/>
    </row>
    <row r="27" spans="1:16">
      <c r="A27" s="170"/>
      <c r="B27" s="170"/>
      <c r="C27" s="14"/>
      <c r="D27" s="170"/>
    </row>
    <row r="28" spans="1:16">
      <c r="A28" s="170"/>
      <c r="B28" s="170"/>
      <c r="C28" s="170"/>
      <c r="D28" s="170"/>
    </row>
    <row r="29" spans="1:16">
      <c r="A29" s="170"/>
      <c r="B29" s="170"/>
      <c r="C29" s="170"/>
      <c r="D29" s="170"/>
    </row>
    <row r="30" spans="1:16">
      <c r="A30" s="170"/>
      <c r="B30" s="170"/>
      <c r="C30" s="170"/>
      <c r="D30" s="170"/>
    </row>
    <row r="32" spans="1:16">
      <c r="B32" s="14"/>
    </row>
    <row r="33" spans="2:2">
      <c r="B33" s="14"/>
    </row>
    <row r="34" spans="2:2">
      <c r="B34" s="14"/>
    </row>
    <row r="35" spans="2:2">
      <c r="B35" s="14"/>
    </row>
    <row r="36" spans="2:2">
      <c r="B36" s="14"/>
    </row>
    <row r="37" spans="2:2">
      <c r="B37" s="14"/>
    </row>
    <row r="38" spans="2:2">
      <c r="B38" s="14"/>
    </row>
    <row r="39" spans="2:2">
      <c r="B39" s="14"/>
    </row>
    <row r="40" spans="2:2">
      <c r="B40" s="14"/>
    </row>
    <row r="41" spans="2:2">
      <c r="B41" s="1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588aa4a-1901-492e-b666-24cf64d025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7E5475E9A20240B7753607593DC112" ma:contentTypeVersion="4" ma:contentTypeDescription="Create a new document." ma:contentTypeScope="" ma:versionID="6124709fd2a42f0512a9297146db77c3">
  <xsd:schema xmlns:xsd="http://www.w3.org/2001/XMLSchema" xmlns:xs="http://www.w3.org/2001/XMLSchema" xmlns:p="http://schemas.microsoft.com/office/2006/metadata/properties" xmlns:ns2="2588aa4a-1901-492e-b666-24cf64d02510" targetNamespace="http://schemas.microsoft.com/office/2006/metadata/properties" ma:root="true" ma:fieldsID="cbee5256e2ecde36f5776ad4e4039938" ns2:_="">
    <xsd:import namespace="2588aa4a-1901-492e-b666-24cf64d0251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88aa4a-1901-492e-b666-24cf64d0251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0C50C1-2F70-4F8C-89D5-EEDF5412EB5E}"/>
</file>

<file path=customXml/itemProps2.xml><?xml version="1.0" encoding="utf-8"?>
<ds:datastoreItem xmlns:ds="http://schemas.openxmlformats.org/officeDocument/2006/customXml" ds:itemID="{28F22529-0C4D-4111-A9BE-705D4B7873DB}"/>
</file>

<file path=customXml/itemProps3.xml><?xml version="1.0" encoding="utf-8"?>
<ds:datastoreItem xmlns:ds="http://schemas.openxmlformats.org/officeDocument/2006/customXml" ds:itemID="{EF2BAB8C-72A4-43C2-9FEC-4B2E02E5C8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 Quynh Chi 20233024</dc:creator>
  <cp:keywords/>
  <dc:description/>
  <cp:lastModifiedBy>Guest User</cp:lastModifiedBy>
  <cp:revision/>
  <dcterms:created xsi:type="dcterms:W3CDTF">2026-06-22T07:08:52Z</dcterms:created>
  <dcterms:modified xsi:type="dcterms:W3CDTF">2026-07-08T12:11:35Z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0x010100517E5475E9A20240B7753607593DC112</vt:lpwstr>
  </property>
  <property fmtid="{D5CDD505-2E9C-101B-9397-08002B2CF9AE}" pid="3" name="Order">
    <vt:r8>8700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activity">
    <vt:lpwstr>{"FileActivityType":"9","FileActivityTimeStamp":"2026-07-08T08:06:18.667Z","FileActivityUsersOnPage":[{"DisplayName":"Phan Nhat Minh 20233076","Id":"minh.pn233076@sis.hust.edu.vn"},{"DisplayName":"Ngô Thu Giang","Id":"giang.ngothu@hust.edu.vn"}],"FileActivityNavigationId":null}</vt:lpwstr>
  </property>
  <property fmtid="{D5CDD505-2E9C-101B-9397-08002B2CF9AE}" pid="9" name="_ExtendedDescription">
    <vt:lpwstr/>
  </property>
</Properties>
</file>