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ENGY 610/Project/"/>
    </mc:Choice>
  </mc:AlternateContent>
  <xr:revisionPtr revIDLastSave="0" documentId="13_ncr:1_{31E2C822-8048-BE4F-B27E-C4A37D5B67A0}" xr6:coauthVersionLast="45" xr6:coauthVersionMax="47" xr10:uidLastSave="{00000000-0000-0000-0000-000000000000}"/>
  <bookViews>
    <workbookView xWindow="0" yWindow="500" windowWidth="28800" windowHeight="16000" activeTab="3" xr2:uid="{623F2164-FBBE-5443-8DA8-40919418F5CA}"/>
  </bookViews>
  <sheets>
    <sheet name=" Yearly Energy Costs" sheetId="8" r:id="rId1"/>
    <sheet name="Normalise &amp; HDD" sheetId="9" r:id="rId2"/>
    <sheet name="EUI &amp; Energy Usage" sheetId="10" r:id="rId3"/>
    <sheet name="2015-2018 Monthly Data" sheetId="2" r:id="rId4"/>
    <sheet name="CUSUM &amp; Linear Regress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2" l="1"/>
  <c r="E43" i="9"/>
  <c r="E39" i="9"/>
  <c r="F19" i="9"/>
  <c r="E19" i="9"/>
  <c r="C13" i="9"/>
  <c r="F47" i="10"/>
  <c r="F45" i="10"/>
  <c r="F46" i="10"/>
  <c r="E47" i="10"/>
  <c r="F39" i="10"/>
  <c r="F40" i="10"/>
  <c r="F41" i="10"/>
  <c r="F42" i="10"/>
  <c r="F43" i="10"/>
  <c r="F44" i="10"/>
  <c r="F38" i="10"/>
  <c r="D18" i="10"/>
  <c r="D19" i="10"/>
  <c r="D10" i="10"/>
  <c r="D9" i="10"/>
  <c r="R12" i="8"/>
  <c r="O12" i="8"/>
  <c r="P12" i="8"/>
  <c r="Q12" i="8"/>
  <c r="N12" i="8"/>
  <c r="S5" i="8"/>
  <c r="S10" i="8"/>
  <c r="S9" i="8"/>
  <c r="S6" i="8"/>
  <c r="D42" i="10" l="1"/>
  <c r="D40" i="10"/>
  <c r="D38" i="10"/>
  <c r="D35" i="10"/>
  <c r="E34" i="10" s="1"/>
  <c r="D24" i="10"/>
  <c r="D46" i="10" s="1"/>
  <c r="D23" i="10"/>
  <c r="D45" i="10" s="1"/>
  <c r="D22" i="10"/>
  <c r="D43" i="10" s="1"/>
  <c r="D21" i="10"/>
  <c r="D20" i="10"/>
  <c r="D44" i="10" s="1"/>
  <c r="D39" i="10"/>
  <c r="D14" i="10"/>
  <c r="D13" i="10"/>
  <c r="D12" i="10"/>
  <c r="D11" i="10"/>
  <c r="D3" i="10"/>
  <c r="D47" i="10" l="1"/>
  <c r="E44" i="10" s="1"/>
  <c r="E29" i="10"/>
  <c r="D25" i="10"/>
  <c r="E18" i="10" s="1"/>
  <c r="E31" i="10"/>
  <c r="E33" i="10"/>
  <c r="E28" i="10"/>
  <c r="E32" i="10"/>
  <c r="D15" i="10"/>
  <c r="E30" i="10"/>
  <c r="O5" i="2"/>
  <c r="S46" i="2"/>
  <c r="S47" i="2"/>
  <c r="S48" i="2"/>
  <c r="S49" i="2"/>
  <c r="S50" i="2"/>
  <c r="S51" i="2"/>
  <c r="S52" i="2"/>
  <c r="S53" i="2"/>
  <c r="S54" i="2"/>
  <c r="S55" i="2"/>
  <c r="S45" i="2"/>
  <c r="S44" i="2"/>
  <c r="S33" i="2"/>
  <c r="S34" i="2"/>
  <c r="S35" i="2"/>
  <c r="S36" i="2"/>
  <c r="S37" i="2"/>
  <c r="S38" i="2"/>
  <c r="S39" i="2"/>
  <c r="S40" i="2"/>
  <c r="S41" i="2"/>
  <c r="S42" i="2"/>
  <c r="S32" i="2"/>
  <c r="S31" i="2"/>
  <c r="S20" i="2"/>
  <c r="S21" i="2"/>
  <c r="S22" i="2"/>
  <c r="S23" i="2"/>
  <c r="S24" i="2"/>
  <c r="S25" i="2"/>
  <c r="S26" i="2"/>
  <c r="S27" i="2"/>
  <c r="S28" i="2"/>
  <c r="S29" i="2"/>
  <c r="S19" i="2"/>
  <c r="S18" i="2"/>
  <c r="S7" i="2"/>
  <c r="S8" i="2"/>
  <c r="S9" i="2"/>
  <c r="S10" i="2"/>
  <c r="S11" i="2"/>
  <c r="S12" i="2"/>
  <c r="S13" i="2"/>
  <c r="S14" i="2"/>
  <c r="S15" i="2"/>
  <c r="S16" i="2"/>
  <c r="S6" i="2"/>
  <c r="S5" i="2"/>
  <c r="T5" i="2" s="1"/>
  <c r="O46" i="2"/>
  <c r="O47" i="2"/>
  <c r="O48" i="2"/>
  <c r="O49" i="2"/>
  <c r="O50" i="2"/>
  <c r="O51" i="2"/>
  <c r="O52" i="2"/>
  <c r="O53" i="2"/>
  <c r="O54" i="2"/>
  <c r="O55" i="2"/>
  <c r="O45" i="2"/>
  <c r="O44" i="2"/>
  <c r="O33" i="2"/>
  <c r="O34" i="2"/>
  <c r="O35" i="2"/>
  <c r="O36" i="2"/>
  <c r="O37" i="2"/>
  <c r="O38" i="2"/>
  <c r="O39" i="2"/>
  <c r="O40" i="2"/>
  <c r="O41" i="2"/>
  <c r="O42" i="2"/>
  <c r="O32" i="2"/>
  <c r="O31" i="2"/>
  <c r="O20" i="2"/>
  <c r="O21" i="2"/>
  <c r="O22" i="2"/>
  <c r="O23" i="2"/>
  <c r="O24" i="2"/>
  <c r="O25" i="2"/>
  <c r="O26" i="2"/>
  <c r="O27" i="2"/>
  <c r="O28" i="2"/>
  <c r="O29" i="2"/>
  <c r="O19" i="2"/>
  <c r="O18" i="2"/>
  <c r="O7" i="2"/>
  <c r="O8" i="2"/>
  <c r="O9" i="2"/>
  <c r="O10" i="2"/>
  <c r="O11" i="2"/>
  <c r="O12" i="2"/>
  <c r="O13" i="2"/>
  <c r="O14" i="2"/>
  <c r="O15" i="2"/>
  <c r="O16" i="2"/>
  <c r="O6" i="2"/>
  <c r="E11" i="10" l="1"/>
  <c r="E9" i="10"/>
  <c r="E43" i="10"/>
  <c r="E39" i="10"/>
  <c r="E42" i="10"/>
  <c r="E46" i="10"/>
  <c r="E41" i="10"/>
  <c r="E40" i="10"/>
  <c r="E38" i="10"/>
  <c r="E45" i="10"/>
  <c r="E21" i="10"/>
  <c r="E13" i="10"/>
  <c r="E24" i="10"/>
  <c r="E20" i="10"/>
  <c r="E19" i="10"/>
  <c r="E22" i="10"/>
  <c r="E23" i="10"/>
  <c r="E14" i="10"/>
  <c r="E10" i="10"/>
  <c r="E12" i="10"/>
  <c r="C34" i="9"/>
  <c r="D47" i="9" l="1"/>
  <c r="E46" i="9" l="1"/>
  <c r="E45" i="9"/>
  <c r="E44" i="9"/>
  <c r="R10" i="8"/>
  <c r="R9" i="8"/>
  <c r="R6" i="8"/>
  <c r="R5" i="8"/>
  <c r="O11" i="8"/>
  <c r="P11" i="8"/>
  <c r="Q11" i="8"/>
  <c r="N11" i="8"/>
  <c r="O7" i="8"/>
  <c r="P7" i="8"/>
  <c r="Q7" i="8"/>
  <c r="N7" i="8"/>
  <c r="R7" i="8" s="1"/>
  <c r="R11" i="8" l="1"/>
  <c r="F5" i="8"/>
  <c r="E31" i="9"/>
  <c r="E32" i="9"/>
  <c r="E33" i="9"/>
  <c r="E30" i="9"/>
  <c r="E24" i="9"/>
  <c r="E25" i="9"/>
  <c r="F25" i="9" s="1"/>
  <c r="E26" i="9"/>
  <c r="E23" i="9"/>
  <c r="F23" i="9" s="1"/>
  <c r="E20" i="9"/>
  <c r="F20" i="9" s="1"/>
  <c r="E40" i="9" s="1"/>
  <c r="E21" i="9"/>
  <c r="F21" i="9" s="1"/>
  <c r="E41" i="9" s="1"/>
  <c r="E18" i="9"/>
  <c r="F18" i="9" s="1"/>
  <c r="E38" i="9" s="1"/>
  <c r="N15" i="2"/>
  <c r="R5" i="2"/>
  <c r="I5" i="8"/>
  <c r="I6" i="8"/>
  <c r="I12" i="8"/>
  <c r="H12" i="8"/>
  <c r="G12" i="8"/>
  <c r="F12" i="8"/>
  <c r="I13" i="8"/>
  <c r="H13" i="8"/>
  <c r="G13" i="8"/>
  <c r="F13" i="8"/>
  <c r="I11" i="8"/>
  <c r="H11" i="8"/>
  <c r="G11" i="8"/>
  <c r="G14" i="8" s="1"/>
  <c r="F11" i="8"/>
  <c r="F8" i="8"/>
  <c r="G8" i="8"/>
  <c r="I8" i="8"/>
  <c r="H8" i="8"/>
  <c r="I7" i="8"/>
  <c r="H7" i="8"/>
  <c r="G7" i="8"/>
  <c r="F7" i="8"/>
  <c r="H6" i="8"/>
  <c r="G6" i="8"/>
  <c r="F6" i="8"/>
  <c r="F9" i="8" s="1"/>
  <c r="H5" i="8"/>
  <c r="G5" i="8"/>
  <c r="E57" i="2"/>
  <c r="F57" i="2"/>
  <c r="G57" i="2"/>
  <c r="H57" i="2"/>
  <c r="I57" i="2"/>
  <c r="J57" i="2"/>
  <c r="D57" i="2"/>
  <c r="F30" i="9" l="1"/>
  <c r="H14" i="8"/>
  <c r="F26" i="9"/>
  <c r="F33" i="9"/>
  <c r="E47" i="9"/>
  <c r="I14" i="8"/>
  <c r="F14" i="8"/>
  <c r="F24" i="9"/>
  <c r="F31" i="9"/>
  <c r="F32" i="9"/>
  <c r="G9" i="8"/>
  <c r="G15" i="8" s="1"/>
  <c r="H9" i="8"/>
  <c r="H15" i="8" s="1"/>
  <c r="I9" i="8"/>
  <c r="I15" i="8" s="1"/>
  <c r="F15" i="8"/>
  <c r="N5" i="2"/>
  <c r="R46" i="2"/>
  <c r="R47" i="2"/>
  <c r="R48" i="2"/>
  <c r="R49" i="2"/>
  <c r="R50" i="2"/>
  <c r="R51" i="2"/>
  <c r="R52" i="2"/>
  <c r="R53" i="2"/>
  <c r="R54" i="2"/>
  <c r="R55" i="2"/>
  <c r="R45" i="2"/>
  <c r="R44" i="2"/>
  <c r="R42" i="2"/>
  <c r="R33" i="2"/>
  <c r="R34" i="2"/>
  <c r="R35" i="2"/>
  <c r="R36" i="2"/>
  <c r="R37" i="2"/>
  <c r="R38" i="2"/>
  <c r="R39" i="2"/>
  <c r="R40" i="2"/>
  <c r="R41" i="2"/>
  <c r="R32" i="2"/>
  <c r="R31" i="2"/>
  <c r="R29" i="2"/>
  <c r="R20" i="2"/>
  <c r="R21" i="2"/>
  <c r="R22" i="2"/>
  <c r="R23" i="2"/>
  <c r="R24" i="2"/>
  <c r="R25" i="2"/>
  <c r="R26" i="2"/>
  <c r="R27" i="2"/>
  <c r="R28" i="2"/>
  <c r="R19" i="2"/>
  <c r="R18" i="2"/>
  <c r="R7" i="2"/>
  <c r="R8" i="2"/>
  <c r="R9" i="2"/>
  <c r="R10" i="2"/>
  <c r="R11" i="2"/>
  <c r="R12" i="2"/>
  <c r="R13" i="2"/>
  <c r="R14" i="2"/>
  <c r="R15" i="2"/>
  <c r="R16" i="2"/>
  <c r="R6" i="2"/>
  <c r="N46" i="2"/>
  <c r="N47" i="2"/>
  <c r="N48" i="2"/>
  <c r="N49" i="2"/>
  <c r="N50" i="2"/>
  <c r="N51" i="2"/>
  <c r="N52" i="2"/>
  <c r="N53" i="2"/>
  <c r="N54" i="2"/>
  <c r="N55" i="2"/>
  <c r="N45" i="2"/>
  <c r="N44" i="2"/>
  <c r="N33" i="2"/>
  <c r="N34" i="2"/>
  <c r="N35" i="2"/>
  <c r="N36" i="2"/>
  <c r="N37" i="2"/>
  <c r="N38" i="2"/>
  <c r="N39" i="2"/>
  <c r="N40" i="2"/>
  <c r="N41" i="2"/>
  <c r="N42" i="2"/>
  <c r="N32" i="2"/>
  <c r="N31" i="2"/>
  <c r="N20" i="2"/>
  <c r="N21" i="2"/>
  <c r="N22" i="2"/>
  <c r="N23" i="2"/>
  <c r="N24" i="2"/>
  <c r="N25" i="2"/>
  <c r="N26" i="2"/>
  <c r="N27" i="2"/>
  <c r="N28" i="2"/>
  <c r="N29" i="2"/>
  <c r="N19" i="2"/>
  <c r="N18" i="2"/>
  <c r="N7" i="2"/>
  <c r="N8" i="2"/>
  <c r="N9" i="2"/>
  <c r="N10" i="2"/>
  <c r="N11" i="2"/>
  <c r="N12" i="2"/>
  <c r="N13" i="2"/>
  <c r="N14" i="2"/>
  <c r="N16" i="2"/>
  <c r="N6" i="2"/>
  <c r="P11" i="2" l="1"/>
  <c r="P9" i="2"/>
  <c r="P8" i="2"/>
  <c r="P32" i="2"/>
  <c r="P27" i="2"/>
  <c r="T55" i="2"/>
  <c r="P54" i="2"/>
  <c r="P55" i="2"/>
  <c r="P40" i="2"/>
  <c r="P33" i="2"/>
  <c r="P34" i="2"/>
  <c r="P35" i="2"/>
  <c r="P36" i="2"/>
  <c r="P37" i="2"/>
  <c r="P38" i="2"/>
  <c r="P39" i="2"/>
  <c r="P41" i="2"/>
  <c r="P42" i="2"/>
  <c r="P31" i="2"/>
  <c r="Q31" i="2" s="1"/>
  <c r="P24" i="2"/>
  <c r="P25" i="2"/>
  <c r="P26" i="2"/>
  <c r="P28" i="2"/>
  <c r="P29" i="2"/>
  <c r="P6" i="2"/>
  <c r="P5" i="2"/>
  <c r="Q5" i="2" s="1"/>
  <c r="Q6" i="2" s="1"/>
  <c r="Q32" i="2" l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T54" i="2"/>
  <c r="T53" i="2"/>
  <c r="T52" i="2"/>
  <c r="T51" i="2"/>
  <c r="T50" i="2"/>
  <c r="T49" i="2"/>
  <c r="T48" i="2"/>
  <c r="T47" i="2"/>
  <c r="T46" i="2"/>
  <c r="T45" i="2"/>
  <c r="T44" i="2"/>
  <c r="T42" i="2"/>
  <c r="T41" i="2"/>
  <c r="T40" i="2"/>
  <c r="T39" i="2"/>
  <c r="T38" i="2"/>
  <c r="T37" i="2"/>
  <c r="T36" i="2"/>
  <c r="T35" i="2"/>
  <c r="T34" i="2"/>
  <c r="T33" i="2"/>
  <c r="T32" i="2"/>
  <c r="T31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U6" i="2" s="1"/>
  <c r="P47" i="2"/>
  <c r="P53" i="2"/>
  <c r="P52" i="2"/>
  <c r="P51" i="2"/>
  <c r="P50" i="2"/>
  <c r="P49" i="2"/>
  <c r="P48" i="2"/>
  <c r="P46" i="2"/>
  <c r="P45" i="2"/>
  <c r="Q45" i="2" s="1"/>
  <c r="P44" i="2"/>
  <c r="P23" i="2"/>
  <c r="P22" i="2"/>
  <c r="P21" i="2"/>
  <c r="P20" i="2"/>
  <c r="P19" i="2"/>
  <c r="P18" i="2"/>
  <c r="Q18" i="2" s="1"/>
  <c r="P7" i="2"/>
  <c r="Q7" i="2" s="1"/>
  <c r="Q8" i="2" s="1"/>
  <c r="Q9" i="2" s="1"/>
  <c r="P10" i="2"/>
  <c r="P12" i="2"/>
  <c r="P13" i="2"/>
  <c r="P14" i="2"/>
  <c r="P15" i="2"/>
  <c r="P16" i="2"/>
  <c r="K56" i="2"/>
  <c r="K43" i="2"/>
  <c r="K30" i="2"/>
  <c r="K17" i="2"/>
  <c r="Q10" i="2" l="1"/>
  <c r="Q11" i="2" s="1"/>
  <c r="Q46" i="2"/>
  <c r="Q47" i="2" s="1"/>
  <c r="Q19" i="2"/>
  <c r="Q20" i="2" s="1"/>
  <c r="Q21" i="2" s="1"/>
  <c r="Q22" i="2" s="1"/>
  <c r="Q23" i="2" s="1"/>
  <c r="U7" i="2"/>
  <c r="U8" i="2" s="1"/>
  <c r="U9" i="2" s="1"/>
  <c r="U10" i="2" s="1"/>
  <c r="U11" i="2" s="1"/>
  <c r="U12" i="2" s="1"/>
  <c r="U13" i="2" s="1"/>
  <c r="U14" i="2" s="1"/>
  <c r="U15" i="2" s="1"/>
  <c r="U16" i="2" s="1"/>
  <c r="U18" i="2" s="1"/>
  <c r="U19" i="2" s="1"/>
  <c r="U20" i="2" s="1"/>
  <c r="U21" i="2" s="1"/>
  <c r="Q48" i="2" l="1"/>
  <c r="Q49" i="2" s="1"/>
  <c r="Q50" i="2" s="1"/>
  <c r="Q51" i="2" s="1"/>
  <c r="Q52" i="2" s="1"/>
  <c r="Q53" i="2" s="1"/>
  <c r="Q54" i="2" s="1"/>
  <c r="Q55" i="2" s="1"/>
  <c r="Q24" i="2"/>
  <c r="Q25" i="2" s="1"/>
  <c r="Q26" i="2" s="1"/>
  <c r="Q27" i="2" s="1"/>
  <c r="Q28" i="2" s="1"/>
  <c r="Q29" i="2" s="1"/>
  <c r="Q12" i="2"/>
  <c r="Q13" i="2" s="1"/>
  <c r="Q14" i="2" s="1"/>
  <c r="Q15" i="2" s="1"/>
  <c r="Q16" i="2" s="1"/>
  <c r="U22" i="2"/>
  <c r="U23" i="2" s="1"/>
  <c r="U24" i="2" s="1"/>
  <c r="U25" i="2" s="1"/>
  <c r="U26" i="2" s="1"/>
  <c r="U27" i="2" s="1"/>
  <c r="U28" i="2" s="1"/>
  <c r="U29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</calcChain>
</file>

<file path=xl/sharedStrings.xml><?xml version="1.0" encoding="utf-8"?>
<sst xmlns="http://schemas.openxmlformats.org/spreadsheetml/2006/main" count="237" uniqueCount="104">
  <si>
    <t>Consumption</t>
  </si>
  <si>
    <t>Cost</t>
  </si>
  <si>
    <t>Month</t>
  </si>
  <si>
    <t>Electrical</t>
  </si>
  <si>
    <t>Fuel Total</t>
  </si>
  <si>
    <t>Energy Total</t>
  </si>
  <si>
    <t>kWh</t>
  </si>
  <si>
    <t>$</t>
  </si>
  <si>
    <t>GJ</t>
  </si>
  <si>
    <t>ekWh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</si>
  <si>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</si>
  <si>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</si>
  <si>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</si>
  <si>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</si>
  <si>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</si>
  <si>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</si>
  <si>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</si>
  <si>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</si>
  <si>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</si>
  <si>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</si>
  <si>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</si>
  <si>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</si>
  <si>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Overall:</t>
  </si>
  <si>
    <t>HDD</t>
  </si>
  <si>
    <t>Predicted</t>
  </si>
  <si>
    <t>difference</t>
  </si>
  <si>
    <t>CUSUM</t>
  </si>
  <si>
    <t>Gas</t>
  </si>
  <si>
    <t>Year</t>
  </si>
  <si>
    <t>Date</t>
    <phoneticPr fontId="6" type="noConversion"/>
  </si>
  <si>
    <t>Specific Energy</t>
  </si>
  <si>
    <t>kWh/D</t>
  </si>
  <si>
    <t>Total</t>
  </si>
  <si>
    <t xml:space="preserve">BC Hydro (electricity) </t>
  </si>
  <si>
    <t xml:space="preserve">Fortis (natural gas) </t>
  </si>
  <si>
    <t>Basic charge</t>
  </si>
  <si>
    <t>Delivery charge</t>
  </si>
  <si>
    <t>Storage and transport charge</t>
  </si>
  <si>
    <t>Cost of gas</t>
  </si>
  <si>
    <t>$/day</t>
  </si>
  <si>
    <t>$/GJ</t>
  </si>
  <si>
    <t>Energy Charge</t>
  </si>
  <si>
    <t>$/kWh</t>
  </si>
  <si>
    <t>Total Days</t>
  </si>
  <si>
    <t xml:space="preserve">Units </t>
  </si>
  <si>
    <t>Price</t>
  </si>
  <si>
    <t xml:space="preserve">Annual Gas (GJ) </t>
  </si>
  <si>
    <t>Annual Electricity (kWh)</t>
  </si>
  <si>
    <t>Gas Total Cost ($)</t>
  </si>
  <si>
    <t>Electricity Total Cost ($)</t>
  </si>
  <si>
    <t>(First 1,350kWh &amp; after 1,350kWh)</t>
  </si>
  <si>
    <t>Energy total Cost ($)</t>
  </si>
  <si>
    <t>Total heating degree days</t>
  </si>
  <si>
    <t>kWh per degree day</t>
  </si>
  <si>
    <t>Normalized (kWh)</t>
  </si>
  <si>
    <t>Electricity consumption (kWh)</t>
  </si>
  <si>
    <t>Total energy consumption (ekWh)</t>
  </si>
  <si>
    <t>Gas consumption (ekWh)</t>
  </si>
  <si>
    <t>ekWh per degree day</t>
  </si>
  <si>
    <t>Normalized (ekWh)</t>
  </si>
  <si>
    <t>Annual heating degree days</t>
  </si>
  <si>
    <t>Average-year HDD</t>
  </si>
  <si>
    <t>Average</t>
  </si>
  <si>
    <t>Rates</t>
  </si>
  <si>
    <t>Annual Average</t>
  </si>
  <si>
    <t>Annual Electricity</t>
  </si>
  <si>
    <t>Annual Gas</t>
  </si>
  <si>
    <t>Normalized Cost</t>
  </si>
  <si>
    <t>Electricity Rates ($/kWh)</t>
  </si>
  <si>
    <t>Gas Rates ($/GJ)</t>
  </si>
  <si>
    <t>Normalized (GJ)</t>
  </si>
  <si>
    <t>Original Cost</t>
  </si>
  <si>
    <t xml:space="preserve">Total </t>
  </si>
  <si>
    <t>Area (m2)</t>
  </si>
  <si>
    <t>Total Energy Consumption (GJ)</t>
  </si>
  <si>
    <t>EUI (GJ/m2)</t>
  </si>
  <si>
    <t>Annual Energy Consumption by Enduse</t>
  </si>
  <si>
    <t>Electricity (kWH)</t>
  </si>
  <si>
    <t>Natural Gas (ekWh)</t>
  </si>
  <si>
    <t>Energy Use (ekWH)</t>
  </si>
  <si>
    <t>Space Heat</t>
  </si>
  <si>
    <t>Hot Water</t>
  </si>
  <si>
    <t>Pumps &amp; Aux.</t>
  </si>
  <si>
    <t>Ext. Usage</t>
  </si>
  <si>
    <t>Misc. Equip</t>
  </si>
  <si>
    <t>Area Lights</t>
  </si>
  <si>
    <t>Percentage %</t>
  </si>
  <si>
    <t>Apartment</t>
  </si>
  <si>
    <t>Townhouse</t>
  </si>
  <si>
    <t>End-Use</t>
  </si>
  <si>
    <t>Vent. Fans</t>
  </si>
  <si>
    <t>Office</t>
  </si>
  <si>
    <t>Space Cool</t>
  </si>
  <si>
    <t>All Building</t>
  </si>
  <si>
    <t>Hot Water (Gas)</t>
  </si>
  <si>
    <t>Hot Water (Electricity)</t>
  </si>
  <si>
    <t>Space Heat (Gas)</t>
  </si>
  <si>
    <t>kWh/m2</t>
  </si>
  <si>
    <t>$/m2</t>
  </si>
  <si>
    <t>GJ/m2</t>
  </si>
  <si>
    <t>Intensity</t>
  </si>
  <si>
    <t>Total Annual Cost</t>
  </si>
  <si>
    <t>Intensity (ekWh/m2)</t>
  </si>
  <si>
    <t>Yearly 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</si>
</sst>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00"/>
    <numFmt numFmtId="167" formatCode="#,##0.0"/>
    <numFmt numFmtId="168" formatCode="_(* #,##0.0_);_(* \(#,##0.0\);_(* &quot;-&quot;??_);_(@_)"/>
    <numFmt numFmtId="169" formatCode="0.0"/>
  </numFmts>
  <fonts count="12">
    <font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MT"/>
    </font>
    <font>
      <b/>
      <sz val="12"/>
      <color rgb="FFFFFFFF"/>
      <name val="Verdana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BDD76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ECECEC"/>
      </bottom>
      <diagonal/>
    </border>
    <border>
      <left/>
      <right style="medium">
        <color rgb="FFCCCCCC"/>
      </right>
      <top/>
      <bottom style="thick">
        <color rgb="FFECECEC"/>
      </bottom>
      <diagonal/>
    </border>
    <border>
      <left/>
      <right style="medium">
        <color rgb="FFCCCCCC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7">
    <xf numFmtId="0" fontId="0" fillId="0" borderId="0" xfId="0"/>
    <xf numFmtId="0" fontId="0" fillId="5" borderId="1" xfId="0" applyFill="1" applyBorder="1" applyAlignment="1">
      <alignment horizontal="center" wrapText="1"/>
    </xf>
    <xf numFmtId="0" fontId="0" fillId="5" borderId="9" xfId="0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5" borderId="0" xfId="0" applyFill="1"/>
    <xf numFmtId="0" fontId="0" fillId="7" borderId="0" xfId="0" applyFill="1"/>
    <xf numFmtId="0" fontId="0" fillId="5" borderId="1" xfId="0" applyFill="1" applyBorder="1" applyAlignment="1">
      <alignment vertical="top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3" fontId="5" fillId="4" borderId="3" xfId="0" applyNumberFormat="1" applyFont="1" applyFill="1" applyBorder="1" applyAlignment="1">
      <alignment horizontal="center" vertical="center" wrapText="1"/>
    </xf>
    <xf numFmtId="3" fontId="4" fillId="4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5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3" fontId="1" fillId="2" borderId="10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4" fillId="5" borderId="3" xfId="0" applyNumberFormat="1" applyFont="1" applyFill="1" applyBorder="1" applyAlignment="1">
      <alignment horizontal="center" vertical="center" wrapText="1"/>
    </xf>
    <xf numFmtId="3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" fontId="4" fillId="0" borderId="3" xfId="0" applyNumberFormat="1" applyFont="1" applyBorder="1" applyAlignment="1">
      <alignment horizontal="center" vertical="center" wrapText="1"/>
    </xf>
    <xf numFmtId="17" fontId="5" fillId="3" borderId="3" xfId="0" applyNumberFormat="1" applyFont="1" applyFill="1" applyBorder="1" applyAlignment="1">
      <alignment horizontal="center" vertical="center" wrapText="1"/>
    </xf>
    <xf numFmtId="17" fontId="4" fillId="5" borderId="3" xfId="0" applyNumberFormat="1" applyFont="1" applyFill="1" applyBorder="1" applyAlignment="1">
      <alignment horizontal="center" vertical="center" wrapText="1"/>
    </xf>
    <xf numFmtId="17" fontId="5" fillId="7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0" fillId="0" borderId="0" xfId="0" applyNumberFormat="1"/>
    <xf numFmtId="0" fontId="0" fillId="0" borderId="12" xfId="0" applyBorder="1"/>
    <xf numFmtId="0" fontId="0" fillId="0" borderId="0" xfId="0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/>
    <xf numFmtId="0" fontId="9" fillId="0" borderId="0" xfId="0" applyFont="1" applyBorder="1"/>
    <xf numFmtId="0" fontId="0" fillId="9" borderId="0" xfId="0" applyFill="1" applyBorder="1"/>
    <xf numFmtId="0" fontId="0" fillId="9" borderId="0" xfId="0" applyFill="1" applyBorder="1" applyAlignment="1">
      <alignment horizontal="right"/>
    </xf>
    <xf numFmtId="0" fontId="8" fillId="10" borderId="0" xfId="0" applyFont="1" applyFill="1" applyBorder="1"/>
    <xf numFmtId="0" fontId="8" fillId="10" borderId="0" xfId="0" applyFont="1" applyFill="1" applyBorder="1" applyAlignment="1">
      <alignment horizontal="right"/>
    </xf>
    <xf numFmtId="0" fontId="0" fillId="0" borderId="0" xfId="0" applyFill="1" applyBorder="1"/>
    <xf numFmtId="164" fontId="0" fillId="0" borderId="0" xfId="0" applyNumberFormat="1" applyBorder="1"/>
    <xf numFmtId="1" fontId="0" fillId="0" borderId="0" xfId="0" applyNumberFormat="1" applyBorder="1" applyAlignment="1">
      <alignment horizontal="right"/>
    </xf>
    <xf numFmtId="165" fontId="8" fillId="8" borderId="0" xfId="1" applyNumberFormat="1" applyFont="1" applyFill="1" applyBorder="1"/>
    <xf numFmtId="0" fontId="10" fillId="0" borderId="0" xfId="0" applyFont="1"/>
    <xf numFmtId="0" fontId="8" fillId="11" borderId="0" xfId="0" applyFont="1" applyFill="1"/>
    <xf numFmtId="3" fontId="0" fillId="0" borderId="12" xfId="0" applyNumberFormat="1" applyBorder="1"/>
    <xf numFmtId="164" fontId="0" fillId="0" borderId="12" xfId="0" applyNumberFormat="1" applyBorder="1"/>
    <xf numFmtId="165" fontId="0" fillId="0" borderId="0" xfId="1" applyNumberFormat="1" applyFont="1" applyBorder="1"/>
    <xf numFmtId="165" fontId="0" fillId="0" borderId="12" xfId="1" applyNumberFormat="1" applyFont="1" applyBorder="1"/>
    <xf numFmtId="43" fontId="0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/>
    <xf numFmtId="165" fontId="0" fillId="9" borderId="0" xfId="1" applyNumberFormat="1" applyFont="1" applyFill="1" applyBorder="1" applyAlignment="1">
      <alignment horizontal="right"/>
    </xf>
    <xf numFmtId="165" fontId="8" fillId="10" borderId="0" xfId="1" applyNumberFormat="1" applyFont="1" applyFill="1" applyBorder="1"/>
    <xf numFmtId="0" fontId="8" fillId="11" borderId="12" xfId="0" applyFont="1" applyFill="1" applyBorder="1" applyAlignment="1">
      <alignment horizontal="right"/>
    </xf>
    <xf numFmtId="165" fontId="0" fillId="9" borderId="0" xfId="1" applyNumberFormat="1" applyFont="1" applyFill="1" applyBorder="1" applyAlignment="1"/>
    <xf numFmtId="3" fontId="0" fillId="0" borderId="0" xfId="0" applyNumberFormat="1" applyBorder="1" applyAlignment="1">
      <alignment horizontal="right"/>
    </xf>
    <xf numFmtId="0" fontId="0" fillId="12" borderId="12" xfId="0" applyFill="1" applyBorder="1"/>
    <xf numFmtId="0" fontId="0" fillId="12" borderId="12" xfId="0" applyFill="1" applyBorder="1" applyAlignment="1">
      <alignment horizontal="right"/>
    </xf>
    <xf numFmtId="166" fontId="0" fillId="12" borderId="12" xfId="0" applyNumberFormat="1" applyFill="1" applyBorder="1" applyAlignment="1">
      <alignment horizontal="right"/>
    </xf>
    <xf numFmtId="166" fontId="0" fillId="12" borderId="12" xfId="0" applyNumberFormat="1" applyFill="1" applyBorder="1"/>
    <xf numFmtId="43" fontId="0" fillId="0" borderId="0" xfId="0" applyNumberFormat="1"/>
    <xf numFmtId="0" fontId="8" fillId="10" borderId="15" xfId="0" applyFont="1" applyFill="1" applyBorder="1"/>
    <xf numFmtId="0" fontId="8" fillId="10" borderId="16" xfId="0" applyFont="1" applyFill="1" applyBorder="1"/>
    <xf numFmtId="167" fontId="0" fillId="0" borderId="0" xfId="0" applyNumberFormat="1" applyBorder="1"/>
    <xf numFmtId="0" fontId="0" fillId="0" borderId="17" xfId="0" applyBorder="1"/>
    <xf numFmtId="0" fontId="0" fillId="0" borderId="19" xfId="0" applyBorder="1"/>
    <xf numFmtId="167" fontId="0" fillId="0" borderId="12" xfId="0" applyNumberFormat="1" applyBorder="1"/>
    <xf numFmtId="0" fontId="0" fillId="0" borderId="20" xfId="0" applyBorder="1"/>
    <xf numFmtId="0" fontId="8" fillId="10" borderId="14" xfId="0" applyFont="1" applyFill="1" applyBorder="1"/>
    <xf numFmtId="169" fontId="0" fillId="0" borderId="0" xfId="0" applyNumberFormat="1" applyBorder="1"/>
    <xf numFmtId="169" fontId="0" fillId="0" borderId="12" xfId="0" applyNumberFormat="1" applyBorder="1"/>
    <xf numFmtId="168" fontId="0" fillId="0" borderId="0" xfId="1" applyNumberFormat="1" applyFont="1" applyBorder="1"/>
    <xf numFmtId="168" fontId="0" fillId="0" borderId="12" xfId="1" applyNumberFormat="1" applyFont="1" applyBorder="1"/>
    <xf numFmtId="168" fontId="0" fillId="0" borderId="0" xfId="0" applyNumberFormat="1" applyBorder="1"/>
    <xf numFmtId="168" fontId="0" fillId="0" borderId="12" xfId="0" applyNumberFormat="1" applyBorder="1"/>
    <xf numFmtId="0" fontId="0" fillId="0" borderId="21" xfId="0" applyFill="1" applyBorder="1"/>
    <xf numFmtId="169" fontId="0" fillId="0" borderId="21" xfId="0" applyNumberFormat="1" applyBorder="1"/>
    <xf numFmtId="0" fontId="0" fillId="0" borderId="23" xfId="0" applyBorder="1"/>
    <xf numFmtId="10" fontId="0" fillId="0" borderId="0" xfId="2" applyNumberFormat="1" applyFont="1" applyBorder="1"/>
    <xf numFmtId="3" fontId="0" fillId="0" borderId="21" xfId="0" applyNumberFormat="1" applyBorder="1"/>
    <xf numFmtId="2" fontId="0" fillId="0" borderId="21" xfId="0" applyNumberFormat="1" applyBorder="1"/>
    <xf numFmtId="0" fontId="0" fillId="0" borderId="22" xfId="0" applyFill="1" applyBorder="1"/>
    <xf numFmtId="166" fontId="11" fillId="13" borderId="12" xfId="0" applyNumberFormat="1" applyFont="1" applyFill="1" applyBorder="1"/>
    <xf numFmtId="0" fontId="8" fillId="15" borderId="0" xfId="0" applyFont="1" applyFill="1" applyBorder="1" applyAlignment="1">
      <alignment horizontal="right"/>
    </xf>
    <xf numFmtId="0" fontId="8" fillId="14" borderId="21" xfId="0" applyFont="1" applyFill="1" applyBorder="1"/>
    <xf numFmtId="0" fontId="8" fillId="14" borderId="21" xfId="0" applyFont="1" applyFill="1" applyBorder="1" applyAlignment="1">
      <alignment horizontal="right"/>
    </xf>
    <xf numFmtId="3" fontId="8" fillId="14" borderId="21" xfId="0" applyNumberFormat="1" applyFont="1" applyFill="1" applyBorder="1"/>
    <xf numFmtId="10" fontId="0" fillId="0" borderId="18" xfId="2" applyNumberFormat="1" applyFont="1" applyBorder="1"/>
    <xf numFmtId="10" fontId="0" fillId="0" borderId="20" xfId="2" applyNumberFormat="1" applyFont="1" applyBorder="1"/>
    <xf numFmtId="0" fontId="8" fillId="10" borderId="24" xfId="0" applyFont="1" applyFill="1" applyBorder="1"/>
    <xf numFmtId="0" fontId="0" fillId="0" borderId="24" xfId="0" applyBorder="1"/>
    <xf numFmtId="167" fontId="0" fillId="0" borderId="24" xfId="0" applyNumberFormat="1" applyBorder="1"/>
    <xf numFmtId="10" fontId="0" fillId="0" borderId="24" xfId="2" applyNumberFormat="1" applyFont="1" applyBorder="1"/>
    <xf numFmtId="2" fontId="0" fillId="0" borderId="24" xfId="0" applyNumberFormat="1" applyBorder="1"/>
    <xf numFmtId="168" fontId="0" fillId="0" borderId="24" xfId="1" applyNumberFormat="1" applyFont="1" applyBorder="1"/>
    <xf numFmtId="0" fontId="0" fillId="0" borderId="24" xfId="0" applyFill="1" applyBorder="1"/>
    <xf numFmtId="169" fontId="0" fillId="0" borderId="24" xfId="0" applyNumberFormat="1" applyBorder="1"/>
    <xf numFmtId="168" fontId="0" fillId="0" borderId="24" xfId="0" applyNumberFormat="1" applyBorder="1"/>
    <xf numFmtId="0" fontId="0" fillId="12" borderId="24" xfId="0" applyFill="1" applyBorder="1"/>
    <xf numFmtId="167" fontId="0" fillId="12" borderId="24" xfId="0" applyNumberFormat="1" applyFill="1" applyBorder="1"/>
    <xf numFmtId="10" fontId="0" fillId="12" borderId="24" xfId="0" applyNumberFormat="1" applyFill="1" applyBorder="1"/>
    <xf numFmtId="2" fontId="0" fillId="12" borderId="24" xfId="0" applyNumberFormat="1" applyFill="1" applyBorder="1"/>
    <xf numFmtId="2" fontId="0" fillId="0" borderId="0" xfId="0" applyNumberFormat="1" applyBorder="1"/>
    <xf numFmtId="0" fontId="8" fillId="15" borderId="12" xfId="0" applyFont="1" applyFill="1" applyBorder="1" applyAlignment="1">
      <alignment horizontal="right"/>
    </xf>
    <xf numFmtId="3" fontId="0" fillId="0" borderId="24" xfId="0" applyNumberFormat="1" applyBorder="1"/>
    <xf numFmtId="0" fontId="8" fillId="11" borderId="24" xfId="0" applyFont="1" applyFill="1" applyBorder="1" applyAlignment="1">
      <alignment horizontal="right"/>
    </xf>
    <xf numFmtId="3" fontId="8" fillId="11" borderId="24" xfId="0" applyNumberFormat="1" applyFont="1" applyFill="1" applyBorder="1"/>
    <xf numFmtId="0" fontId="8" fillId="10" borderId="24" xfId="0" applyFont="1" applyFill="1" applyBorder="1" applyAlignment="1">
      <alignment horizontal="left"/>
    </xf>
    <xf numFmtId="3" fontId="0" fillId="0" borderId="24" xfId="0" applyNumberFormat="1" applyFill="1" applyBorder="1"/>
    <xf numFmtId="164" fontId="0" fillId="0" borderId="24" xfId="0" applyNumberFormat="1" applyBorder="1"/>
    <xf numFmtId="165" fontId="0" fillId="0" borderId="24" xfId="1" applyNumberFormat="1" applyFont="1" applyBorder="1"/>
    <xf numFmtId="43" fontId="0" fillId="0" borderId="24" xfId="1" applyNumberFormat="1" applyFont="1" applyBorder="1"/>
    <xf numFmtId="43" fontId="0" fillId="0" borderId="0" xfId="0" applyNumberFormat="1" applyBorder="1"/>
    <xf numFmtId="3" fontId="0" fillId="0" borderId="12" xfId="0" applyNumberFormat="1" applyBorder="1" applyAlignment="1">
      <alignment horizontal="right"/>
    </xf>
    <xf numFmtId="43" fontId="0" fillId="0" borderId="12" xfId="0" applyNumberFormat="1" applyBorder="1"/>
    <xf numFmtId="166" fontId="0" fillId="0" borderId="0" xfId="0" applyNumberFormat="1" applyBorder="1"/>
    <xf numFmtId="166" fontId="0" fillId="0" borderId="12" xfId="0" applyNumberFormat="1" applyBorder="1"/>
    <xf numFmtId="43" fontId="8" fillId="15" borderId="12" xfId="1" applyFont="1" applyFill="1" applyBorder="1" applyAlignment="1">
      <alignment horizontal="right"/>
    </xf>
    <xf numFmtId="0" fontId="3" fillId="5" borderId="8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2015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-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2018 Electricity Cost</a:t>
            </a:r>
            <a:r>
              <a:rPr lang="en-US" altLang="zh-CN" sz="1800" b="1" i="0" baseline="0">
                <a:effectLst/>
              </a:rPr>
              <a:t>:</a:t>
            </a:r>
            <a:r>
              <a:rPr lang="zh-CN" altLang="en-US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Average Vs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Normalized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'Normalise &amp; HDD'!$D$37</c:f>
              <c:strCache>
                <c:ptCount val="1"/>
                <c:pt idx="0">
                  <c:v>Original Cost</c:v>
                </c:pt>
              </c:strCache>
            </c:strRef>
          </c:tx>
          <c:invertIfNegative val="0"/>
          <c:cat>
            <c:numRef>
              <c:f>'Normalise &amp; HDD'!$B$38:$B$41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'Normalise &amp; HDD'!$D$38:$D$41</c:f>
              <c:numCache>
                <c:formatCode>#,##0</c:formatCode>
                <c:ptCount val="4"/>
                <c:pt idx="0">
                  <c:v>103603</c:v>
                </c:pt>
                <c:pt idx="1">
                  <c:v>108053</c:v>
                </c:pt>
                <c:pt idx="2">
                  <c:v>96775</c:v>
                </c:pt>
                <c:pt idx="3">
                  <c:v>99437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07-5E47-B34E-5646665D47D4}"/>
            </c:ext>
          </c:extLst>
        </c:ser>
        <c:ser>
          <c:idx val="2"/>
          <c:order val="1"/>
          <c:tx>
            <c:strRef>
              <c:f>'Normalise &amp; HDD'!$E$37</c:f>
              <c:strCache>
                <c:ptCount val="1"/>
                <c:pt idx="0">
                  <c:v>Normalized Cost</c:v>
                </c:pt>
              </c:strCache>
            </c:strRef>
          </c:tx>
          <c:invertIfNegative val="0"/>
          <c:cat>
            <c:numRef>
              <c:f>'Normalise &amp; HDD'!$B$38:$B$41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'Normalise &amp; HDD'!$E$38:$E$41</c:f>
              <c:numCache>
                <c:formatCode>_(* #,##0.00_);_(* \(#,##0.00\);_(* "-"??_);_(@_)</c:formatCode>
                <c:ptCount val="4"/>
                <c:pt idx="0">
                  <c:v>114184.91205596477</c:v>
                </c:pt>
                <c:pt idx="1">
                  <c:v>116971.11746734774</c:v>
                </c:pt>
                <c:pt idx="2">
                  <c:v>91273.708270198214</c:v>
                </c:pt>
                <c:pt idx="3">
                  <c:v>100146.26324448529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07-5E47-B34E-5646665D47D4}"/>
            </c:ext>
          </c:extLst>
        </c:ser>
        <c:ser>
          <c:idx val="0"/>
          <c:order val="2"/>
          <c:tx>
            <c:strRef>
              <c:f>'Normalise &amp; HDD'!$F$37</c:f>
              <c:strCache>
                <c:ptCount val="1"/>
                <c:pt idx="0">
                  <c:v>Yearly Average Cost</c:v>
                </c:pt>
              </c:strCache>
            </c:strRef>
          </c:tx>
          <c:invertIfNegative val="0"/>
          <c:cat>
            <c:numRef>
              <c:f>'Normalise &amp; HDD'!$B$38:$B$41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'Normalise &amp; HDD'!$F$38:$F$41</c:f>
              <c:numCache>
                <c:formatCode>_(* #,##0_);_(* \(#,##0\);_(* "-"??_);_(@_)</c:formatCode>
                <c:ptCount val="4"/>
                <c:pt idx="0">
                  <c:v>101967</c:v>
                </c:pt>
                <c:pt idx="1">
                  <c:v>101967</c:v>
                </c:pt>
                <c:pt idx="2">
                  <c:v>101967</c:v>
                </c:pt>
                <c:pt idx="3">
                  <c:v>101967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07-5E47-B34E-5646665D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809536"/>
        <c:axId val="1749811168"/>
      </c:barChart>
      <c:catAx>
        <c:axId val="17498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11168"/>
        <c:crosses val="autoZero"/>
        <c:auto val="1"/>
        <c:lblAlgn val="ctr"/>
        <c:lblOffset val="100"/>
        <c:noMultiLvlLbl val="0"/>
      </c:catAx>
      <c:valAx>
        <c:axId val="17498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09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CUSUM </a:t>
            </a:r>
            <a:r>
              <a:rPr lang="en-US" altLang="zh-CN"/>
              <a:t>A</a:t>
            </a:r>
            <a:r>
              <a:rPr lang="en-US"/>
              <a:t>nalysis </a:t>
            </a:r>
            <a:r>
              <a:rPr lang="en-US" altLang="zh-CN"/>
              <a:t>-</a:t>
            </a:r>
            <a:r>
              <a:rPr lang="en-US"/>
              <a:t> Gas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CUSUM analysis on electricity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('2015-2018 Monthly Data'!$M$5:$M$16,'2015-2018 Monthly Data'!$M$18:$M$29,'2015-2018 Monthly Data'!$M$31:$M$42,'2015-2018 Monthly Data'!$M$44:$M$55)</c:f>
              <c:numCache>
                <c:formatCode>mmm\-yy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xVal>
          <c:yVal>
            <c:numRef>
              <c:f>('2015-2018 Monthly Data'!$U$5:$U$16,'2015-2018 Monthly Data'!$U$18:$U$29,'2015-2018 Monthly Data'!$U$31:$U$42,'2015-2018 Monthly Data'!$U$44:$U$55)</c:f>
              <c:numCache>
                <c:formatCode>#,##0</c:formatCode>
                <c:ptCount val="48"/>
                <c:pt idx="0">
                  <c:v>-51946.520000000004</c:v>
                </c:pt>
                <c:pt idx="1">
                  <c:v>-48612.930000000008</c:v>
                </c:pt>
                <c:pt idx="2">
                  <c:v>-43842.340000000011</c:v>
                </c:pt>
                <c:pt idx="3">
                  <c:v>-52680.790000000008</c:v>
                </c:pt>
                <c:pt idx="4">
                  <c:v>-50778.91</c:v>
                </c:pt>
                <c:pt idx="5">
                  <c:v>-54057.280000000006</c:v>
                </c:pt>
                <c:pt idx="6">
                  <c:v>-59955.460000000006</c:v>
                </c:pt>
                <c:pt idx="7">
                  <c:v>-62275.350000000006</c:v>
                </c:pt>
                <c:pt idx="8">
                  <c:v>-71721.950000000012</c:v>
                </c:pt>
                <c:pt idx="9">
                  <c:v>-68556.770000000019</c:v>
                </c:pt>
                <c:pt idx="10">
                  <c:v>-80387.000000000015</c:v>
                </c:pt>
                <c:pt idx="11">
                  <c:v>-65821.940000000017</c:v>
                </c:pt>
                <c:pt idx="12">
                  <c:v>-60400.360000000015</c:v>
                </c:pt>
                <c:pt idx="13">
                  <c:v>-57650.840000000011</c:v>
                </c:pt>
                <c:pt idx="14">
                  <c:v>-56470.840000000011</c:v>
                </c:pt>
                <c:pt idx="15">
                  <c:v>-57816.48000000001</c:v>
                </c:pt>
                <c:pt idx="16">
                  <c:v>-60775.960000000006</c:v>
                </c:pt>
                <c:pt idx="17">
                  <c:v>-60985.820000000007</c:v>
                </c:pt>
                <c:pt idx="18">
                  <c:v>-57641.180000000008</c:v>
                </c:pt>
                <c:pt idx="19">
                  <c:v>-57466.540000000008</c:v>
                </c:pt>
                <c:pt idx="20">
                  <c:v>-62996.490000000005</c:v>
                </c:pt>
                <c:pt idx="21">
                  <c:v>-67854.970000000016</c:v>
                </c:pt>
                <c:pt idx="22">
                  <c:v>-59291.360000000015</c:v>
                </c:pt>
                <c:pt idx="23">
                  <c:v>-65816.790000000008</c:v>
                </c:pt>
                <c:pt idx="24">
                  <c:v>-61378.260000000009</c:v>
                </c:pt>
                <c:pt idx="25">
                  <c:v>-65833.390000000014</c:v>
                </c:pt>
                <c:pt idx="26">
                  <c:v>-57727.360000000015</c:v>
                </c:pt>
                <c:pt idx="27">
                  <c:v>-51150.98000000001</c:v>
                </c:pt>
                <c:pt idx="28">
                  <c:v>-43757.840000000011</c:v>
                </c:pt>
                <c:pt idx="29">
                  <c:v>-38342.12000000001</c:v>
                </c:pt>
                <c:pt idx="30">
                  <c:v>-29477.890000000007</c:v>
                </c:pt>
                <c:pt idx="31">
                  <c:v>-25792.600000000006</c:v>
                </c:pt>
                <c:pt idx="32">
                  <c:v>-22832.940000000002</c:v>
                </c:pt>
                <c:pt idx="33">
                  <c:v>-23360.619999999995</c:v>
                </c:pt>
                <c:pt idx="34">
                  <c:v>-21118.17</c:v>
                </c:pt>
                <c:pt idx="35">
                  <c:v>-29441.569999999992</c:v>
                </c:pt>
                <c:pt idx="36">
                  <c:v>-21026.859999999986</c:v>
                </c:pt>
                <c:pt idx="37">
                  <c:v>-27720.159999999989</c:v>
                </c:pt>
                <c:pt idx="38">
                  <c:v>-21422.319999999992</c:v>
                </c:pt>
                <c:pt idx="39">
                  <c:v>-20902.239999999991</c:v>
                </c:pt>
                <c:pt idx="40">
                  <c:v>-10046.709999999992</c:v>
                </c:pt>
                <c:pt idx="41">
                  <c:v>-11247.80999999999</c:v>
                </c:pt>
                <c:pt idx="42">
                  <c:v>-9469.6399999999921</c:v>
                </c:pt>
                <c:pt idx="43">
                  <c:v>-20961.179999999993</c:v>
                </c:pt>
                <c:pt idx="44">
                  <c:v>-48373.359999999993</c:v>
                </c:pt>
                <c:pt idx="45">
                  <c:v>-49157.509999999987</c:v>
                </c:pt>
                <c:pt idx="46">
                  <c:v>-29852.929999999986</c:v>
                </c:pt>
                <c:pt idx="47">
                  <c:v>-105189.16999999998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6-6E4E-BA42-AEAB35D6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86448"/>
        <c:axId val="1161537536"/>
      </c:scatterChart>
      <c:valAx>
        <c:axId val="15432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37536"/>
        <c:crosses val="autoZero"/>
        <c:crossBetween val="midCat"/>
      </c:valAx>
      <c:valAx>
        <c:axId val="11615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Linear</a:t>
            </a:r>
            <a:r>
              <a:rPr lang="zh-CN" altLang="en-US"/>
              <a:t> </a:t>
            </a:r>
            <a:r>
              <a:rPr lang="en-US" altLang="zh-CN"/>
              <a:t>Regression</a:t>
            </a:r>
            <a:r>
              <a:rPr lang="zh-CN" altLang="en-US"/>
              <a:t>  </a:t>
            </a:r>
            <a:r>
              <a:rPr lang="en-US" altLang="zh-CN"/>
              <a:t>-</a:t>
            </a:r>
            <a:r>
              <a:rPr lang="zh-CN" altLang="en-US" baseline="0"/>
              <a:t> </a:t>
            </a:r>
            <a:r>
              <a:rPr lang="en-US"/>
              <a:t>Electrical </a:t>
            </a:r>
            <a:r>
              <a:rPr lang="en-US" altLang="zh-CN"/>
              <a:t>C</a:t>
            </a:r>
            <a:r>
              <a:rPr lang="en-US"/>
              <a:t>onsumption</a:t>
            </a:r>
            <a:r>
              <a:rPr lang="en-US" baseline="0"/>
              <a:t> vs HDD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53207810492124"/>
                  <c:y val="-7.7610622205455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'2015-2018 Monthly Data'!$K$5:$K$16</c:f>
              <c:numCache>
                <c:formatCode>#,##0</c:formatCode>
                <c:ptCount val="12"/>
                <c:pt idx="0">
                  <c:v>384</c:v>
                </c:pt>
                <c:pt idx="1">
                  <c:v>297</c:v>
                </c:pt>
                <c:pt idx="2">
                  <c:v>297</c:v>
                </c:pt>
                <c:pt idx="3">
                  <c:v>265</c:v>
                </c:pt>
                <c:pt idx="4">
                  <c:v>104</c:v>
                </c:pt>
                <c:pt idx="5">
                  <c:v>29</c:v>
                </c:pt>
                <c:pt idx="6">
                  <c:v>6</c:v>
                </c:pt>
                <c:pt idx="7">
                  <c:v>13</c:v>
                </c:pt>
                <c:pt idx="8">
                  <c:v>120</c:v>
                </c:pt>
                <c:pt idx="9">
                  <c:v>194</c:v>
                </c:pt>
                <c:pt idx="10">
                  <c:v>391</c:v>
                </c:pt>
                <c:pt idx="11">
                  <c:v>398</c:v>
                </c:pt>
              </c:numCache>
            </c:numRef>
          </c:xVal>
          <c:yVal>
            <c:numRef>
              <c:f>'2015-2018 Monthly Data'!$D$5:$D$16</c:f>
              <c:numCache>
                <c:formatCode>#,##0</c:formatCode>
                <c:ptCount val="12"/>
                <c:pt idx="0">
                  <c:v>90053</c:v>
                </c:pt>
                <c:pt idx="1">
                  <c:v>79545</c:v>
                </c:pt>
                <c:pt idx="2">
                  <c:v>84357</c:v>
                </c:pt>
                <c:pt idx="3">
                  <c:v>77696</c:v>
                </c:pt>
                <c:pt idx="4">
                  <c:v>74588</c:v>
                </c:pt>
                <c:pt idx="5">
                  <c:v>67671</c:v>
                </c:pt>
                <c:pt idx="6">
                  <c:v>66779</c:v>
                </c:pt>
                <c:pt idx="7">
                  <c:v>65529</c:v>
                </c:pt>
                <c:pt idx="8">
                  <c:v>68034</c:v>
                </c:pt>
                <c:pt idx="9">
                  <c:v>74795</c:v>
                </c:pt>
                <c:pt idx="10">
                  <c:v>79238</c:v>
                </c:pt>
                <c:pt idx="11">
                  <c:v>89803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9-5842-876B-97FA9BACA32C}"/>
            </c:ext>
          </c:extLst>
        </c:ser>
        <c:ser>
          <c:idx val="1"/>
          <c:order val="1"/>
          <c:tx>
            <c:v>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6841597173477"/>
                  <c:y val="-5.4838498944557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'2015-2018 Monthly Data'!$K$18:$K$29</c:f>
              <c:numCache>
                <c:formatCode>#,##0</c:formatCode>
                <c:ptCount val="12"/>
                <c:pt idx="0">
                  <c:v>414</c:v>
                </c:pt>
                <c:pt idx="1">
                  <c:v>316</c:v>
                </c:pt>
                <c:pt idx="2">
                  <c:v>300</c:v>
                </c:pt>
                <c:pt idx="3">
                  <c:v>188</c:v>
                </c:pt>
                <c:pt idx="4">
                  <c:v>116</c:v>
                </c:pt>
                <c:pt idx="5">
                  <c:v>62</c:v>
                </c:pt>
                <c:pt idx="6">
                  <c:v>12</c:v>
                </c:pt>
                <c:pt idx="7">
                  <c:v>12</c:v>
                </c:pt>
                <c:pt idx="8">
                  <c:v>115</c:v>
                </c:pt>
                <c:pt idx="9">
                  <c:v>216</c:v>
                </c:pt>
                <c:pt idx="10">
                  <c:v>263</c:v>
                </c:pt>
                <c:pt idx="11">
                  <c:v>531</c:v>
                </c:pt>
              </c:numCache>
            </c:numRef>
          </c:xVal>
          <c:yVal>
            <c:numRef>
              <c:f>'2015-2018 Monthly Data'!$D$18:$D$29</c:f>
              <c:numCache>
                <c:formatCode>#,##0</c:formatCode>
                <c:ptCount val="12"/>
                <c:pt idx="0">
                  <c:v>87724</c:v>
                </c:pt>
                <c:pt idx="1">
                  <c:v>79181</c:v>
                </c:pt>
                <c:pt idx="2">
                  <c:v>79837</c:v>
                </c:pt>
                <c:pt idx="3">
                  <c:v>74417</c:v>
                </c:pt>
                <c:pt idx="4">
                  <c:v>74218</c:v>
                </c:pt>
                <c:pt idx="5">
                  <c:v>69917</c:v>
                </c:pt>
                <c:pt idx="6">
                  <c:v>70427</c:v>
                </c:pt>
                <c:pt idx="7">
                  <c:v>70716</c:v>
                </c:pt>
                <c:pt idx="8">
                  <c:v>72158</c:v>
                </c:pt>
                <c:pt idx="9">
                  <c:v>77675</c:v>
                </c:pt>
                <c:pt idx="10">
                  <c:v>80258</c:v>
                </c:pt>
                <c:pt idx="11">
                  <c:v>88899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D9-5842-876B-97FA9BACA32C}"/>
            </c:ext>
          </c:extLst>
        </c:ser>
        <c:ser>
          <c:idx val="2"/>
          <c:order val="2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958588830419992E-3"/>
                  <c:y val="-8.7774833517746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'2015-2018 Monthly Data'!$K$31:$K$42</c:f>
              <c:numCache>
                <c:formatCode>#,##0</c:formatCode>
                <c:ptCount val="12"/>
                <c:pt idx="0">
                  <c:v>499</c:v>
                </c:pt>
                <c:pt idx="1">
                  <c:v>421</c:v>
                </c:pt>
                <c:pt idx="2">
                  <c:v>349</c:v>
                </c:pt>
                <c:pt idx="3">
                  <c:v>254</c:v>
                </c:pt>
                <c:pt idx="4">
                  <c:v>162</c:v>
                </c:pt>
                <c:pt idx="5">
                  <c:v>76</c:v>
                </c:pt>
                <c:pt idx="6">
                  <c:v>9</c:v>
                </c:pt>
                <c:pt idx="7">
                  <c:v>7</c:v>
                </c:pt>
                <c:pt idx="8">
                  <c:v>78</c:v>
                </c:pt>
                <c:pt idx="9">
                  <c:v>256</c:v>
                </c:pt>
                <c:pt idx="10">
                  <c:v>335</c:v>
                </c:pt>
                <c:pt idx="11">
                  <c:v>480</c:v>
                </c:pt>
              </c:numCache>
            </c:numRef>
          </c:xVal>
          <c:yVal>
            <c:numRef>
              <c:f>'2015-2018 Monthly Data'!$D$31:$D$42</c:f>
              <c:numCache>
                <c:formatCode>#,##0</c:formatCode>
                <c:ptCount val="12"/>
                <c:pt idx="0">
                  <c:v>88281</c:v>
                </c:pt>
                <c:pt idx="1">
                  <c:v>77351</c:v>
                </c:pt>
                <c:pt idx="2">
                  <c:v>81876</c:v>
                </c:pt>
                <c:pt idx="3">
                  <c:v>75694</c:v>
                </c:pt>
                <c:pt idx="4">
                  <c:v>73605</c:v>
                </c:pt>
                <c:pt idx="5">
                  <c:v>66766</c:v>
                </c:pt>
                <c:pt idx="6">
                  <c:v>68225</c:v>
                </c:pt>
                <c:pt idx="7">
                  <c:v>68373</c:v>
                </c:pt>
                <c:pt idx="8">
                  <c:v>69867</c:v>
                </c:pt>
                <c:pt idx="9">
                  <c:v>76063</c:v>
                </c:pt>
                <c:pt idx="10">
                  <c:v>76719</c:v>
                </c:pt>
                <c:pt idx="11">
                  <c:v>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D9-5842-876B-97FA9BACA32C}"/>
            </c:ext>
          </c:extLst>
        </c:ser>
        <c:ser>
          <c:idx val="3"/>
          <c:order val="3"/>
          <c:tx>
            <c:v>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723662194004289"/>
                  <c:y val="-0.2814877024595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'2015-2018 Monthly Data'!$K$44:$K$55</c:f>
              <c:numCache>
                <c:formatCode>#,##0</c:formatCode>
                <c:ptCount val="12"/>
                <c:pt idx="0">
                  <c:v>393</c:v>
                </c:pt>
                <c:pt idx="1">
                  <c:v>410</c:v>
                </c:pt>
                <c:pt idx="2">
                  <c:v>372</c:v>
                </c:pt>
                <c:pt idx="3">
                  <c:v>264</c:v>
                </c:pt>
                <c:pt idx="4">
                  <c:v>99</c:v>
                </c:pt>
                <c:pt idx="5">
                  <c:v>70</c:v>
                </c:pt>
                <c:pt idx="6">
                  <c:v>11</c:v>
                </c:pt>
                <c:pt idx="7">
                  <c:v>18</c:v>
                </c:pt>
                <c:pt idx="8">
                  <c:v>106</c:v>
                </c:pt>
                <c:pt idx="9">
                  <c:v>255</c:v>
                </c:pt>
                <c:pt idx="10">
                  <c:v>314</c:v>
                </c:pt>
                <c:pt idx="11">
                  <c:v>408</c:v>
                </c:pt>
              </c:numCache>
            </c:numRef>
          </c:xVal>
          <c:yVal>
            <c:numRef>
              <c:f>'2015-2018 Monthly Data'!$D$44:$D$55</c:f>
              <c:numCache>
                <c:formatCode>#,##0</c:formatCode>
                <c:ptCount val="12"/>
                <c:pt idx="0">
                  <c:v>85535</c:v>
                </c:pt>
                <c:pt idx="1">
                  <c:v>75552</c:v>
                </c:pt>
                <c:pt idx="2">
                  <c:v>78921</c:v>
                </c:pt>
                <c:pt idx="3">
                  <c:v>72874</c:v>
                </c:pt>
                <c:pt idx="4">
                  <c:v>72461</c:v>
                </c:pt>
                <c:pt idx="5">
                  <c:v>67005</c:v>
                </c:pt>
                <c:pt idx="6">
                  <c:v>67971</c:v>
                </c:pt>
                <c:pt idx="7">
                  <c:v>67245</c:v>
                </c:pt>
                <c:pt idx="8">
                  <c:v>67816</c:v>
                </c:pt>
                <c:pt idx="9">
                  <c:v>73764</c:v>
                </c:pt>
                <c:pt idx="10">
                  <c:v>51020</c:v>
                </c:pt>
                <c:pt idx="11">
                  <c:v>12439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D9-5842-876B-97FA9BAC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78400"/>
        <c:axId val="1620854624"/>
      </c:scatterChart>
      <c:valAx>
        <c:axId val="16206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54624"/>
        <c:crosses val="autoZero"/>
        <c:crossBetween val="midCat"/>
      </c:valAx>
      <c:valAx>
        <c:axId val="1620854624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Electrical consumption/kWh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7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Linear</a:t>
            </a:r>
            <a:r>
              <a:rPr lang="zh-CN" altLang="zh-CN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Regression</a:t>
            </a:r>
            <a:r>
              <a:rPr lang="zh-CN" altLang="zh-CN" sz="1400" b="0" i="0" u="none" strike="noStrike" baseline="0">
                <a:effectLst/>
              </a:rPr>
              <a:t> </a:t>
            </a:r>
            <a:r>
              <a:rPr lang="en-US" altLang="zh-CN" sz="1400" b="0" i="0" u="none" strike="noStrike" baseline="0">
                <a:effectLst/>
              </a:rPr>
              <a:t>-</a:t>
            </a:r>
            <a:r>
              <a:rPr lang="zh-CN" altLang="zh-CN" sz="1400" b="0" i="0" u="none" strike="noStrike" baseline="0">
                <a:effectLst/>
              </a:rPr>
              <a:t> </a:t>
            </a:r>
            <a:r>
              <a:rPr lang="en-US"/>
              <a:t>Gas </a:t>
            </a:r>
            <a:r>
              <a:rPr lang="en-US" altLang="zh-CN"/>
              <a:t>C</a:t>
            </a:r>
            <a:r>
              <a:rPr lang="en-US"/>
              <a:t>onsumption</a:t>
            </a:r>
            <a:r>
              <a:rPr lang="en-US" baseline="0"/>
              <a:t> vs HDD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72420299814799"/>
                  <c:y val="-0.228649407228857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'2015-2018 Monthly Data'!$K$5:$K$16</c:f>
              <c:numCache>
                <c:formatCode>#,##0</c:formatCode>
                <c:ptCount val="12"/>
                <c:pt idx="0">
                  <c:v>384</c:v>
                </c:pt>
                <c:pt idx="1">
                  <c:v>297</c:v>
                </c:pt>
                <c:pt idx="2">
                  <c:v>297</c:v>
                </c:pt>
                <c:pt idx="3">
                  <c:v>265</c:v>
                </c:pt>
                <c:pt idx="4">
                  <c:v>104</c:v>
                </c:pt>
                <c:pt idx="5">
                  <c:v>29</c:v>
                </c:pt>
                <c:pt idx="6">
                  <c:v>6</c:v>
                </c:pt>
                <c:pt idx="7">
                  <c:v>13</c:v>
                </c:pt>
                <c:pt idx="8">
                  <c:v>120</c:v>
                </c:pt>
                <c:pt idx="9">
                  <c:v>194</c:v>
                </c:pt>
                <c:pt idx="10">
                  <c:v>391</c:v>
                </c:pt>
                <c:pt idx="11">
                  <c:v>398</c:v>
                </c:pt>
              </c:numCache>
            </c:numRef>
          </c:xVal>
          <c:yVal>
            <c:numRef>
              <c:f>'2015-2018 Monthly Data'!$G$5:$G$16</c:f>
              <c:numCache>
                <c:formatCode>#,##0</c:formatCode>
                <c:ptCount val="12"/>
                <c:pt idx="0">
                  <c:v>64083</c:v>
                </c:pt>
                <c:pt idx="1">
                  <c:v>100960</c:v>
                </c:pt>
                <c:pt idx="2">
                  <c:v>102397</c:v>
                </c:pt>
                <c:pt idx="3">
                  <c:v>82019</c:v>
                </c:pt>
                <c:pt idx="4">
                  <c:v>58703</c:v>
                </c:pt>
                <c:pt idx="5">
                  <c:v>37658</c:v>
                </c:pt>
                <c:pt idx="6">
                  <c:v>30173</c:v>
                </c:pt>
                <c:pt idx="7">
                  <c:v>35232</c:v>
                </c:pt>
                <c:pt idx="8">
                  <c:v>50739</c:v>
                </c:pt>
                <c:pt idx="9">
                  <c:v>79004</c:v>
                </c:pt>
                <c:pt idx="10">
                  <c:v>105680</c:v>
                </c:pt>
                <c:pt idx="11">
                  <c:v>133556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F-6C43-B90E-CB71552D83E7}"/>
            </c:ext>
          </c:extLst>
        </c:ser>
        <c:ser>
          <c:idx val="1"/>
          <c:order val="1"/>
          <c:tx>
            <c:v>2016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29580276958419"/>
                  <c:y val="-3.10695375049684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'2015-2018 Monthly Data'!$K$18:$K$29</c:f>
              <c:numCache>
                <c:formatCode>#,##0</c:formatCode>
                <c:ptCount val="12"/>
                <c:pt idx="0">
                  <c:v>414</c:v>
                </c:pt>
                <c:pt idx="1">
                  <c:v>316</c:v>
                </c:pt>
                <c:pt idx="2">
                  <c:v>300</c:v>
                </c:pt>
                <c:pt idx="3">
                  <c:v>188</c:v>
                </c:pt>
                <c:pt idx="4">
                  <c:v>116</c:v>
                </c:pt>
                <c:pt idx="5">
                  <c:v>62</c:v>
                </c:pt>
                <c:pt idx="6">
                  <c:v>12</c:v>
                </c:pt>
                <c:pt idx="7">
                  <c:v>12</c:v>
                </c:pt>
                <c:pt idx="8">
                  <c:v>115</c:v>
                </c:pt>
                <c:pt idx="9">
                  <c:v>216</c:v>
                </c:pt>
                <c:pt idx="10">
                  <c:v>263</c:v>
                </c:pt>
                <c:pt idx="11">
                  <c:v>531</c:v>
                </c:pt>
              </c:numCache>
            </c:numRef>
          </c:xVal>
          <c:yVal>
            <c:numRef>
              <c:f>'2015-2018 Monthly Data'!$G$18:$G$29</c:f>
              <c:numCache>
                <c:formatCode>#,##0</c:formatCode>
                <c:ptCount val="12"/>
                <c:pt idx="0">
                  <c:v>127797</c:v>
                </c:pt>
                <c:pt idx="1">
                  <c:v>104395</c:v>
                </c:pt>
                <c:pt idx="2">
                  <c:v>99441</c:v>
                </c:pt>
                <c:pt idx="3">
                  <c:v>73224</c:v>
                </c:pt>
                <c:pt idx="4">
                  <c:v>56380</c:v>
                </c:pt>
                <c:pt idx="5">
                  <c:v>47707</c:v>
                </c:pt>
                <c:pt idx="6">
                  <c:v>40685</c:v>
                </c:pt>
                <c:pt idx="7">
                  <c:v>37515</c:v>
                </c:pt>
                <c:pt idx="8">
                  <c:v>53598</c:v>
                </c:pt>
                <c:pt idx="9">
                  <c:v>75634</c:v>
                </c:pt>
                <c:pt idx="10">
                  <c:v>98998</c:v>
                </c:pt>
                <c:pt idx="11">
                  <c:v>140599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F-6C43-B90E-CB71552D83E7}"/>
            </c:ext>
          </c:extLst>
        </c:ser>
        <c:ser>
          <c:idx val="2"/>
          <c:order val="2"/>
          <c:tx>
            <c:v>2017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730745188481089E-3"/>
                  <c:y val="-7.201928534027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'2015-2018 Monthly Data'!$K$31:$K$42</c:f>
              <c:numCache>
                <c:formatCode>#,##0</c:formatCode>
                <c:ptCount val="12"/>
                <c:pt idx="0">
                  <c:v>499</c:v>
                </c:pt>
                <c:pt idx="1">
                  <c:v>421</c:v>
                </c:pt>
                <c:pt idx="2">
                  <c:v>349</c:v>
                </c:pt>
                <c:pt idx="3">
                  <c:v>254</c:v>
                </c:pt>
                <c:pt idx="4">
                  <c:v>162</c:v>
                </c:pt>
                <c:pt idx="5">
                  <c:v>76</c:v>
                </c:pt>
                <c:pt idx="6">
                  <c:v>9</c:v>
                </c:pt>
                <c:pt idx="7">
                  <c:v>7</c:v>
                </c:pt>
                <c:pt idx="8">
                  <c:v>78</c:v>
                </c:pt>
                <c:pt idx="9">
                  <c:v>256</c:v>
                </c:pt>
                <c:pt idx="10">
                  <c:v>335</c:v>
                </c:pt>
                <c:pt idx="11">
                  <c:v>480</c:v>
                </c:pt>
              </c:numCache>
            </c:numRef>
          </c:xVal>
          <c:yVal>
            <c:numRef>
              <c:f>'2015-2018 Monthly Data'!$G$31:$G$42</c:f>
              <c:numCache>
                <c:formatCode>#,##0</c:formatCode>
                <c:ptCount val="12"/>
                <c:pt idx="0">
                  <c:v>144794</c:v>
                </c:pt>
                <c:pt idx="1">
                  <c:v>119401</c:v>
                </c:pt>
                <c:pt idx="2">
                  <c:v>116732</c:v>
                </c:pt>
                <c:pt idx="3">
                  <c:v>95107</c:v>
                </c:pt>
                <c:pt idx="4">
                  <c:v>76463</c:v>
                </c:pt>
                <c:pt idx="5">
                  <c:v>56294</c:v>
                </c:pt>
                <c:pt idx="6">
                  <c:v>45570</c:v>
                </c:pt>
                <c:pt idx="7">
                  <c:v>39968</c:v>
                </c:pt>
                <c:pt idx="8">
                  <c:v>54261</c:v>
                </c:pt>
                <c:pt idx="9">
                  <c:v>88426</c:v>
                </c:pt>
                <c:pt idx="10">
                  <c:v>107907</c:v>
                </c:pt>
                <c:pt idx="11">
                  <c:v>128013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F-6C43-B90E-CB71552D83E7}"/>
            </c:ext>
          </c:extLst>
        </c:ser>
        <c:ser>
          <c:idx val="3"/>
          <c:order val="3"/>
          <c:tx>
            <c:v>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51957027321895"/>
                  <c:y val="-0.22499085299046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'2015-2018 Monthly Data'!$K$44:$K$55</c:f>
              <c:numCache>
                <c:formatCode>#,##0</c:formatCode>
                <c:ptCount val="12"/>
                <c:pt idx="0">
                  <c:v>393</c:v>
                </c:pt>
                <c:pt idx="1">
                  <c:v>410</c:v>
                </c:pt>
                <c:pt idx="2">
                  <c:v>372</c:v>
                </c:pt>
                <c:pt idx="3">
                  <c:v>264</c:v>
                </c:pt>
                <c:pt idx="4">
                  <c:v>99</c:v>
                </c:pt>
                <c:pt idx="5">
                  <c:v>70</c:v>
                </c:pt>
                <c:pt idx="6">
                  <c:v>11</c:v>
                </c:pt>
                <c:pt idx="7">
                  <c:v>18</c:v>
                </c:pt>
                <c:pt idx="8">
                  <c:v>106</c:v>
                </c:pt>
                <c:pt idx="9">
                  <c:v>255</c:v>
                </c:pt>
                <c:pt idx="10">
                  <c:v>314</c:v>
                </c:pt>
                <c:pt idx="11">
                  <c:v>408</c:v>
                </c:pt>
              </c:numCache>
            </c:numRef>
          </c:xVal>
          <c:yVal>
            <c:numRef>
              <c:f>'2015-2018 Monthly Data'!$G$44:$G$55</c:f>
              <c:numCache>
                <c:formatCode>#,##0</c:formatCode>
                <c:ptCount val="12"/>
                <c:pt idx="0">
                  <c:v>126348</c:v>
                </c:pt>
                <c:pt idx="1">
                  <c:v>114836</c:v>
                </c:pt>
                <c:pt idx="2">
                  <c:v>119789</c:v>
                </c:pt>
                <c:pt idx="3">
                  <c:v>91166</c:v>
                </c:pt>
                <c:pt idx="4">
                  <c:v>66599</c:v>
                </c:pt>
                <c:pt idx="5">
                  <c:v>48408</c:v>
                </c:pt>
                <c:pt idx="6">
                  <c:v>38907</c:v>
                </c:pt>
                <c:pt idx="7">
                  <c:v>27118</c:v>
                </c:pt>
                <c:pt idx="8">
                  <c:v>29812</c:v>
                </c:pt>
                <c:pt idx="9">
                  <c:v>87958</c:v>
                </c:pt>
                <c:pt idx="10">
                  <c:v>120527</c:v>
                </c:pt>
                <c:pt idx="11">
                  <c:v>45770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DF-6C43-B90E-CB71552D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78400"/>
        <c:axId val="1620854624"/>
      </c:scatterChart>
      <c:valAx>
        <c:axId val="16206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54624"/>
        <c:crosses val="autoZero"/>
        <c:crossBetween val="midCat"/>
      </c:valAx>
      <c:valAx>
        <c:axId val="1620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Gasconsumption/kWh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7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2015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-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2018 Gas Cost</a:t>
            </a:r>
            <a:r>
              <a:rPr lang="en-US" altLang="zh-CN" sz="1800" b="1" i="0" baseline="0">
                <a:effectLst/>
              </a:rPr>
              <a:t>:</a:t>
            </a:r>
            <a:r>
              <a:rPr lang="en-US" sz="1800" b="1" i="0" baseline="0">
                <a:effectLst/>
              </a:rPr>
              <a:t> Average Vs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Normalized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'Normalise &amp; HDD'!$D$42</c:f>
              <c:strCache>
                <c:ptCount val="1"/>
                <c:pt idx="0">
                  <c:v>Original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'Normalise &amp; HDD'!$B$43:$B$46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'Normalise &amp; HDD'!$D$43:$D$46</c:f>
              <c:numCache>
                <c:formatCode>#,##0</c:formatCode>
                <c:ptCount val="4"/>
                <c:pt idx="0">
                  <c:v>27654</c:v>
                </c:pt>
                <c:pt idx="1">
                  <c:v>26428</c:v>
                </c:pt>
                <c:pt idx="2">
                  <c:v>30996</c:v>
                </c:pt>
                <c:pt idx="3">
                  <c:v>24857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4-6A44-B159-1EEC13959A30}"/>
            </c:ext>
          </c:extLst>
        </c:ser>
        <c:ser>
          <c:idx val="2"/>
          <c:order val="1"/>
          <c:tx>
            <c:strRef>
              <c:f>'Normalise &amp; HDD'!$E$42</c:f>
              <c:strCache>
                <c:ptCount val="1"/>
                <c:pt idx="0">
                  <c:v>Normalized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'Normalise &amp; HDD'!$B$43:$B$46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'Normalise &amp; HDD'!$E$43:$E$46</c:f>
              <c:numCache>
                <c:formatCode>_(* #,##0.00_);_(* \(#,##0.00\);_(* "-"??_);_(@_)</c:formatCode>
                <c:ptCount val="4"/>
                <c:pt idx="0">
                  <c:v>30432.797600000002</c:v>
                </c:pt>
                <c:pt idx="1">
                  <c:v>28552.704000000002</c:v>
                </c:pt>
                <c:pt idx="2">
                  <c:v>29123.107999999997</c:v>
                </c:pt>
                <c:pt idx="3">
                  <c:v>25126.205599999998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7-974C-B3C7-1583473CF4D4}"/>
            </c:ext>
          </c:extLst>
        </c:ser>
        <c:ser>
          <c:idx val="3"/>
          <c:order val="2"/>
          <c:tx>
            <c:strRef>
              <c:f>'Normalise &amp; HDD'!$F$42</c:f>
              <c:strCache>
                <c:ptCount val="1"/>
                <c:pt idx="0">
                  <c:v>Yearly Average 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'Normalise &amp; HDD'!$B$43:$B$46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'Normalise &amp; HDD'!$F$43:$F$46</c:f>
              <c:numCache>
                <c:formatCode>_(* #,##0_);_(* \(#,##0\);_(* "-"??_);_(@_)</c:formatCode>
                <c:ptCount val="4"/>
                <c:pt idx="0">
                  <c:v>27484</c:v>
                </c:pt>
                <c:pt idx="1">
                  <c:v>27484</c:v>
                </c:pt>
                <c:pt idx="2">
                  <c:v>27484</c:v>
                </c:pt>
                <c:pt idx="3">
                  <c:v>27484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7-974C-B3C7-1583473C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69182175"/>
        <c:axId val="2069340383"/>
      </c:barChart>
      <c:catAx>
        <c:axId val="20691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340383"/>
        <c:crosses val="autoZero"/>
        <c:auto val="1"/>
        <c:lblAlgn val="ctr"/>
        <c:lblOffset val="100"/>
        <c:noMultiLvlLbl val="0"/>
      </c:catAx>
      <c:valAx>
        <c:axId val="20693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1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="1"/>
              <a:t>2015</a:t>
            </a:r>
            <a:r>
              <a:rPr lang="zh-CN" altLang="en-US" sz="1500" b="1"/>
              <a:t> </a:t>
            </a:r>
            <a:r>
              <a:rPr lang="en-US" altLang="zh-CN" sz="1500" b="1"/>
              <a:t>-</a:t>
            </a:r>
            <a:r>
              <a:rPr lang="zh-CN" altLang="en-US" sz="1500" b="1"/>
              <a:t> </a:t>
            </a:r>
            <a:r>
              <a:rPr lang="en-US" altLang="zh-CN" sz="1500" b="1"/>
              <a:t>2018</a:t>
            </a:r>
            <a:r>
              <a:rPr lang="zh-CN" altLang="en-US" sz="1500" b="1"/>
              <a:t> </a:t>
            </a:r>
            <a:r>
              <a:rPr lang="en-US" sz="1500" b="1"/>
              <a:t>Annual Heating Degree Days</a:t>
            </a:r>
            <a:r>
              <a:rPr lang="zh-CN" altLang="en-US" sz="1500" b="1"/>
              <a:t> </a:t>
            </a:r>
            <a:r>
              <a:rPr lang="en-US" altLang="zh-CN" sz="1500" b="1"/>
              <a:t>(18℃)</a:t>
            </a:r>
            <a:r>
              <a:rPr lang="zh-CN" altLang="en-US" sz="1500" b="1"/>
              <a:t> </a:t>
            </a:r>
            <a:r>
              <a:rPr lang="en-US" altLang="zh-CN" sz="1500" b="1"/>
              <a:t>in</a:t>
            </a:r>
            <a:r>
              <a:rPr lang="zh-CN" altLang="en-US" sz="1500" b="1"/>
              <a:t> </a:t>
            </a:r>
            <a:r>
              <a:rPr lang="en-US" altLang="zh-CN" sz="1500" b="1"/>
              <a:t>Vancouver</a:t>
            </a:r>
            <a:endParaRPr lang="en-US" sz="1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'Normalise &amp; HDD'!$C$2</c:f>
              <c:strCache>
                <c:ptCount val="1"/>
                <c:pt idx="0">
                  <c:v>Annual heating degree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'Normalise &amp; HDD'!$B$6:$B$9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'Normalise &amp; HDD'!$C$6:$C$9</c:f>
              <c:numCache>
                <c:formatCode>#,##0</c:formatCode>
                <c:ptCount val="4"/>
                <c:pt idx="0">
                  <c:v>2498</c:v>
                </c:pt>
                <c:pt idx="1">
                  <c:v>2545</c:v>
                </c:pt>
                <c:pt idx="2">
                  <c:v>2926</c:v>
                </c:pt>
                <c:pt idx="3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1-A44D-B2B6-13722BC51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0318751"/>
        <c:axId val="1977135151"/>
      </c:barChart>
      <c:catAx>
        <c:axId val="20203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35151"/>
        <c:crosses val="autoZero"/>
        <c:auto val="1"/>
        <c:lblAlgn val="ctr"/>
        <c:lblOffset val="100"/>
        <c:noMultiLvlLbl val="0"/>
      </c:catAx>
      <c:valAx>
        <c:axId val="19771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2000" b="1" i="0" u="none" strike="noStrike" baseline="0">
                <a:solidFill>
                  <a:schemeClr val="tx1"/>
                </a:solidFill>
                <a:effectLst/>
              </a:rPr>
              <a:t>Annual</a:t>
            </a:r>
            <a:r>
              <a:rPr lang="zh-CN" altLang="en-US" sz="2000" b="1" i="0" u="none" strike="noStrike" baseline="0">
                <a:solidFill>
                  <a:schemeClr val="tx1"/>
                </a:solidFill>
                <a:effectLst/>
              </a:rPr>
              <a:t> </a:t>
            </a:r>
            <a:r>
              <a:rPr lang="en-CA" sz="2000" b="1" i="0" u="none" strike="noStrike" baseline="0">
                <a:solidFill>
                  <a:schemeClr val="tx1"/>
                </a:solidFill>
                <a:effectLst/>
              </a:rPr>
              <a:t>Energy end-use Breakdown</a:t>
            </a:r>
            <a:endParaRPr lang="en-US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'EUI &amp; Energy Usage'!$D$37</c:f>
              <c:strCache>
                <c:ptCount val="1"/>
                <c:pt idx="0">
                  <c:v>Energy Use (ekWH)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E82-47DC-89D3-B32B09F046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82-47DC-89D3-B32B09F046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4B-1940-8E5F-5587C2F64F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E4B-1940-8E5F-5587C2F64F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E4B-1940-8E5F-5587C2F64F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E4B-1940-8E5F-5587C2F64F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E4B-1940-8E5F-5587C2F64F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82-47DC-89D3-B32B09F046FA}"/>
              </c:ext>
            </c:extLst>
          </c:dPt>
          <c:dPt>
            <c:idx val="8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E82-47DC-89D3-B32B09F046FA}"/>
              </c:ext>
            </c:extLst>
          </c:dPt>
          <c:dLbls>
            <c:dLbl>
              <c:idx val="0"/>
              <c:layout>
                <c:manualLayout>
                  <c:x val="-0.14678591829732246"/>
                  <c:y val="-0.10398409507050838"/>
                </c:manualLayout>
              </c:layout>
              <c:tx>
                <c:rich>
                  <a:bodyPr/>
                  <a:lstStyle/>
                  <a:p>
                    <a:fld id="{C1E5D7D8-2231-5543-9A44-42795DD865A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altLang="zh-CN" baseline="0"/>
                      <a:t>57.3%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E82-47DC-89D3-B32B09F046FA}"/>
                </c:ext>
              </c:extLst>
            </c:dLbl>
            <c:dLbl>
              <c:idx val="1"/>
              <c:layout>
                <c:manualLayout>
                  <c:x val="0.16376407216626176"/>
                  <c:y val="-0.16647171374355949"/>
                </c:manualLayout>
              </c:layout>
              <c:tx>
                <c:rich>
                  <a:bodyPr/>
                  <a:lstStyle/>
                  <a:p>
                    <a:fld id="{133FBCAA-3264-F348-AAFE-1E8D0885508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altLang="zh-CN" baseline="0"/>
                      <a:t>13.3%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E82-47DC-89D3-B32B09F046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203C1F-2BCC-534C-9600-9FFD6393D20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altLang="zh-CN" baseline="0"/>
                      <a:t>13.6%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E4B-1940-8E5F-5587C2F64F0B}"/>
                </c:ext>
              </c:extLst>
            </c:dLbl>
            <c:dLbl>
              <c:idx val="3"/>
              <c:layout>
                <c:manualLayout>
                  <c:x val="-7.4327075491982628E-2"/>
                  <c:y val="3.0531484453089643E-2"/>
                </c:manualLayout>
              </c:layout>
              <c:tx>
                <c:rich>
                  <a:bodyPr/>
                  <a:lstStyle/>
                  <a:p>
                    <a:fld id="{78256756-D3E2-E845-8D61-5A84033FD9B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altLang="zh-CN" baseline="0"/>
                      <a:t>0.05%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E4B-1940-8E5F-5587C2F64F0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2B9C2A-6591-C946-B037-89051578236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altLang="zh-CN" baseline="0"/>
                      <a:t>0.7%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E4B-1940-8E5F-5587C2F64F0B}"/>
                </c:ext>
              </c:extLst>
            </c:dLbl>
            <c:dLbl>
              <c:idx val="5"/>
              <c:layout>
                <c:manualLayout>
                  <c:x val="1.9586649532885875E-3"/>
                  <c:y val="-8.9683026728489754E-2"/>
                </c:manualLayout>
              </c:layout>
              <c:tx>
                <c:rich>
                  <a:bodyPr/>
                  <a:lstStyle/>
                  <a:p>
                    <a:fld id="{B84F823E-7311-F849-85B7-F45BB92B654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altLang="zh-CN" baseline="0"/>
                      <a:t>1.64%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E4B-1940-8E5F-5587C2F64F0B}"/>
                </c:ext>
              </c:extLst>
            </c:dLbl>
            <c:dLbl>
              <c:idx val="6"/>
              <c:layout>
                <c:manualLayout>
                  <c:x val="7.9164276609874393E-2"/>
                  <c:y val="-4.5456079245658927E-2"/>
                </c:manualLayout>
              </c:layout>
              <c:tx>
                <c:rich>
                  <a:bodyPr/>
                  <a:lstStyle/>
                  <a:p>
                    <a:fld id="{02B727A2-D300-D340-8974-E5D645A83D3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altLang="zh-CN" baseline="0"/>
                      <a:t>0.4%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E4B-1940-8E5F-5587C2F64F0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3B0ED7-15F9-FF4A-972E-FA62EB2FEDC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altLang="zh-CN" baseline="0"/>
                      <a:t>7.9%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E82-47DC-89D3-B32B09F046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33FD5BB-4DD6-0C49-ACC0-3DE4832F37A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r>
                      <a:rPr lang="en-US" altLang="zh-CN" baseline="0"/>
                      <a:t>2.5%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E82-47DC-89D3-B32B09F046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'EUI &amp; Energy Usage'!$C$38:$C$46</c:f>
              <c:strCache>
                <c:ptCount val="9"/>
                <c:pt idx="0">
                  <c:v>Space Heat (Gas)</c:v>
                </c:pt>
                <c:pt idx="1">
                  <c:v>Hot Water (Gas)</c:v>
                </c:pt>
                <c:pt idx="2">
                  <c:v>Hot Water (Electricity)</c:v>
                </c:pt>
                <c:pt idx="3">
                  <c:v>Space Cool</c:v>
                </c:pt>
                <c:pt idx="4">
                  <c:v>Pumps &amp; Aux.</c:v>
                </c:pt>
                <c:pt idx="5">
                  <c:v>Ext. Usage</c:v>
                </c:pt>
                <c:pt idx="6">
                  <c:v>Vent. Fans</c:v>
                </c:pt>
                <c:pt idx="7">
                  <c:v>Misc. Equip</c:v>
                </c:pt>
                <c:pt idx="8">
                  <c:v>Area Lights</c:v>
                </c:pt>
              </c:strCache>
            </c:strRef>
          </c:cat>
          <c:val>
            <c:numRef>
              <c:f>'EUI &amp; Energy Usage'!$D$38:$D$46</c:f>
              <c:numCache>
                <c:formatCode>#,##0.0</c:formatCode>
                <c:ptCount val="9"/>
                <c:pt idx="0">
                  <c:v>1581952.6</c:v>
                </c:pt>
                <c:pt idx="1">
                  <c:v>367095</c:v>
                </c:pt>
                <c:pt idx="2" formatCode="_(* #,##0.0_);_(* \(#,##0.0\);_(* &quot;-&quot;??_);_(@_)">
                  <c:v>445137</c:v>
                </c:pt>
                <c:pt idx="3" formatCode="0.0">
                  <c:v>1340</c:v>
                </c:pt>
                <c:pt idx="4">
                  <c:v>19279</c:v>
                </c:pt>
                <c:pt idx="5" formatCode="_(* #,##0.0_);_(* \(#,##0.0\);_(* &quot;-&quot;??_);_(@_)">
                  <c:v>45158</c:v>
                </c:pt>
                <c:pt idx="6" formatCode="0.0">
                  <c:v>10981</c:v>
                </c:pt>
                <c:pt idx="7" formatCode="0.0">
                  <c:v>218613</c:v>
                </c:pt>
                <c:pt idx="8" formatCode="0.0">
                  <c:v>69594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2-47DC-89D3-B32B09F04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2015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-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2018 Electricity Consumption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b="1">
                <a:latin typeface="Arial" panose="020B0604020202020204" pitchFamily="34" charset="0"/>
                <a:cs typeface="Arial" panose="020B0604020202020204" pitchFamily="34" charset="0"/>
              </a:rPr>
              <a:t>(kWh)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b="1">
                <a:latin typeface="Arial" panose="020B0604020202020204" pitchFamily="34" charset="0"/>
                <a:cs typeface="Arial" panose="020B0604020202020204" pitchFamily="34" charset="0"/>
              </a:rPr>
              <a:t>and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b="1">
                <a:latin typeface="Arial" panose="020B0604020202020204" pitchFamily="34" charset="0"/>
                <a:cs typeface="Arial" panose="020B0604020202020204" pitchFamily="34" charset="0"/>
              </a:rPr>
              <a:t>Cost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'2015-2018 Monthly Data'!$D$3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('2015-2018 Monthly Data'!$B$5:$C$16,'2015-2018 Monthly Data'!$B$18:$C$29,'2015-2018 Monthly Data'!$B$31:$C$42,'2015-2018 Monthly Data'!$B$44:$C$55)</c:f>
              <c:multiLvlStrCache>
                <c:ptCount val="48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('2015-2018 Monthly Data'!$D$5:$D$16,'2015-2018 Monthly Data'!$D$18:$D$29,'2015-2018 Monthly Data'!$D$31:$D$42,'2015-2018 Monthly Data'!$D$44:$D$55)</c:f>
              <c:numCache>
                <c:formatCode>#,##0</c:formatCode>
                <c:ptCount val="48"/>
                <c:pt idx="0">
                  <c:v>90053</c:v>
                </c:pt>
                <c:pt idx="1">
                  <c:v>79545</c:v>
                </c:pt>
                <c:pt idx="2">
                  <c:v>84357</c:v>
                </c:pt>
                <c:pt idx="3">
                  <c:v>77696</c:v>
                </c:pt>
                <c:pt idx="4">
                  <c:v>74588</c:v>
                </c:pt>
                <c:pt idx="5">
                  <c:v>67671</c:v>
                </c:pt>
                <c:pt idx="6">
                  <c:v>66779</c:v>
                </c:pt>
                <c:pt idx="7">
                  <c:v>65529</c:v>
                </c:pt>
                <c:pt idx="8">
                  <c:v>68034</c:v>
                </c:pt>
                <c:pt idx="9">
                  <c:v>74795</c:v>
                </c:pt>
                <c:pt idx="10">
                  <c:v>79238</c:v>
                </c:pt>
                <c:pt idx="11">
                  <c:v>89803</c:v>
                </c:pt>
                <c:pt idx="12">
                  <c:v>87724</c:v>
                </c:pt>
                <c:pt idx="13">
                  <c:v>79181</c:v>
                </c:pt>
                <c:pt idx="14">
                  <c:v>79837</c:v>
                </c:pt>
                <c:pt idx="15">
                  <c:v>74417</c:v>
                </c:pt>
                <c:pt idx="16">
                  <c:v>74218</c:v>
                </c:pt>
                <c:pt idx="17">
                  <c:v>69917</c:v>
                </c:pt>
                <c:pt idx="18">
                  <c:v>70427</c:v>
                </c:pt>
                <c:pt idx="19">
                  <c:v>70716</c:v>
                </c:pt>
                <c:pt idx="20">
                  <c:v>72158</c:v>
                </c:pt>
                <c:pt idx="21">
                  <c:v>77675</c:v>
                </c:pt>
                <c:pt idx="22">
                  <c:v>80258</c:v>
                </c:pt>
                <c:pt idx="23">
                  <c:v>88899</c:v>
                </c:pt>
                <c:pt idx="24">
                  <c:v>88281</c:v>
                </c:pt>
                <c:pt idx="25">
                  <c:v>77351</c:v>
                </c:pt>
                <c:pt idx="26">
                  <c:v>81876</c:v>
                </c:pt>
                <c:pt idx="27">
                  <c:v>75694</c:v>
                </c:pt>
                <c:pt idx="28">
                  <c:v>73605</c:v>
                </c:pt>
                <c:pt idx="29">
                  <c:v>66766</c:v>
                </c:pt>
                <c:pt idx="30">
                  <c:v>68225</c:v>
                </c:pt>
                <c:pt idx="31">
                  <c:v>68373</c:v>
                </c:pt>
                <c:pt idx="32">
                  <c:v>69867</c:v>
                </c:pt>
                <c:pt idx="33">
                  <c:v>76063</c:v>
                </c:pt>
                <c:pt idx="34">
                  <c:v>76719</c:v>
                </c:pt>
                <c:pt idx="35">
                  <c:v>84997</c:v>
                </c:pt>
                <c:pt idx="36">
                  <c:v>85535</c:v>
                </c:pt>
                <c:pt idx="37">
                  <c:v>75552</c:v>
                </c:pt>
                <c:pt idx="38">
                  <c:v>78921</c:v>
                </c:pt>
                <c:pt idx="39">
                  <c:v>72874</c:v>
                </c:pt>
                <c:pt idx="40">
                  <c:v>72461</c:v>
                </c:pt>
                <c:pt idx="41">
                  <c:v>67005</c:v>
                </c:pt>
                <c:pt idx="42">
                  <c:v>67971</c:v>
                </c:pt>
                <c:pt idx="43">
                  <c:v>67245</c:v>
                </c:pt>
                <c:pt idx="44">
                  <c:v>67816</c:v>
                </c:pt>
                <c:pt idx="45">
                  <c:v>73764</c:v>
                </c:pt>
                <c:pt idx="46">
                  <c:v>51020</c:v>
                </c:pt>
                <c:pt idx="47">
                  <c:v>12439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F-5F44-B3E2-B291B397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469648"/>
        <c:axId val="120578976"/>
      </c:barChart>
      <c:lineChart>
        <c:grouping val="standard"/>
        <c:varyColors val="0"/>
        <c:ser>
          <c:idx val="1"/>
          <c:order val="1"/>
          <c:tx>
            <c:strRef>
              <c:f>'2015-2018 Monthly Data'!$E$3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('2015-2018 Monthly Data'!$B$5:$C$16,'2015-2018 Monthly Data'!$B$18:$C$29,'2015-2018 Monthly Data'!$B$31:$C$42,'2015-2018 Monthly Data'!$B$44:$C$55)</c:f>
              <c:multiLvlStrCache>
                <c:ptCount val="48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('2015-2018 Monthly Data'!$E$5:$E$16,'2015-2018 Monthly Data'!$E$18:$E$29,'2015-2018 Monthly Data'!$E$31:$E$42,'2015-2018 Monthly Data'!$E$44:$E$55)</c:f>
              <c:numCache>
                <c:formatCode>#,##0</c:formatCode>
                <c:ptCount val="48"/>
                <c:pt idx="0">
                  <c:v>9791</c:v>
                </c:pt>
                <c:pt idx="1">
                  <c:v>8651</c:v>
                </c:pt>
                <c:pt idx="2">
                  <c:v>9304</c:v>
                </c:pt>
                <c:pt idx="3">
                  <c:v>8745</c:v>
                </c:pt>
                <c:pt idx="4">
                  <c:v>8476</c:v>
                </c:pt>
                <c:pt idx="5">
                  <c:v>7718</c:v>
                </c:pt>
                <c:pt idx="6">
                  <c:v>7633</c:v>
                </c:pt>
                <c:pt idx="7">
                  <c:v>7498</c:v>
                </c:pt>
                <c:pt idx="8">
                  <c:v>7780</c:v>
                </c:pt>
                <c:pt idx="9">
                  <c:v>8565</c:v>
                </c:pt>
                <c:pt idx="10">
                  <c:v>9091</c:v>
                </c:pt>
                <c:pt idx="11">
                  <c:v>10351</c:v>
                </c:pt>
                <c:pt idx="12">
                  <c:v>10127</c:v>
                </c:pt>
                <c:pt idx="13">
                  <c:v>9148</c:v>
                </c:pt>
                <c:pt idx="14">
                  <c:v>9323</c:v>
                </c:pt>
                <c:pt idx="15">
                  <c:v>8815</c:v>
                </c:pt>
                <c:pt idx="16">
                  <c:v>8843</c:v>
                </c:pt>
                <c:pt idx="17">
                  <c:v>8337</c:v>
                </c:pt>
                <c:pt idx="18">
                  <c:v>8413</c:v>
                </c:pt>
                <c:pt idx="19">
                  <c:v>8435</c:v>
                </c:pt>
                <c:pt idx="20">
                  <c:v>8639</c:v>
                </c:pt>
                <c:pt idx="21">
                  <c:v>9310</c:v>
                </c:pt>
                <c:pt idx="22">
                  <c:v>9183</c:v>
                </c:pt>
                <c:pt idx="23">
                  <c:v>9479</c:v>
                </c:pt>
                <c:pt idx="24">
                  <c:v>9172</c:v>
                </c:pt>
                <c:pt idx="25">
                  <c:v>8005</c:v>
                </c:pt>
                <c:pt idx="26">
                  <c:v>8545</c:v>
                </c:pt>
                <c:pt idx="27">
                  <c:v>7985</c:v>
                </c:pt>
                <c:pt idx="28">
                  <c:v>7762</c:v>
                </c:pt>
                <c:pt idx="29">
                  <c:v>7015</c:v>
                </c:pt>
                <c:pt idx="30">
                  <c:v>7164</c:v>
                </c:pt>
                <c:pt idx="31">
                  <c:v>7174</c:v>
                </c:pt>
                <c:pt idx="32">
                  <c:v>7319</c:v>
                </c:pt>
                <c:pt idx="33">
                  <c:v>7981</c:v>
                </c:pt>
                <c:pt idx="34">
                  <c:v>8476</c:v>
                </c:pt>
                <c:pt idx="35">
                  <c:v>10174</c:v>
                </c:pt>
                <c:pt idx="36">
                  <c:v>10485</c:v>
                </c:pt>
                <c:pt idx="37">
                  <c:v>9285</c:v>
                </c:pt>
                <c:pt idx="38">
                  <c:v>9798</c:v>
                </c:pt>
                <c:pt idx="39">
                  <c:v>9157</c:v>
                </c:pt>
                <c:pt idx="40">
                  <c:v>9152</c:v>
                </c:pt>
                <c:pt idx="41">
                  <c:v>8503</c:v>
                </c:pt>
                <c:pt idx="42">
                  <c:v>8629</c:v>
                </c:pt>
                <c:pt idx="43">
                  <c:v>8532</c:v>
                </c:pt>
                <c:pt idx="44">
                  <c:v>8578</c:v>
                </c:pt>
                <c:pt idx="45">
                  <c:v>9311</c:v>
                </c:pt>
                <c:pt idx="46">
                  <c:v>6440</c:v>
                </c:pt>
                <c:pt idx="47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F-5F44-B3E2-B291B397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7776"/>
        <c:axId val="54388128"/>
      </c:lineChart>
      <c:catAx>
        <c:axId val="564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78976"/>
        <c:crosses val="autoZero"/>
        <c:auto val="1"/>
        <c:lblAlgn val="ctr"/>
        <c:lblOffset val="100"/>
        <c:noMultiLvlLbl val="0"/>
      </c:catAx>
      <c:valAx>
        <c:axId val="1205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69648"/>
        <c:crosses val="autoZero"/>
        <c:crossBetween val="between"/>
      </c:valAx>
      <c:valAx>
        <c:axId val="5438812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167776"/>
        <c:crosses val="max"/>
        <c:crossBetween val="between"/>
      </c:valAx>
      <c:catAx>
        <c:axId val="12216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8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2015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-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2018 Gas Consumption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b="1">
                <a:latin typeface="Arial" panose="020B0604020202020204" pitchFamily="34" charset="0"/>
                <a:cs typeface="Arial" panose="020B0604020202020204" pitchFamily="34" charset="0"/>
              </a:rPr>
              <a:t>(GJ)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b="1">
                <a:latin typeface="Arial" panose="020B0604020202020204" pitchFamily="34" charset="0"/>
                <a:cs typeface="Arial" panose="020B0604020202020204" pitchFamily="34" charset="0"/>
              </a:rPr>
              <a:t>and</a:t>
            </a:r>
            <a:r>
              <a:rPr lang="zh-CN" altLang="en-US" b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altLang="zh-CN" b="1">
                <a:latin typeface="Arial" panose="020B0604020202020204" pitchFamily="34" charset="0"/>
                <a:cs typeface="Arial" panose="020B0604020202020204" pitchFamily="34" charset="0"/>
              </a:rPr>
              <a:t>Cost</a:t>
            </a:r>
            <a:endParaRPr lang="en-US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'2015-2018 Monthly Data'!$F$3:$G$3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('2015-2018 Monthly Data'!$B$5:$C$16,'2015-2018 Monthly Data'!$B$18:$C$29,'2015-2018 Monthly Data'!$B$31:$C$42,'2015-2018 Monthly Data'!$B$44:$C$55)</c:f>
              <c:multiLvlStrCache>
                <c:ptCount val="48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('2015-2018 Monthly Data'!$G$5:$G$16,'2015-2018 Monthly Data'!$G$18:$G$29,'2015-2018 Monthly Data'!$G$31:$G$42,'2015-2018 Monthly Data'!$G$44:$G$55)</c:f>
              <c:numCache>
                <c:formatCode>#,##0</c:formatCode>
                <c:ptCount val="48"/>
                <c:pt idx="0">
                  <c:v>64083</c:v>
                </c:pt>
                <c:pt idx="1">
                  <c:v>100960</c:v>
                </c:pt>
                <c:pt idx="2">
                  <c:v>102397</c:v>
                </c:pt>
                <c:pt idx="3">
                  <c:v>82019</c:v>
                </c:pt>
                <c:pt idx="4">
                  <c:v>58703</c:v>
                </c:pt>
                <c:pt idx="5">
                  <c:v>37658</c:v>
                </c:pt>
                <c:pt idx="6">
                  <c:v>30173</c:v>
                </c:pt>
                <c:pt idx="7">
                  <c:v>35232</c:v>
                </c:pt>
                <c:pt idx="8">
                  <c:v>50739</c:v>
                </c:pt>
                <c:pt idx="9">
                  <c:v>79004</c:v>
                </c:pt>
                <c:pt idx="10">
                  <c:v>105680</c:v>
                </c:pt>
                <c:pt idx="11">
                  <c:v>133556</c:v>
                </c:pt>
                <c:pt idx="12">
                  <c:v>127797</c:v>
                </c:pt>
                <c:pt idx="13">
                  <c:v>104395</c:v>
                </c:pt>
                <c:pt idx="14">
                  <c:v>99441</c:v>
                </c:pt>
                <c:pt idx="15">
                  <c:v>73224</c:v>
                </c:pt>
                <c:pt idx="16">
                  <c:v>56380</c:v>
                </c:pt>
                <c:pt idx="17">
                  <c:v>47707</c:v>
                </c:pt>
                <c:pt idx="18">
                  <c:v>40685</c:v>
                </c:pt>
                <c:pt idx="19">
                  <c:v>37515</c:v>
                </c:pt>
                <c:pt idx="20">
                  <c:v>53598</c:v>
                </c:pt>
                <c:pt idx="21">
                  <c:v>75634</c:v>
                </c:pt>
                <c:pt idx="22">
                  <c:v>98998</c:v>
                </c:pt>
                <c:pt idx="23">
                  <c:v>140599</c:v>
                </c:pt>
                <c:pt idx="24">
                  <c:v>144794</c:v>
                </c:pt>
                <c:pt idx="25">
                  <c:v>119401</c:v>
                </c:pt>
                <c:pt idx="26">
                  <c:v>116732</c:v>
                </c:pt>
                <c:pt idx="27">
                  <c:v>95107</c:v>
                </c:pt>
                <c:pt idx="28">
                  <c:v>76463</c:v>
                </c:pt>
                <c:pt idx="29">
                  <c:v>56294</c:v>
                </c:pt>
                <c:pt idx="30">
                  <c:v>45570</c:v>
                </c:pt>
                <c:pt idx="31">
                  <c:v>39968</c:v>
                </c:pt>
                <c:pt idx="32">
                  <c:v>54261</c:v>
                </c:pt>
                <c:pt idx="33">
                  <c:v>88426</c:v>
                </c:pt>
                <c:pt idx="34">
                  <c:v>107907</c:v>
                </c:pt>
                <c:pt idx="35">
                  <c:v>128013</c:v>
                </c:pt>
                <c:pt idx="36">
                  <c:v>126348</c:v>
                </c:pt>
                <c:pt idx="37">
                  <c:v>114836</c:v>
                </c:pt>
                <c:pt idx="38">
                  <c:v>119789</c:v>
                </c:pt>
                <c:pt idx="39">
                  <c:v>91166</c:v>
                </c:pt>
                <c:pt idx="40">
                  <c:v>66599</c:v>
                </c:pt>
                <c:pt idx="41">
                  <c:v>48408</c:v>
                </c:pt>
                <c:pt idx="42">
                  <c:v>38907</c:v>
                </c:pt>
                <c:pt idx="43">
                  <c:v>27118</c:v>
                </c:pt>
                <c:pt idx="44">
                  <c:v>29812</c:v>
                </c:pt>
                <c:pt idx="45">
                  <c:v>87958</c:v>
                </c:pt>
                <c:pt idx="46">
                  <c:v>120527</c:v>
                </c:pt>
                <c:pt idx="47">
                  <c:v>45770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4-6041-AF6E-BE3C36BA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469648"/>
        <c:axId val="120578976"/>
      </c:barChart>
      <c:lineChart>
        <c:grouping val="standard"/>
        <c:varyColors val="0"/>
        <c:ser>
          <c:idx val="1"/>
          <c:order val="1"/>
          <c:tx>
            <c:strRef>
              <c:f>'2015-2018 Monthly Data'!$H$3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('2015-2018 Monthly Data'!$B$5:$C$16,'2015-2018 Monthly Data'!$B$18:$C$29,'2015-2018 Monthly Data'!$B$31:$C$42,'2015-2018 Monthly Data'!$B$44:$C$55)</c:f>
              <c:multiLvlStrCache>
                <c:ptCount val="48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('2015-2018 Monthly Data'!$H$5:$H$16,'2015-2018 Monthly Data'!$H$18:$H$29,'2015-2018 Monthly Data'!$H$31:$H$42,'2015-2018 Monthly Data'!$H$44:$H$55)</c:f>
              <c:numCache>
                <c:formatCode>#,##0</c:formatCode>
                <c:ptCount val="48"/>
                <c:pt idx="0">
                  <c:v>2202</c:v>
                </c:pt>
                <c:pt idx="1">
                  <c:v>3479</c:v>
                </c:pt>
                <c:pt idx="2">
                  <c:v>3274</c:v>
                </c:pt>
                <c:pt idx="3">
                  <c:v>2472</c:v>
                </c:pt>
                <c:pt idx="4">
                  <c:v>1831</c:v>
                </c:pt>
                <c:pt idx="5">
                  <c:v>1229</c:v>
                </c:pt>
                <c:pt idx="6">
                  <c:v>1011</c:v>
                </c:pt>
                <c:pt idx="7">
                  <c:v>1155</c:v>
                </c:pt>
                <c:pt idx="8">
                  <c:v>1588</c:v>
                </c:pt>
                <c:pt idx="9">
                  <c:v>2442</c:v>
                </c:pt>
                <c:pt idx="10">
                  <c:v>3201</c:v>
                </c:pt>
                <c:pt idx="11">
                  <c:v>3770</c:v>
                </c:pt>
                <c:pt idx="12">
                  <c:v>3478</c:v>
                </c:pt>
                <c:pt idx="13">
                  <c:v>2862</c:v>
                </c:pt>
                <c:pt idx="14">
                  <c:v>2639</c:v>
                </c:pt>
                <c:pt idx="15">
                  <c:v>1883</c:v>
                </c:pt>
                <c:pt idx="16">
                  <c:v>1504</c:v>
                </c:pt>
                <c:pt idx="17">
                  <c:v>1292</c:v>
                </c:pt>
                <c:pt idx="18">
                  <c:v>1145</c:v>
                </c:pt>
                <c:pt idx="19">
                  <c:v>1055</c:v>
                </c:pt>
                <c:pt idx="20">
                  <c:v>1541</c:v>
                </c:pt>
                <c:pt idx="21">
                  <c:v>2206</c:v>
                </c:pt>
                <c:pt idx="22">
                  <c:v>2834</c:v>
                </c:pt>
                <c:pt idx="23">
                  <c:v>3988</c:v>
                </c:pt>
                <c:pt idx="24">
                  <c:v>4132</c:v>
                </c:pt>
                <c:pt idx="25">
                  <c:v>3421</c:v>
                </c:pt>
                <c:pt idx="26">
                  <c:v>3343</c:v>
                </c:pt>
                <c:pt idx="27">
                  <c:v>2748</c:v>
                </c:pt>
                <c:pt idx="28">
                  <c:v>2243</c:v>
                </c:pt>
                <c:pt idx="29">
                  <c:v>1689</c:v>
                </c:pt>
                <c:pt idx="30">
                  <c:v>1404</c:v>
                </c:pt>
                <c:pt idx="31">
                  <c:v>1251</c:v>
                </c:pt>
                <c:pt idx="32">
                  <c:v>1632</c:v>
                </c:pt>
                <c:pt idx="33">
                  <c:v>2569</c:v>
                </c:pt>
                <c:pt idx="34">
                  <c:v>3095</c:v>
                </c:pt>
                <c:pt idx="35">
                  <c:v>3469</c:v>
                </c:pt>
                <c:pt idx="36">
                  <c:v>3330</c:v>
                </c:pt>
                <c:pt idx="37">
                  <c:v>3027</c:v>
                </c:pt>
                <c:pt idx="38">
                  <c:v>3167</c:v>
                </c:pt>
                <c:pt idx="39">
                  <c:v>2444</c:v>
                </c:pt>
                <c:pt idx="40">
                  <c:v>1833</c:v>
                </c:pt>
                <c:pt idx="41">
                  <c:v>1372</c:v>
                </c:pt>
                <c:pt idx="42">
                  <c:v>1140</c:v>
                </c:pt>
                <c:pt idx="43" formatCode="General">
                  <c:v>861</c:v>
                </c:pt>
                <c:pt idx="44">
                  <c:v>943</c:v>
                </c:pt>
                <c:pt idx="45">
                  <c:v>2367</c:v>
                </c:pt>
                <c:pt idx="46">
                  <c:v>3162</c:v>
                </c:pt>
                <c:pt idx="47">
                  <c:v>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4-6041-AF6E-BE3C36BA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7776"/>
        <c:axId val="54388128"/>
      </c:lineChart>
      <c:catAx>
        <c:axId val="564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78976"/>
        <c:crosses val="autoZero"/>
        <c:auto val="1"/>
        <c:lblAlgn val="ctr"/>
        <c:lblOffset val="100"/>
        <c:noMultiLvlLbl val="0"/>
      </c:catAx>
      <c:valAx>
        <c:axId val="1205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69648"/>
        <c:crosses val="autoZero"/>
        <c:crossBetween val="between"/>
      </c:valAx>
      <c:valAx>
        <c:axId val="5438812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167776"/>
        <c:crosses val="max"/>
        <c:crossBetween val="between"/>
      </c:valAx>
      <c:catAx>
        <c:axId val="12216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8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2015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-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2018 Monthly</a:t>
            </a:r>
            <a:r>
              <a:rPr lang="zh-CN" altLang="en-US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Electricity Consumption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'2015-2018 Monthly Data'!$C$44:$C$55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'2015-2018 Monthly Data'!$D$5:$D$16</c:f>
              <c:numCache>
                <c:formatCode>#,##0</c:formatCode>
                <c:ptCount val="12"/>
                <c:pt idx="0">
                  <c:v>90053</c:v>
                </c:pt>
                <c:pt idx="1">
                  <c:v>79545</c:v>
                </c:pt>
                <c:pt idx="2">
                  <c:v>84357</c:v>
                </c:pt>
                <c:pt idx="3">
                  <c:v>77696</c:v>
                </c:pt>
                <c:pt idx="4">
                  <c:v>74588</c:v>
                </c:pt>
                <c:pt idx="5">
                  <c:v>67671</c:v>
                </c:pt>
                <c:pt idx="6">
                  <c:v>66779</c:v>
                </c:pt>
                <c:pt idx="7">
                  <c:v>65529</c:v>
                </c:pt>
                <c:pt idx="8">
                  <c:v>68034</c:v>
                </c:pt>
                <c:pt idx="9">
                  <c:v>74795</c:v>
                </c:pt>
                <c:pt idx="10">
                  <c:v>79238</c:v>
                </c:pt>
                <c:pt idx="11">
                  <c:v>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C-4A43-92FA-D0A8E6A6387D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'2015-2018 Monthly Data'!$C$44:$C$55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'2015-2018 Monthly Data'!$D$18:$D$29</c:f>
              <c:numCache>
                <c:formatCode>#,##0</c:formatCode>
                <c:ptCount val="12"/>
                <c:pt idx="0">
                  <c:v>87724</c:v>
                </c:pt>
                <c:pt idx="1">
                  <c:v>79181</c:v>
                </c:pt>
                <c:pt idx="2">
                  <c:v>79837</c:v>
                </c:pt>
                <c:pt idx="3">
                  <c:v>74417</c:v>
                </c:pt>
                <c:pt idx="4">
                  <c:v>74218</c:v>
                </c:pt>
                <c:pt idx="5">
                  <c:v>69917</c:v>
                </c:pt>
                <c:pt idx="6">
                  <c:v>70427</c:v>
                </c:pt>
                <c:pt idx="7">
                  <c:v>70716</c:v>
                </c:pt>
                <c:pt idx="8">
                  <c:v>72158</c:v>
                </c:pt>
                <c:pt idx="9">
                  <c:v>77675</c:v>
                </c:pt>
                <c:pt idx="10">
                  <c:v>80258</c:v>
                </c:pt>
                <c:pt idx="11">
                  <c:v>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C-4A43-92FA-D0A8E6A6387D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'2015-2018 Monthly Data'!$C$44:$C$55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'2015-2018 Monthly Data'!$D$31:$D$42</c:f>
              <c:numCache>
                <c:formatCode>#,##0</c:formatCode>
                <c:ptCount val="12"/>
                <c:pt idx="0">
                  <c:v>88281</c:v>
                </c:pt>
                <c:pt idx="1">
                  <c:v>77351</c:v>
                </c:pt>
                <c:pt idx="2">
                  <c:v>81876</c:v>
                </c:pt>
                <c:pt idx="3">
                  <c:v>75694</c:v>
                </c:pt>
                <c:pt idx="4">
                  <c:v>73605</c:v>
                </c:pt>
                <c:pt idx="5">
                  <c:v>66766</c:v>
                </c:pt>
                <c:pt idx="6">
                  <c:v>68225</c:v>
                </c:pt>
                <c:pt idx="7">
                  <c:v>68373</c:v>
                </c:pt>
                <c:pt idx="8">
                  <c:v>69867</c:v>
                </c:pt>
                <c:pt idx="9">
                  <c:v>76063</c:v>
                </c:pt>
                <c:pt idx="10">
                  <c:v>76719</c:v>
                </c:pt>
                <c:pt idx="11">
                  <c:v>84997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C-4A43-92FA-D0A8E6A6387D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'2015-2018 Monthly Data'!$C$44:$C$55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'2015-2018 Monthly Data'!$D$44:$D$55</c:f>
              <c:numCache>
                <c:formatCode>#,##0</c:formatCode>
                <c:ptCount val="12"/>
                <c:pt idx="0">
                  <c:v>85535</c:v>
                </c:pt>
                <c:pt idx="1">
                  <c:v>75552</c:v>
                </c:pt>
                <c:pt idx="2">
                  <c:v>78921</c:v>
                </c:pt>
                <c:pt idx="3">
                  <c:v>72874</c:v>
                </c:pt>
                <c:pt idx="4">
                  <c:v>72461</c:v>
                </c:pt>
                <c:pt idx="5">
                  <c:v>67005</c:v>
                </c:pt>
                <c:pt idx="6">
                  <c:v>67971</c:v>
                </c:pt>
                <c:pt idx="7">
                  <c:v>67245</c:v>
                </c:pt>
                <c:pt idx="8">
                  <c:v>67816</c:v>
                </c:pt>
                <c:pt idx="9">
                  <c:v>73764</c:v>
                </c:pt>
                <c:pt idx="10">
                  <c:v>51020</c:v>
                </c:pt>
                <c:pt idx="11">
                  <c:v>12439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C-4A43-92FA-D0A8E6A6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179967"/>
        <c:axId val="2037965487"/>
      </c:barChart>
      <c:catAx>
        <c:axId val="20351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65487"/>
        <c:crosses val="autoZero"/>
        <c:auto val="1"/>
        <c:lblAlgn val="ctr"/>
        <c:lblOffset val="100"/>
        <c:noMultiLvlLbl val="0"/>
      </c:catAx>
      <c:valAx>
        <c:axId val="20379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2015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-</a:t>
            </a:r>
            <a:r>
              <a:rPr lang="zh-CN" sz="1800" b="1" i="0" baseline="0">
                <a:effectLst/>
              </a:rPr>
              <a:t> </a:t>
            </a:r>
            <a:r>
              <a:rPr lang="en-US" sz="1800" b="1" i="0" baseline="0">
                <a:effectLst/>
              </a:rPr>
              <a:t>2018 Monthly</a:t>
            </a:r>
            <a:r>
              <a:rPr lang="zh-CN" sz="1800" b="1" i="0" baseline="0">
                <a:effectLst/>
              </a:rPr>
              <a:t> </a:t>
            </a:r>
            <a:r>
              <a:rPr lang="en-US" altLang="zh-CN" sz="1800" b="1" i="0" baseline="0">
                <a:effectLst/>
              </a:rPr>
              <a:t>Gas</a:t>
            </a:r>
            <a:r>
              <a:rPr lang="en-US" sz="1800" b="1" i="0" baseline="0">
                <a:effectLst/>
              </a:rPr>
              <a:t> Consumption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'2015-2018 Monthly Data'!$C$44:$C$55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'2015-2018 Monthly Data'!$F$5:$F$16</c:f>
              <c:numCache>
                <c:formatCode>General</c:formatCode>
                <c:ptCount val="12"/>
                <c:pt idx="0">
                  <c:v>231</c:v>
                </c:pt>
                <c:pt idx="1">
                  <c:v>363</c:v>
                </c:pt>
                <c:pt idx="2">
                  <c:v>369</c:v>
                </c:pt>
                <c:pt idx="3">
                  <c:v>295</c:v>
                </c:pt>
                <c:pt idx="4">
                  <c:v>211</c:v>
                </c:pt>
                <c:pt idx="5">
                  <c:v>136</c:v>
                </c:pt>
                <c:pt idx="6">
                  <c:v>109</c:v>
                </c:pt>
                <c:pt idx="7">
                  <c:v>127</c:v>
                </c:pt>
                <c:pt idx="8">
                  <c:v>183</c:v>
                </c:pt>
                <c:pt idx="9">
                  <c:v>284</c:v>
                </c:pt>
                <c:pt idx="10">
                  <c:v>380</c:v>
                </c:pt>
                <c:pt idx="11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B-6145-9671-699F8EEC77B3}"/>
            </c:ext>
          </c:extLst>
        </c:ser>
        <c:ser>
          <c:idx val="1"/>
          <c:order val="1"/>
          <c:tx>
            <c:v>2016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'2015-2018 Monthly Data'!$C$44:$C$55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'2015-2018 Monthly Data'!$F$18:$F$29</c:f>
              <c:numCache>
                <c:formatCode>General</c:formatCode>
                <c:ptCount val="12"/>
                <c:pt idx="0">
                  <c:v>460</c:v>
                </c:pt>
                <c:pt idx="1">
                  <c:v>376</c:v>
                </c:pt>
                <c:pt idx="2">
                  <c:v>358</c:v>
                </c:pt>
                <c:pt idx="3">
                  <c:v>264</c:v>
                </c:pt>
                <c:pt idx="4">
                  <c:v>203</c:v>
                </c:pt>
                <c:pt idx="5">
                  <c:v>172</c:v>
                </c:pt>
                <c:pt idx="6">
                  <c:v>146</c:v>
                </c:pt>
                <c:pt idx="7">
                  <c:v>135</c:v>
                </c:pt>
                <c:pt idx="8">
                  <c:v>193</c:v>
                </c:pt>
                <c:pt idx="9">
                  <c:v>272</c:v>
                </c:pt>
                <c:pt idx="10">
                  <c:v>356</c:v>
                </c:pt>
                <c:pt idx="1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B-6145-9671-699F8EEC77B3}"/>
            </c:ext>
          </c:extLst>
        </c:ser>
        <c:ser>
          <c:idx val="2"/>
          <c:order val="2"/>
          <c:tx>
            <c:v>2017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'2015-2018 Monthly Data'!$C$44:$C$55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'2015-2018 Monthly Data'!$F$31:$F$42</c:f>
              <c:numCache>
                <c:formatCode>General</c:formatCode>
                <c:ptCount val="12"/>
                <c:pt idx="0">
                  <c:v>521</c:v>
                </c:pt>
                <c:pt idx="1">
                  <c:v>430</c:v>
                </c:pt>
                <c:pt idx="2">
                  <c:v>420</c:v>
                </c:pt>
                <c:pt idx="3">
                  <c:v>342</c:v>
                </c:pt>
                <c:pt idx="4">
                  <c:v>275</c:v>
                </c:pt>
                <c:pt idx="5">
                  <c:v>203</c:v>
                </c:pt>
                <c:pt idx="6">
                  <c:v>164</c:v>
                </c:pt>
                <c:pt idx="7">
                  <c:v>144</c:v>
                </c:pt>
                <c:pt idx="8">
                  <c:v>195</c:v>
                </c:pt>
                <c:pt idx="9">
                  <c:v>318</c:v>
                </c:pt>
                <c:pt idx="10">
                  <c:v>388</c:v>
                </c:pt>
                <c:pt idx="1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B-6145-9671-699F8EEC77B3}"/>
            </c:ext>
          </c:extLst>
        </c:ser>
        <c:ser>
          <c:idx val="3"/>
          <c:order val="3"/>
          <c:tx>
            <c:v>2018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'2015-2018 Monthly Data'!$C$44:$C$55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'2015-2018 Monthly Data'!$F$44:$F$55</c:f>
              <c:numCache>
                <c:formatCode>#,##0</c:formatCode>
                <c:ptCount val="12"/>
                <c:pt idx="0" formatCode="General">
                  <c:v>455</c:v>
                </c:pt>
                <c:pt idx="1">
                  <c:v>413</c:v>
                </c:pt>
                <c:pt idx="2" formatCode="General">
                  <c:v>431</c:v>
                </c:pt>
                <c:pt idx="3" formatCode="General">
                  <c:v>328</c:v>
                </c:pt>
                <c:pt idx="4" formatCode="General">
                  <c:v>240</c:v>
                </c:pt>
                <c:pt idx="5" formatCode="General">
                  <c:v>174</c:v>
                </c:pt>
                <c:pt idx="6" formatCode="General">
                  <c:v>140</c:v>
                </c:pt>
                <c:pt idx="7" formatCode="General">
                  <c:v>98</c:v>
                </c:pt>
                <c:pt idx="8" formatCode="General">
                  <c:v>107</c:v>
                </c:pt>
                <c:pt idx="9" formatCode="General">
                  <c:v>317</c:v>
                </c:pt>
                <c:pt idx="10" formatCode="General">
                  <c:v>434</c:v>
                </c:pt>
                <c:pt idx="11" formatCode="General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B-6145-9671-699F8EEC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179967"/>
        <c:axId val="2037965487"/>
      </c:barChart>
      <c:catAx>
        <c:axId val="20351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65487"/>
        <c:crosses val="autoZero"/>
        <c:auto val="1"/>
        <c:lblAlgn val="ctr"/>
        <c:lblOffset val="100"/>
        <c:noMultiLvlLbl val="0"/>
      </c:catAx>
      <c:valAx>
        <c:axId val="20379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CUSUM Analysis - Electricity</a:t>
            </a:r>
            <a:r>
              <a:rPr lang="zh-CN" altLang="en-US"/>
              <a:t> </a:t>
            </a:r>
            <a:r>
              <a:rPr lang="en-US" sz="1400" b="0" i="0" u="none" strike="noStrike" baseline="0">
                <a:effectLst/>
              </a:rPr>
              <a:t>Consumption</a:t>
            </a:r>
            <a:r>
              <a:rPr lang="en-US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('2015-2018 Monthly Data'!$M$5:$M$16,'2015-2018 Monthly Data'!$M$18:$M$29,'2015-2018 Monthly Data'!$M$31:$M$42,'2015-2018 Monthly Data'!$M$44:$M$55)</c:f>
              <c:numCache>
                <c:formatCode>mmm\-yy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xVal>
          <c:yVal>
            <c:numRef>
              <c:f>('2015-2018 Monthly Data'!$Q$5:$Q$16,'2015-2018 Monthly Data'!$Q$18:$Q$29,'2015-2018 Monthly Data'!$Q$31:$Q$42,'2015-2018 Monthly Data'!$Q$44:$Q$55)</c:f>
              <c:numCache>
                <c:formatCode>#,##0</c:formatCode>
                <c:ptCount val="48"/>
                <c:pt idx="0">
                  <c:v>6285.4159999999974</c:v>
                </c:pt>
                <c:pt idx="1">
                  <c:v>5427.6440000000002</c:v>
                </c:pt>
                <c:pt idx="2">
                  <c:v>9381.872000000003</c:v>
                </c:pt>
                <c:pt idx="3">
                  <c:v>7912.7320000000036</c:v>
                </c:pt>
                <c:pt idx="4">
                  <c:v>9562.4279999999999</c:v>
                </c:pt>
                <c:pt idx="5">
                  <c:v>7195.8239999999932</c:v>
                </c:pt>
                <c:pt idx="6">
                  <c:v>4826.7679999999964</c:v>
                </c:pt>
                <c:pt idx="7">
                  <c:v>936.97999999999593</c:v>
                </c:pt>
                <c:pt idx="8">
                  <c:v>-4586.1399999999994</c:v>
                </c:pt>
                <c:pt idx="9">
                  <c:v>-6210.2839999999997</c:v>
                </c:pt>
                <c:pt idx="10">
                  <c:v>-11010.600000000006</c:v>
                </c:pt>
                <c:pt idx="11">
                  <c:v>-5516.648000000001</c:v>
                </c:pt>
                <c:pt idx="12">
                  <c:v>2796.1359999999986</c:v>
                </c:pt>
                <c:pt idx="13">
                  <c:v>839.52000000000407</c:v>
                </c:pt>
                <c:pt idx="14">
                  <c:v>157.72000000000116</c:v>
                </c:pt>
                <c:pt idx="15">
                  <c:v>-1612.3680000000022</c:v>
                </c:pt>
                <c:pt idx="16">
                  <c:v>-796.78399999999965</c:v>
                </c:pt>
                <c:pt idx="17">
                  <c:v>-2193.6959999999963</c:v>
                </c:pt>
                <c:pt idx="18">
                  <c:v>-1146.80799999999</c:v>
                </c:pt>
                <c:pt idx="19">
                  <c:v>189.0800000000163</c:v>
                </c:pt>
                <c:pt idx="20">
                  <c:v>-1016.6599999999889</c:v>
                </c:pt>
                <c:pt idx="21">
                  <c:v>-611.6759999999922</c:v>
                </c:pt>
                <c:pt idx="22">
                  <c:v>558.53600000000733</c:v>
                </c:pt>
                <c:pt idx="23">
                  <c:v>4.5800000000017462</c:v>
                </c:pt>
                <c:pt idx="24">
                  <c:v>65.676000000006752</c:v>
                </c:pt>
                <c:pt idx="25">
                  <c:v>-7781.9199999999983</c:v>
                </c:pt>
                <c:pt idx="26">
                  <c:v>-8319.8439999999973</c:v>
                </c:pt>
                <c:pt idx="27">
                  <c:v>-11365.547999999995</c:v>
                </c:pt>
                <c:pt idx="28">
                  <c:v>-12942.059999999998</c:v>
                </c:pt>
                <c:pt idx="29">
                  <c:v>-18031.436000000002</c:v>
                </c:pt>
                <c:pt idx="30">
                  <c:v>-19070.520000000004</c:v>
                </c:pt>
                <c:pt idx="31">
                  <c:v>-19884.252000000008</c:v>
                </c:pt>
                <c:pt idx="32">
                  <c:v>-21949.98000000001</c:v>
                </c:pt>
                <c:pt idx="33">
                  <c:v>-24704.036000000007</c:v>
                </c:pt>
                <c:pt idx="34">
                  <c:v>-29857.496000000014</c:v>
                </c:pt>
                <c:pt idx="35">
                  <c:v>-32340.97600000001</c:v>
                </c:pt>
                <c:pt idx="36">
                  <c:v>2257</c:v>
                </c:pt>
                <c:pt idx="37">
                  <c:v>-6964.1600000000035</c:v>
                </c:pt>
                <c:pt idx="38">
                  <c:v>-11346.632000000012</c:v>
                </c:pt>
                <c:pt idx="39">
                  <c:v>-17599.09600000002</c:v>
                </c:pt>
                <c:pt idx="40">
                  <c:v>-17883.020000000019</c:v>
                </c:pt>
                <c:pt idx="41">
                  <c:v>-22501.340000000026</c:v>
                </c:pt>
                <c:pt idx="42">
                  <c:v>-23871.776000000027</c:v>
                </c:pt>
                <c:pt idx="43">
                  <c:v>-26238.944000000032</c:v>
                </c:pt>
                <c:pt idx="44">
                  <c:v>-31438.600000000035</c:v>
                </c:pt>
                <c:pt idx="45">
                  <c:v>-36452.98000000004</c:v>
                </c:pt>
                <c:pt idx="46">
                  <c:v>-66493.244000000035</c:v>
                </c:pt>
                <c:pt idx="47">
                  <c:v>-138750.05200000003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CUSUM Analysis on Electricity</c:v>
                </c15:tx>
              </c15:filteredSeriesTitle>
            </c:ext>
            <c:ext xmlns:c16="http://schemas.microsoft.com/office/drawing/2014/chart" uri="{C3380CC4-5D6E-409C-BE32-E72D297353CC}">
              <c16:uniqueId val="{00000000-2EB2-624A-A1CB-7D01C8ABE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286448"/>
        <c:axId val="1161537536"/>
      </c:scatterChart>
      <c:valAx>
        <c:axId val="15432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537536"/>
        <c:crosses val="autoZero"/>
        <c:crossBetween val="midCat"/>
      </c:valAx>
      <c:valAx>
        <c:axId val="11615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2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812835</xdr:colOff>
      <xdr:row>21</xdr:row>
      <xdr:rowOff>78122</xdr:rowOff>
    </xdr:from>
    <xdr:to>
      <xdr:col>17</xdr:col>
      <xdr:colOff>469905</xdr:colOff>
      <xdr:row>39</xdr:row>
      <xdr:rowOff>133536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5E801-CD55-004C-898D-167464598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15238</xdr:colOff>
      <xdr:row>41</xdr:row>
      <xdr:rowOff>178945</xdr:rowOff>
    </xdr:from>
    <xdr:to>
      <xdr:col>17</xdr:col>
      <xdr:colOff>442462</xdr:colOff>
      <xdr:row>62</xdr:row>
      <xdr:rowOff>148671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F282F-2291-9A4F-B16F-FA3241D3C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776213</xdr:colOff>
      <xdr:row>1</xdr:row>
      <xdr:rowOff>64407</xdr:rowOff>
    </xdr:from>
    <xdr:to>
      <xdr:col>17</xdr:col>
      <xdr:colOff>401563</xdr:colOff>
      <xdr:row>19</xdr:row>
      <xdr:rowOff>30237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E4CE5F-199E-604E-AC4B-8B73B188D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482204</xdr:colOff>
      <xdr:row>15</xdr:row>
      <xdr:rowOff>152798</xdr:rowOff>
    </xdr:from>
    <xdr:to>
      <xdr:col>17</xdr:col>
      <xdr:colOff>215106</xdr:colOff>
      <xdr:row>46</xdr:row>
      <xdr:rowOff>47401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B23A5-4438-48FF-9D5B-94E527764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431853</xdr:colOff>
      <xdr:row>59</xdr:row>
      <xdr:rowOff>33283</xdr:rowOff>
    </xdr:from>
    <xdr:to>
      <xdr:col>10</xdr:col>
      <xdr:colOff>494415</xdr:colOff>
      <xdr:row>86</xdr:row>
      <xdr:rowOff>163378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FD5B41-80D0-0149-8B29-EE6A50B74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620620</xdr:colOff>
      <xdr:row>58</xdr:row>
      <xdr:rowOff>206538</xdr:rowOff>
    </xdr:from>
    <xdr:to>
      <xdr:col>22</xdr:col>
      <xdr:colOff>610668</xdr:colOff>
      <xdr:row>86</xdr:row>
      <xdr:rowOff>130499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06FDE8-20DE-094D-B35C-EF8835CED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555254</xdr:colOff>
      <xdr:row>4</xdr:row>
      <xdr:rowOff>28551</xdr:rowOff>
    </xdr:from>
    <xdr:to>
      <xdr:col>35</xdr:col>
      <xdr:colOff>330199</xdr:colOff>
      <xdr:row>28</xdr:row>
      <xdr:rowOff>166575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AFB3C-949B-C441-A4D9-DF23529FF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522768</xdr:colOff>
      <xdr:row>32</xdr:row>
      <xdr:rowOff>27172</xdr:rowOff>
    </xdr:from>
    <xdr:to>
      <xdr:col>35</xdr:col>
      <xdr:colOff>378637</xdr:colOff>
      <xdr:row>56</xdr:row>
      <xdr:rowOff>161652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CF6718-6B0F-FB40-B96F-02A1C235B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449262</xdr:colOff>
      <xdr:row>43</xdr:row>
      <xdr:rowOff>115887</xdr:rowOff>
    </xdr:from>
    <xdr:to>
      <xdr:col>12</xdr:col>
      <xdr:colOff>800525</xdr:colOff>
      <xdr:row>71</xdr:row>
      <xdr:rowOff>60480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17FD0-2DAD-0C4F-8CAB-5F8A98B9A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30490</xdr:colOff>
      <xdr:row>43</xdr:row>
      <xdr:rowOff>110331</xdr:rowOff>
    </xdr:from>
    <xdr:to>
      <xdr:col>26</xdr:col>
      <xdr:colOff>416718</xdr:colOff>
      <xdr:row>71</xdr:row>
      <xdr:rowOff>55829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EF59A-A119-BA41-9113-2A89AB3E9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439317</xdr:colOff>
      <xdr:row>2</xdr:row>
      <xdr:rowOff>51460</xdr:rowOff>
    </xdr:from>
    <xdr:to>
      <xdr:col>13</xdr:col>
      <xdr:colOff>59530</xdr:colOff>
      <xdr:row>42</xdr:row>
      <xdr:rowOff>8410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11682DE8-1DDA-AF42-B5CA-E0E21A5A2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8440</xdr:colOff>
      <xdr:row>1</xdr:row>
      <xdr:rowOff>180570</xdr:rowOff>
    </xdr:from>
    <xdr:to>
      <xdr:col>26</xdr:col>
      <xdr:colOff>445757</xdr:colOff>
      <xdr:row>41</xdr:row>
      <xdr:rowOff>141111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DA802D-181A-BD47-9D42-98EFD8386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7EE8-E206-3E4E-BC32-B4206EA50954}">
  <dimension ref="B2:T21"/>
  <sheetViews>
    <sheetView topLeftCell="J1" zoomScale="143" zoomScaleNormal="80" workbookViewId="0">
      <selection activeCell="T12" sqref="T12"/>
    </sheetView>
  </sheetViews>
  <sheetFormatPr baseColWidth="10" defaultColWidth="11" defaultRowHeight="16"/>
  <cols>
    <col min="2" max="2" width="20.83203125" customWidth="1"/>
    <col min="3" max="3" width="30.1640625" customWidth="1"/>
    <col min="6" max="6" width="12.33203125" customWidth="1"/>
    <col min="7" max="9" width="12.1640625" customWidth="1"/>
    <col min="12" max="12" width="15.5" customWidth="1"/>
    <col min="18" max="18" width="14.33203125" customWidth="1"/>
    <col min="19" max="19" width="11.1640625" customWidth="1"/>
  </cols>
  <sheetData>
    <row r="2" spans="2:20">
      <c r="B2" s="41"/>
      <c r="C2" s="41"/>
      <c r="D2" s="42" t="s">
        <v>45</v>
      </c>
      <c r="E2" s="42" t="s">
        <v>44</v>
      </c>
      <c r="F2" s="41">
        <v>2015</v>
      </c>
      <c r="G2" s="41">
        <v>2016</v>
      </c>
      <c r="H2" s="41">
        <v>2017</v>
      </c>
      <c r="I2" s="41">
        <v>2018</v>
      </c>
    </row>
    <row r="3" spans="2:20">
      <c r="B3" s="40" t="s">
        <v>43</v>
      </c>
      <c r="C3" s="40"/>
      <c r="D3" s="43"/>
      <c r="E3" s="43"/>
      <c r="F3" s="52">
        <v>365</v>
      </c>
      <c r="G3" s="52">
        <v>366</v>
      </c>
      <c r="H3" s="52">
        <v>365</v>
      </c>
      <c r="I3" s="52">
        <v>365</v>
      </c>
    </row>
    <row r="4" spans="2:20">
      <c r="B4" s="41" t="s">
        <v>46</v>
      </c>
      <c r="C4" s="41"/>
      <c r="D4" s="41"/>
      <c r="E4" s="41"/>
      <c r="F4" s="53">
        <v>3169</v>
      </c>
      <c r="G4" s="53">
        <v>3441</v>
      </c>
      <c r="H4" s="53">
        <v>3863</v>
      </c>
      <c r="I4" s="53">
        <v>3302</v>
      </c>
      <c r="L4" s="41" t="s">
        <v>65</v>
      </c>
      <c r="M4" s="42" t="s">
        <v>44</v>
      </c>
      <c r="N4" s="41">
        <v>2015</v>
      </c>
      <c r="O4" s="41">
        <v>2016</v>
      </c>
      <c r="P4" s="41">
        <v>2017</v>
      </c>
      <c r="Q4" s="41">
        <v>2018</v>
      </c>
      <c r="R4" s="94" t="s">
        <v>64</v>
      </c>
      <c r="S4" s="94" t="s">
        <v>100</v>
      </c>
      <c r="T4" s="94" t="s">
        <v>44</v>
      </c>
    </row>
    <row r="5" spans="2:20">
      <c r="B5" s="45" t="s">
        <v>34</v>
      </c>
      <c r="C5" s="40" t="s">
        <v>35</v>
      </c>
      <c r="D5" s="43">
        <v>0.42159999999999997</v>
      </c>
      <c r="E5" s="43" t="s">
        <v>39</v>
      </c>
      <c r="F5" s="60">
        <f>F3*D5</f>
        <v>153.88399999999999</v>
      </c>
      <c r="G5" s="60">
        <f>G3*D5</f>
        <v>154.3056</v>
      </c>
      <c r="H5" s="60">
        <f>H3*D5</f>
        <v>153.88399999999999</v>
      </c>
      <c r="I5" s="60">
        <f>I3*D5</f>
        <v>153.88399999999999</v>
      </c>
      <c r="L5" s="40" t="s">
        <v>0</v>
      </c>
      <c r="M5" s="43" t="s">
        <v>6</v>
      </c>
      <c r="N5" s="66">
        <v>918089</v>
      </c>
      <c r="O5" s="66">
        <v>925428</v>
      </c>
      <c r="P5" s="66">
        <v>907817</v>
      </c>
      <c r="Q5" s="66">
        <v>792603</v>
      </c>
      <c r="R5" s="44">
        <f>AVERAGE(N5:Q5)</f>
        <v>885984.25</v>
      </c>
      <c r="S5" s="113">
        <f>' Yearly Energy Costs'!R5/14130</f>
        <v>62.702353149327671</v>
      </c>
      <c r="T5" s="40" t="s">
        <v>97</v>
      </c>
    </row>
    <row r="6" spans="2:20">
      <c r="B6" s="40"/>
      <c r="C6" s="40" t="s">
        <v>36</v>
      </c>
      <c r="D6" s="43">
        <v>5.5259999999999998</v>
      </c>
      <c r="E6" s="43" t="s">
        <v>40</v>
      </c>
      <c r="F6" s="61">
        <f>F4*D6</f>
        <v>17511.894</v>
      </c>
      <c r="G6" s="61">
        <f>G4*D6</f>
        <v>19014.966</v>
      </c>
      <c r="H6" s="61">
        <f>H4*D6</f>
        <v>21346.937999999998</v>
      </c>
      <c r="I6" s="61">
        <f>I4*D6</f>
        <v>18246.851999999999</v>
      </c>
      <c r="L6" s="40" t="s">
        <v>1</v>
      </c>
      <c r="M6" s="43" t="s">
        <v>7</v>
      </c>
      <c r="N6" s="66">
        <v>103603</v>
      </c>
      <c r="O6" s="66">
        <v>108053</v>
      </c>
      <c r="P6" s="66">
        <v>96775</v>
      </c>
      <c r="Q6" s="66">
        <v>99437</v>
      </c>
      <c r="R6" s="44">
        <f>AVERAGE(N6:Q6)</f>
        <v>101967</v>
      </c>
      <c r="S6" s="113">
        <f>' Yearly Energy Costs'!R6/14130</f>
        <v>7.2163481953290871</v>
      </c>
      <c r="T6" s="40" t="s">
        <v>98</v>
      </c>
    </row>
    <row r="7" spans="2:20">
      <c r="B7" s="40"/>
      <c r="C7" s="40" t="s">
        <v>37</v>
      </c>
      <c r="D7" s="43">
        <v>1.351</v>
      </c>
      <c r="E7" s="43" t="s">
        <v>40</v>
      </c>
      <c r="F7" s="61">
        <f>F4*D7</f>
        <v>4281.3189999999995</v>
      </c>
      <c r="G7" s="61">
        <f>G4*D7</f>
        <v>4648.7910000000002</v>
      </c>
      <c r="H7" s="61">
        <f>H4*D7</f>
        <v>5218.9129999999996</v>
      </c>
      <c r="I7" s="61">
        <f>I4*D7</f>
        <v>4461.0019999999995</v>
      </c>
      <c r="L7" s="67" t="s">
        <v>63</v>
      </c>
      <c r="M7" s="68" t="s">
        <v>42</v>
      </c>
      <c r="N7" s="69">
        <f>N6/N5</f>
        <v>0.11284635803282689</v>
      </c>
      <c r="O7" s="69">
        <f t="shared" ref="O7:Q7" si="0">O6/O5</f>
        <v>0.11676002887312681</v>
      </c>
      <c r="P7" s="69">
        <f t="shared" si="0"/>
        <v>0.10660188121614819</v>
      </c>
      <c r="Q7" s="69">
        <f t="shared" si="0"/>
        <v>0.1254562498501772</v>
      </c>
      <c r="R7" s="70">
        <f>AVERAGE(N7:Q7)</f>
        <v>0.11541612949306979</v>
      </c>
      <c r="S7" s="70"/>
      <c r="T7" s="70"/>
    </row>
    <row r="8" spans="2:20">
      <c r="B8" s="40"/>
      <c r="C8" s="40" t="s">
        <v>38</v>
      </c>
      <c r="D8" s="43">
        <v>4.5030000000000001</v>
      </c>
      <c r="E8" s="43" t="s">
        <v>40</v>
      </c>
      <c r="F8" s="61">
        <f>F4*D8</f>
        <v>14270.007</v>
      </c>
      <c r="G8" s="61">
        <f>G4*D8</f>
        <v>15494.823</v>
      </c>
      <c r="H8" s="61">
        <f>H4*D8</f>
        <v>17395.089</v>
      </c>
      <c r="I8" s="61">
        <f>I4*D8</f>
        <v>14868.906000000001</v>
      </c>
      <c r="L8" s="41" t="s">
        <v>66</v>
      </c>
      <c r="M8" s="42" t="s">
        <v>44</v>
      </c>
      <c r="N8" s="41">
        <v>2015</v>
      </c>
      <c r="O8" s="41">
        <v>2016</v>
      </c>
      <c r="P8" s="41">
        <v>2017</v>
      </c>
      <c r="Q8" s="41">
        <v>2018</v>
      </c>
      <c r="R8" s="94" t="s">
        <v>64</v>
      </c>
      <c r="S8" s="94" t="s">
        <v>100</v>
      </c>
      <c r="T8" s="94" t="s">
        <v>44</v>
      </c>
    </row>
    <row r="9" spans="2:20">
      <c r="B9" s="46" t="s">
        <v>48</v>
      </c>
      <c r="C9" s="46"/>
      <c r="D9" s="47"/>
      <c r="E9" s="47"/>
      <c r="F9" s="62">
        <f>SUM(F5:F8)</f>
        <v>36217.103999999999</v>
      </c>
      <c r="G9" s="62">
        <f>SUM(G5:G8)</f>
        <v>39312.885600000001</v>
      </c>
      <c r="H9" s="62">
        <f t="shared" ref="H9" si="1">SUM(H5:H8)</f>
        <v>44114.823999999993</v>
      </c>
      <c r="I9" s="62">
        <f>SUM(I5:I8)</f>
        <v>37730.644</v>
      </c>
      <c r="L9" s="40" t="s">
        <v>0</v>
      </c>
      <c r="M9" s="43" t="s">
        <v>8</v>
      </c>
      <c r="N9" s="66">
        <v>3169</v>
      </c>
      <c r="O9" s="66">
        <v>3441</v>
      </c>
      <c r="P9" s="66">
        <v>3863</v>
      </c>
      <c r="Q9" s="66">
        <v>3302</v>
      </c>
      <c r="R9" s="44">
        <f>AVERAGE(N9:Q9)</f>
        <v>3443.75</v>
      </c>
      <c r="S9" s="113">
        <f>R9/14130</f>
        <v>0.24371903750884644</v>
      </c>
      <c r="T9" s="40" t="s">
        <v>99</v>
      </c>
    </row>
    <row r="10" spans="2:20">
      <c r="B10" s="41" t="s">
        <v>47</v>
      </c>
      <c r="C10" s="41"/>
      <c r="D10" s="41"/>
      <c r="E10" s="41"/>
      <c r="F10" s="53">
        <v>918089</v>
      </c>
      <c r="G10" s="53">
        <v>925428</v>
      </c>
      <c r="H10" s="53">
        <v>907817</v>
      </c>
      <c r="I10" s="53">
        <v>792603</v>
      </c>
      <c r="L10" s="40" t="s">
        <v>1</v>
      </c>
      <c r="M10" s="43" t="s">
        <v>7</v>
      </c>
      <c r="N10" s="66">
        <v>27654</v>
      </c>
      <c r="O10" s="66">
        <v>26428</v>
      </c>
      <c r="P10" s="66">
        <v>30996</v>
      </c>
      <c r="Q10" s="66">
        <v>24857</v>
      </c>
      <c r="R10" s="44">
        <f t="shared" ref="R10:R11" si="2">AVERAGE(N10:Q10)</f>
        <v>27483.75</v>
      </c>
      <c r="S10" s="113">
        <f>R10/14130</f>
        <v>1.9450636942675159</v>
      </c>
      <c r="T10" s="40" t="s">
        <v>98</v>
      </c>
    </row>
    <row r="11" spans="2:20">
      <c r="B11" s="45" t="s">
        <v>33</v>
      </c>
      <c r="C11" s="40" t="s">
        <v>35</v>
      </c>
      <c r="D11" s="43">
        <v>0.20899999999999999</v>
      </c>
      <c r="E11" s="43" t="s">
        <v>39</v>
      </c>
      <c r="F11" s="60">
        <f>F3*D11</f>
        <v>76.284999999999997</v>
      </c>
      <c r="G11" s="60">
        <f>G3*D11</f>
        <v>76.494</v>
      </c>
      <c r="H11" s="60">
        <f>H3*D11</f>
        <v>76.284999999999997</v>
      </c>
      <c r="I11" s="60">
        <f>I3*D11</f>
        <v>76.284999999999997</v>
      </c>
      <c r="L11" s="67" t="s">
        <v>63</v>
      </c>
      <c r="M11" s="68" t="s">
        <v>40</v>
      </c>
      <c r="N11" s="69">
        <f>N10/N9</f>
        <v>8.7264121173871878</v>
      </c>
      <c r="O11" s="69">
        <f t="shared" ref="O11:Q11" si="3">O10/O9</f>
        <v>7.6803254867770994</v>
      </c>
      <c r="P11" s="69">
        <f t="shared" si="3"/>
        <v>8.0238156872896713</v>
      </c>
      <c r="Q11" s="69">
        <f t="shared" si="3"/>
        <v>7.5278619018776496</v>
      </c>
      <c r="R11" s="70">
        <f t="shared" si="2"/>
        <v>7.9896037983329027</v>
      </c>
      <c r="S11" s="93"/>
      <c r="T11" s="70"/>
    </row>
    <row r="12" spans="2:20">
      <c r="B12" s="40"/>
      <c r="C12" s="40" t="s">
        <v>41</v>
      </c>
      <c r="D12" s="43">
        <v>9.5000000000000001E-2</v>
      </c>
      <c r="E12" s="43" t="s">
        <v>42</v>
      </c>
      <c r="F12" s="61">
        <f>1350*D12</f>
        <v>128.25</v>
      </c>
      <c r="G12" s="61">
        <f>1350*D12</f>
        <v>128.25</v>
      </c>
      <c r="H12" s="61">
        <f>1350*D12</f>
        <v>128.25</v>
      </c>
      <c r="I12" s="61">
        <f>1350*D12</f>
        <v>128.25</v>
      </c>
      <c r="L12" s="95" t="s">
        <v>101</v>
      </c>
      <c r="M12" s="96" t="s">
        <v>7</v>
      </c>
      <c r="N12" s="97">
        <f>N6+N10</f>
        <v>131257</v>
      </c>
      <c r="O12" s="97">
        <f t="shared" ref="O12:Q12" si="4">O6+O10</f>
        <v>134481</v>
      </c>
      <c r="P12" s="97">
        <f t="shared" si="4"/>
        <v>127771</v>
      </c>
      <c r="Q12" s="97">
        <f t="shared" si="4"/>
        <v>124294</v>
      </c>
      <c r="R12" s="128">
        <f>R6+R10</f>
        <v>129450.75</v>
      </c>
      <c r="S12" s="114"/>
      <c r="T12" s="114"/>
    </row>
    <row r="13" spans="2:20">
      <c r="B13" s="40"/>
      <c r="C13" s="50" t="s">
        <v>50</v>
      </c>
      <c r="D13" s="43">
        <v>0.14080000000000001</v>
      </c>
      <c r="E13" s="43" t="s">
        <v>42</v>
      </c>
      <c r="F13" s="61">
        <f>(F10-1350)*D13</f>
        <v>129076.8512</v>
      </c>
      <c r="G13" s="61">
        <f>(G10-1350)*D13</f>
        <v>130110.18240000001</v>
      </c>
      <c r="H13" s="61">
        <f>(H10-1350)*D13</f>
        <v>127630.55360000001</v>
      </c>
      <c r="I13" s="61">
        <f>(I10-1350)*D13</f>
        <v>111408.42240000001</v>
      </c>
    </row>
    <row r="14" spans="2:20">
      <c r="B14" s="46" t="s">
        <v>49</v>
      </c>
      <c r="C14" s="46"/>
      <c r="D14" s="47"/>
      <c r="E14" s="47"/>
      <c r="F14" s="65">
        <f>SUM(F11:F13)</f>
        <v>129281.38620000001</v>
      </c>
      <c r="G14" s="65">
        <f t="shared" ref="G14:I14" si="5">SUM(G11:G13)</f>
        <v>130314.92640000001</v>
      </c>
      <c r="H14" s="65">
        <f t="shared" si="5"/>
        <v>127835.08860000002</v>
      </c>
      <c r="I14" s="65">
        <f t="shared" si="5"/>
        <v>111612.95740000001</v>
      </c>
    </row>
    <row r="15" spans="2:20">
      <c r="B15" s="48" t="s">
        <v>51</v>
      </c>
      <c r="C15" s="48"/>
      <c r="D15" s="48"/>
      <c r="E15" s="49"/>
      <c r="F15" s="63">
        <f>SUM(F9,F14)</f>
        <v>165498.4902</v>
      </c>
      <c r="G15" s="63">
        <f t="shared" ref="G15:I15" si="6">SUM(G9,G14)</f>
        <v>169627.81200000001</v>
      </c>
      <c r="H15" s="63">
        <f t="shared" si="6"/>
        <v>171949.91260000001</v>
      </c>
      <c r="I15" s="63">
        <f t="shared" si="6"/>
        <v>149343.60140000001</v>
      </c>
    </row>
    <row r="20" spans="2:5">
      <c r="B20" s="54"/>
    </row>
    <row r="21" spans="2:5">
      <c r="E21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D155E-B4B0-184C-9BB9-CFF79485AA2E}">
  <dimension ref="B2:G47"/>
  <sheetViews>
    <sheetView topLeftCell="A8" zoomScale="65" zoomScaleNormal="119" workbookViewId="0">
      <selection activeCell="E42" sqref="E42"/>
    </sheetView>
  </sheetViews>
  <sheetFormatPr baseColWidth="10" defaultColWidth="11" defaultRowHeight="16"/>
  <cols>
    <col min="2" max="2" width="12.5" customWidth="1"/>
    <col min="3" max="3" width="30" customWidth="1"/>
    <col min="4" max="4" width="22.83203125" customWidth="1"/>
    <col min="5" max="5" width="21.83203125" customWidth="1"/>
    <col min="6" max="6" width="18.83203125" customWidth="1"/>
    <col min="7" max="7" width="17.5" customWidth="1"/>
  </cols>
  <sheetData>
    <row r="2" spans="2:4">
      <c r="B2" s="100"/>
      <c r="C2" s="118" t="s">
        <v>60</v>
      </c>
    </row>
    <row r="3" spans="2:4">
      <c r="B3" s="101">
        <v>2012</v>
      </c>
      <c r="C3" s="115">
        <v>2861</v>
      </c>
    </row>
    <row r="4" spans="2:4">
      <c r="B4" s="101">
        <v>2013</v>
      </c>
      <c r="C4" s="115">
        <v>2832</v>
      </c>
    </row>
    <row r="5" spans="2:4">
      <c r="B5" s="101">
        <v>2014</v>
      </c>
      <c r="C5" s="115">
        <v>2635</v>
      </c>
    </row>
    <row r="6" spans="2:4">
      <c r="B6" s="101">
        <v>2015</v>
      </c>
      <c r="C6" s="115">
        <v>2498</v>
      </c>
    </row>
    <row r="7" spans="2:4">
      <c r="B7" s="101">
        <v>2016</v>
      </c>
      <c r="C7" s="115">
        <v>2545</v>
      </c>
      <c r="D7" s="38"/>
    </row>
    <row r="8" spans="2:4">
      <c r="B8" s="101">
        <v>2017</v>
      </c>
      <c r="C8" s="115">
        <v>2926</v>
      </c>
    </row>
    <row r="9" spans="2:4">
      <c r="B9" s="101">
        <v>2018</v>
      </c>
      <c r="C9" s="115">
        <v>2720</v>
      </c>
    </row>
    <row r="10" spans="2:4">
      <c r="B10" s="106">
        <v>2019</v>
      </c>
      <c r="C10" s="119">
        <v>2842</v>
      </c>
    </row>
    <row r="11" spans="2:4">
      <c r="B11" s="106">
        <v>2020</v>
      </c>
      <c r="C11" s="119">
        <v>2759</v>
      </c>
    </row>
    <row r="12" spans="2:4">
      <c r="B12" s="106">
        <v>2021</v>
      </c>
      <c r="C12" s="119">
        <v>2876</v>
      </c>
    </row>
    <row r="13" spans="2:4">
      <c r="B13" s="116" t="s">
        <v>62</v>
      </c>
      <c r="C13" s="117">
        <f>AVERAGE(C3:C12)</f>
        <v>2749.4</v>
      </c>
      <c r="D13" s="55" t="s">
        <v>61</v>
      </c>
    </row>
    <row r="17" spans="2:7">
      <c r="B17" s="100" t="s">
        <v>28</v>
      </c>
      <c r="C17" s="100" t="s">
        <v>55</v>
      </c>
      <c r="D17" s="100" t="s">
        <v>52</v>
      </c>
      <c r="E17" s="100" t="s">
        <v>53</v>
      </c>
      <c r="F17" s="100" t="s">
        <v>54</v>
      </c>
      <c r="G17" s="100"/>
    </row>
    <row r="18" spans="2:7">
      <c r="B18" s="101">
        <v>2015</v>
      </c>
      <c r="C18" s="115">
        <v>918089</v>
      </c>
      <c r="D18" s="115">
        <v>2498</v>
      </c>
      <c r="E18" s="120">
        <f>C18/D18</f>
        <v>367.52962369895914</v>
      </c>
      <c r="F18" s="121">
        <f>E18*C13</f>
        <v>1010485.9473979183</v>
      </c>
      <c r="G18" s="101"/>
    </row>
    <row r="19" spans="2:7">
      <c r="B19" s="101">
        <v>2016</v>
      </c>
      <c r="C19" s="115">
        <v>925428</v>
      </c>
      <c r="D19" s="115">
        <v>2545</v>
      </c>
      <c r="E19" s="120">
        <f>C19/D19</f>
        <v>363.62593320235754</v>
      </c>
      <c r="F19" s="121">
        <f>E19*C13</f>
        <v>999753.14074656181</v>
      </c>
      <c r="G19" s="101"/>
    </row>
    <row r="20" spans="2:7">
      <c r="B20" s="101">
        <v>2017</v>
      </c>
      <c r="C20" s="115">
        <v>907817</v>
      </c>
      <c r="D20" s="115">
        <v>2926</v>
      </c>
      <c r="E20" s="120">
        <f>C20/D20</f>
        <v>310.25871496924128</v>
      </c>
      <c r="F20" s="121">
        <f>E20*C13</f>
        <v>853025.31093643198</v>
      </c>
      <c r="G20" s="101"/>
    </row>
    <row r="21" spans="2:7">
      <c r="B21" s="101">
        <v>2018</v>
      </c>
      <c r="C21" s="115">
        <v>792603</v>
      </c>
      <c r="D21" s="115">
        <v>2720</v>
      </c>
      <c r="E21" s="120">
        <f t="shared" ref="E21" si="0">C21/D21</f>
        <v>291.39816176470589</v>
      </c>
      <c r="F21" s="121">
        <f>E21*C13</f>
        <v>801170.10595588235</v>
      </c>
      <c r="G21" s="101"/>
    </row>
    <row r="22" spans="2:7">
      <c r="B22" s="100" t="s">
        <v>28</v>
      </c>
      <c r="C22" s="100" t="s">
        <v>57</v>
      </c>
      <c r="D22" s="100" t="s">
        <v>52</v>
      </c>
      <c r="E22" s="100" t="s">
        <v>58</v>
      </c>
      <c r="F22" s="100" t="s">
        <v>59</v>
      </c>
      <c r="G22" s="100" t="s">
        <v>70</v>
      </c>
    </row>
    <row r="23" spans="2:7">
      <c r="B23" s="101">
        <v>2015</v>
      </c>
      <c r="C23" s="115">
        <v>880203</v>
      </c>
      <c r="D23" s="115">
        <v>2498</v>
      </c>
      <c r="E23" s="120">
        <f>C23/D23</f>
        <v>352.36309047237791</v>
      </c>
      <c r="F23" s="121">
        <f>E23*C13</f>
        <v>968787.08094475581</v>
      </c>
      <c r="G23" s="122">
        <v>3487.6</v>
      </c>
    </row>
    <row r="24" spans="2:7">
      <c r="B24" s="101">
        <v>2016</v>
      </c>
      <c r="C24" s="115">
        <v>955954</v>
      </c>
      <c r="D24" s="115">
        <v>2545</v>
      </c>
      <c r="E24" s="120">
        <f t="shared" ref="E24:E26" si="1">C24/D24</f>
        <v>375.62043222003928</v>
      </c>
      <c r="F24" s="121">
        <f>E24*C13</f>
        <v>1032730.816345776</v>
      </c>
      <c r="G24" s="122">
        <v>3717.8</v>
      </c>
    </row>
    <row r="25" spans="2:7">
      <c r="B25" s="101">
        <v>2017</v>
      </c>
      <c r="C25" s="115">
        <v>1072939</v>
      </c>
      <c r="D25" s="115">
        <v>2926</v>
      </c>
      <c r="E25" s="120">
        <f t="shared" si="1"/>
        <v>366.69138755980862</v>
      </c>
      <c r="F25" s="121">
        <f>E25*C13</f>
        <v>1008181.3009569378</v>
      </c>
      <c r="G25" s="122">
        <v>3629.5</v>
      </c>
    </row>
    <row r="26" spans="2:7">
      <c r="B26" s="101">
        <v>2018</v>
      </c>
      <c r="C26" s="115">
        <v>917237</v>
      </c>
      <c r="D26" s="115">
        <v>2720</v>
      </c>
      <c r="E26" s="120">
        <f t="shared" si="1"/>
        <v>337.21948529411765</v>
      </c>
      <c r="F26" s="121">
        <f>E26*C13</f>
        <v>927151.2528676471</v>
      </c>
      <c r="G26" s="122">
        <v>3337.7</v>
      </c>
    </row>
    <row r="29" spans="2:7">
      <c r="B29" s="48" t="s">
        <v>28</v>
      </c>
      <c r="C29" s="48" t="s">
        <v>56</v>
      </c>
      <c r="D29" s="48" t="s">
        <v>52</v>
      </c>
      <c r="E29" s="48" t="s">
        <v>58</v>
      </c>
      <c r="F29" s="48" t="s">
        <v>59</v>
      </c>
    </row>
    <row r="30" spans="2:7">
      <c r="B30" s="40">
        <v>2015</v>
      </c>
      <c r="C30" s="44">
        <v>1798292</v>
      </c>
      <c r="D30" s="44">
        <v>2498</v>
      </c>
      <c r="E30" s="51">
        <f>C30/D30</f>
        <v>719.89271417133705</v>
      </c>
      <c r="F30" s="58">
        <f>E30*C13</f>
        <v>1979273.0283426743</v>
      </c>
    </row>
    <row r="31" spans="2:7">
      <c r="B31" s="40">
        <v>2016</v>
      </c>
      <c r="C31" s="44">
        <v>1881382</v>
      </c>
      <c r="D31" s="44">
        <v>2545</v>
      </c>
      <c r="E31" s="51">
        <f t="shared" ref="E31:E33" si="2">C31/D31</f>
        <v>739.24636542239682</v>
      </c>
      <c r="F31" s="58">
        <f>E31*C13</f>
        <v>2032483.9570923378</v>
      </c>
    </row>
    <row r="32" spans="2:7">
      <c r="B32" s="40">
        <v>2017</v>
      </c>
      <c r="C32" s="44">
        <v>1980756</v>
      </c>
      <c r="D32" s="44">
        <v>2926</v>
      </c>
      <c r="E32" s="51">
        <f t="shared" si="2"/>
        <v>676.9501025290499</v>
      </c>
      <c r="F32" s="58">
        <f>E32*C13</f>
        <v>1861206.6118933698</v>
      </c>
    </row>
    <row r="33" spans="2:6">
      <c r="B33" s="39">
        <v>2018</v>
      </c>
      <c r="C33" s="56">
        <v>1709841</v>
      </c>
      <c r="D33" s="56">
        <v>2720</v>
      </c>
      <c r="E33" s="57">
        <f t="shared" si="2"/>
        <v>628.61801470588239</v>
      </c>
      <c r="F33" s="59">
        <f>E33*C13</f>
        <v>1728322.3696323531</v>
      </c>
    </row>
    <row r="34" spans="2:6">
      <c r="B34" t="s">
        <v>72</v>
      </c>
      <c r="C34" s="38">
        <f>SUM(C30:C33)</f>
        <v>7370271</v>
      </c>
    </row>
    <row r="37" spans="2:6">
      <c r="B37" s="48" t="s">
        <v>28</v>
      </c>
      <c r="C37" s="48" t="s">
        <v>68</v>
      </c>
      <c r="D37" s="48" t="s">
        <v>71</v>
      </c>
      <c r="E37" s="48" t="s">
        <v>67</v>
      </c>
      <c r="F37" s="48" t="s">
        <v>103</v>
      </c>
    </row>
    <row r="38" spans="2:6">
      <c r="B38" s="40">
        <v>2015</v>
      </c>
      <c r="C38" s="40">
        <v>0.113</v>
      </c>
      <c r="D38" s="44">
        <v>103603</v>
      </c>
      <c r="E38" s="123">
        <f>F18*C38</f>
        <v>114184.91205596477</v>
      </c>
      <c r="F38" s="58">
        <v>101967</v>
      </c>
    </row>
    <row r="39" spans="2:6">
      <c r="B39" s="40">
        <v>2016</v>
      </c>
      <c r="C39" s="40">
        <v>0.11700000000000001</v>
      </c>
      <c r="D39" s="44">
        <v>108053</v>
      </c>
      <c r="E39" s="123">
        <f>F19*C39</f>
        <v>116971.11746734774</v>
      </c>
      <c r="F39" s="58">
        <v>101967</v>
      </c>
    </row>
    <row r="40" spans="2:6">
      <c r="B40" s="40">
        <v>2017</v>
      </c>
      <c r="C40" s="40">
        <v>0.107</v>
      </c>
      <c r="D40" s="66">
        <v>96775</v>
      </c>
      <c r="E40" s="123">
        <f>F20*C40</f>
        <v>91273.708270198214</v>
      </c>
      <c r="F40" s="58">
        <v>101967</v>
      </c>
    </row>
    <row r="41" spans="2:6">
      <c r="B41" s="39">
        <v>2018</v>
      </c>
      <c r="C41" s="39">
        <v>0.125</v>
      </c>
      <c r="D41" s="124">
        <v>99437</v>
      </c>
      <c r="E41" s="125">
        <f>F21*C41</f>
        <v>100146.26324448529</v>
      </c>
      <c r="F41" s="59">
        <v>101967</v>
      </c>
    </row>
    <row r="42" spans="2:6">
      <c r="B42" s="72" t="s">
        <v>28</v>
      </c>
      <c r="C42" s="72" t="s">
        <v>69</v>
      </c>
      <c r="D42" s="72" t="s">
        <v>71</v>
      </c>
      <c r="E42" s="72" t="s">
        <v>67</v>
      </c>
      <c r="F42" s="72" t="s">
        <v>103</v>
      </c>
    </row>
    <row r="43" spans="2:6">
      <c r="B43" s="40">
        <v>2015</v>
      </c>
      <c r="C43" s="126">
        <v>8.7260000000000009</v>
      </c>
      <c r="D43" s="44">
        <v>27654</v>
      </c>
      <c r="E43" s="123">
        <f>G23*C43</f>
        <v>30432.797600000002</v>
      </c>
      <c r="F43" s="58">
        <v>27484</v>
      </c>
    </row>
    <row r="44" spans="2:6">
      <c r="B44" s="40">
        <v>2016</v>
      </c>
      <c r="C44" s="126">
        <v>7.68</v>
      </c>
      <c r="D44" s="44">
        <v>26428</v>
      </c>
      <c r="E44" s="123">
        <f>G24*C44</f>
        <v>28552.704000000002</v>
      </c>
      <c r="F44" s="58">
        <v>27484</v>
      </c>
    </row>
    <row r="45" spans="2:6">
      <c r="B45" s="40">
        <v>2017</v>
      </c>
      <c r="C45" s="126">
        <v>8.0239999999999991</v>
      </c>
      <c r="D45" s="44">
        <v>30996</v>
      </c>
      <c r="E45" s="123">
        <f>G25*C45</f>
        <v>29123.107999999997</v>
      </c>
      <c r="F45" s="58">
        <v>27484</v>
      </c>
    </row>
    <row r="46" spans="2:6">
      <c r="B46" s="39">
        <v>2018</v>
      </c>
      <c r="C46" s="127">
        <v>7.5279999999999996</v>
      </c>
      <c r="D46" s="56">
        <v>24857</v>
      </c>
      <c r="E46" s="125">
        <f>G26*C46</f>
        <v>25126.205599999998</v>
      </c>
      <c r="F46" s="59">
        <v>27484</v>
      </c>
    </row>
    <row r="47" spans="2:6">
      <c r="B47" t="s">
        <v>32</v>
      </c>
      <c r="D47" s="38">
        <f>SUM(D38:D41,D43:D46)</f>
        <v>517803</v>
      </c>
      <c r="E47" s="71">
        <f>SUM(E38:E41,E43:E46)</f>
        <v>535810.8162379961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FB49-B107-BF41-9533-F3C2B31EC83B}">
  <dimension ref="B2:F49"/>
  <sheetViews>
    <sheetView zoomScale="75" zoomScaleNormal="75" workbookViewId="0">
      <selection activeCell="F33" sqref="F33"/>
    </sheetView>
  </sheetViews>
  <sheetFormatPr baseColWidth="10" defaultColWidth="11" defaultRowHeight="16"/>
  <cols>
    <col min="1" max="1" width="9.1640625" customWidth="1"/>
    <col min="2" max="2" width="26" customWidth="1"/>
    <col min="3" max="3" width="19.6640625" customWidth="1"/>
    <col min="4" max="4" width="17.5" customWidth="1"/>
    <col min="5" max="5" width="13.6640625" customWidth="1"/>
    <col min="6" max="6" width="18" customWidth="1"/>
    <col min="7" max="7" width="17" customWidth="1"/>
    <col min="8" max="8" width="12.5" customWidth="1"/>
    <col min="9" max="9" width="12.6640625" customWidth="1"/>
  </cols>
  <sheetData>
    <row r="2" spans="2:5">
      <c r="B2" s="64" t="s">
        <v>74</v>
      </c>
      <c r="C2" s="64" t="s">
        <v>73</v>
      </c>
      <c r="D2" s="64" t="s">
        <v>75</v>
      </c>
    </row>
    <row r="3" spans="2:5">
      <c r="B3" s="90">
        <v>26533</v>
      </c>
      <c r="C3" s="90">
        <v>14130</v>
      </c>
      <c r="D3" s="91">
        <f>B3/C3</f>
        <v>1.8777777777777778</v>
      </c>
    </row>
    <row r="6" spans="2:5">
      <c r="B6" t="s">
        <v>76</v>
      </c>
    </row>
    <row r="8" spans="2:5">
      <c r="B8" s="79" t="s">
        <v>87</v>
      </c>
      <c r="C8" s="72" t="s">
        <v>89</v>
      </c>
      <c r="D8" s="72" t="s">
        <v>79</v>
      </c>
      <c r="E8" s="73" t="s">
        <v>86</v>
      </c>
    </row>
    <row r="9" spans="2:5">
      <c r="B9" s="75" t="s">
        <v>78</v>
      </c>
      <c r="C9" s="40" t="s">
        <v>80</v>
      </c>
      <c r="D9" s="74">
        <f>318011.4*2</f>
        <v>636022.80000000005</v>
      </c>
      <c r="E9" s="98">
        <f>D9/D15</f>
        <v>0.56156847870195448</v>
      </c>
    </row>
    <row r="10" spans="2:5">
      <c r="B10" s="75"/>
      <c r="C10" s="40" t="s">
        <v>81</v>
      </c>
      <c r="D10" s="74">
        <f>181792*2</f>
        <v>363584</v>
      </c>
      <c r="E10" s="98">
        <f>D10/D15</f>
        <v>0.32102200386585422</v>
      </c>
    </row>
    <row r="11" spans="2:5">
      <c r="B11" s="75" t="s">
        <v>77</v>
      </c>
      <c r="C11" s="40" t="s">
        <v>82</v>
      </c>
      <c r="D11" s="74">
        <f>2*5914</f>
        <v>11828</v>
      </c>
      <c r="E11" s="98">
        <f>D11/D15</f>
        <v>1.0443386567410347E-2</v>
      </c>
    </row>
    <row r="12" spans="2:5">
      <c r="B12" s="75"/>
      <c r="C12" s="40" t="s">
        <v>83</v>
      </c>
      <c r="D12" s="74">
        <f>2*7729</f>
        <v>15458</v>
      </c>
      <c r="E12" s="98">
        <f>D12/D15</f>
        <v>1.3648450250171555E-2</v>
      </c>
    </row>
    <row r="13" spans="2:5">
      <c r="B13" s="75"/>
      <c r="C13" s="40" t="s">
        <v>84</v>
      </c>
      <c r="D13" s="74">
        <f>2*44606</f>
        <v>89212</v>
      </c>
      <c r="E13" s="98">
        <f>D13/D15</f>
        <v>7.8768633957711526E-2</v>
      </c>
    </row>
    <row r="14" spans="2:5">
      <c r="B14" s="76"/>
      <c r="C14" s="39" t="s">
        <v>85</v>
      </c>
      <c r="D14" s="77">
        <f>2*8239</f>
        <v>16478</v>
      </c>
      <c r="E14" s="99">
        <f>D14/D15</f>
        <v>1.4549046656897845E-2</v>
      </c>
    </row>
    <row r="15" spans="2:5">
      <c r="B15" s="86" t="s">
        <v>32</v>
      </c>
      <c r="C15" s="39"/>
      <c r="D15" s="77">
        <f>SUM(D9:D14)</f>
        <v>1132582.8</v>
      </c>
      <c r="E15" s="78"/>
    </row>
    <row r="17" spans="2:5">
      <c r="B17" s="79" t="s">
        <v>88</v>
      </c>
      <c r="C17" s="72" t="s">
        <v>89</v>
      </c>
      <c r="D17" s="72" t="s">
        <v>79</v>
      </c>
      <c r="E17" s="73" t="s">
        <v>86</v>
      </c>
    </row>
    <row r="18" spans="2:5">
      <c r="B18" s="75" t="s">
        <v>78</v>
      </c>
      <c r="C18" s="40" t="s">
        <v>80</v>
      </c>
      <c r="D18" s="82">
        <f>27430*33</f>
        <v>905190</v>
      </c>
      <c r="E18" s="98">
        <f>D18/D25</f>
        <v>0.59054016232857542</v>
      </c>
    </row>
    <row r="19" spans="2:5">
      <c r="B19" s="75" t="s">
        <v>77</v>
      </c>
      <c r="C19" s="40" t="s">
        <v>81</v>
      </c>
      <c r="D19" s="82">
        <f>33*13489</f>
        <v>445137</v>
      </c>
      <c r="E19" s="98">
        <f>D19/D25</f>
        <v>0.29040452969924002</v>
      </c>
    </row>
    <row r="20" spans="2:5">
      <c r="B20" s="75"/>
      <c r="C20" s="50" t="s">
        <v>90</v>
      </c>
      <c r="D20" s="82">
        <f>68*33</f>
        <v>2244</v>
      </c>
      <c r="E20" s="98">
        <f>D20/D25</f>
        <v>1.4639712372709853E-3</v>
      </c>
    </row>
    <row r="21" spans="2:5">
      <c r="B21" s="75"/>
      <c r="C21" s="40" t="s">
        <v>82</v>
      </c>
      <c r="D21" s="82">
        <f>197*33</f>
        <v>6501</v>
      </c>
      <c r="E21" s="98">
        <f>D21/D25</f>
        <v>4.2412107903291784E-3</v>
      </c>
    </row>
    <row r="22" spans="2:5">
      <c r="B22" s="75"/>
      <c r="C22" s="40" t="s">
        <v>83</v>
      </c>
      <c r="D22" s="82">
        <f>900*33</f>
        <v>29700</v>
      </c>
      <c r="E22" s="98">
        <f>D22/D25</f>
        <v>1.937608990505716E-2</v>
      </c>
    </row>
    <row r="23" spans="2:5">
      <c r="B23" s="75"/>
      <c r="C23" s="40" t="s">
        <v>84</v>
      </c>
      <c r="D23" s="82">
        <f>3311*33</f>
        <v>109263</v>
      </c>
      <c r="E23" s="98">
        <f>D23/D25</f>
        <v>7.1282481861826952E-2</v>
      </c>
    </row>
    <row r="24" spans="2:5">
      <c r="B24" s="76"/>
      <c r="C24" s="39" t="s">
        <v>85</v>
      </c>
      <c r="D24" s="83">
        <f>1054*33</f>
        <v>34782</v>
      </c>
      <c r="E24" s="99">
        <f>D24/D25</f>
        <v>2.2691554177700274E-2</v>
      </c>
    </row>
    <row r="25" spans="2:5">
      <c r="B25" s="92" t="s">
        <v>32</v>
      </c>
      <c r="C25" s="39"/>
      <c r="D25" s="85">
        <f>SUM(D18:D24)</f>
        <v>1532817</v>
      </c>
      <c r="E25" s="78"/>
    </row>
    <row r="27" spans="2:5">
      <c r="B27" s="79" t="s">
        <v>91</v>
      </c>
      <c r="C27" s="72" t="s">
        <v>89</v>
      </c>
      <c r="D27" s="72" t="s">
        <v>79</v>
      </c>
      <c r="E27" s="73" t="s">
        <v>86</v>
      </c>
    </row>
    <row r="28" spans="2:5">
      <c r="B28" s="75" t="s">
        <v>78</v>
      </c>
      <c r="C28" s="40" t="s">
        <v>80</v>
      </c>
      <c r="D28" s="80">
        <v>40739.800000000003</v>
      </c>
      <c r="E28" s="98">
        <f>D28/D35</f>
        <v>0.43455879372542661</v>
      </c>
    </row>
    <row r="29" spans="2:5">
      <c r="B29" s="75"/>
      <c r="C29" s="40" t="s">
        <v>81</v>
      </c>
      <c r="D29" s="80">
        <v>3511</v>
      </c>
      <c r="E29" s="98">
        <f>D29/D35</f>
        <v>3.7450746561592661E-2</v>
      </c>
    </row>
    <row r="30" spans="2:5">
      <c r="B30" s="75" t="s">
        <v>77</v>
      </c>
      <c r="C30" s="50" t="s">
        <v>92</v>
      </c>
      <c r="D30" s="80">
        <v>1340</v>
      </c>
      <c r="E30" s="98">
        <f>D30/D35</f>
        <v>1.4293363825842828E-2</v>
      </c>
    </row>
    <row r="31" spans="2:5">
      <c r="B31" s="75"/>
      <c r="C31" s="50" t="s">
        <v>90</v>
      </c>
      <c r="D31" s="80">
        <v>8737</v>
      </c>
      <c r="E31" s="98">
        <f>D31/D35</f>
        <v>9.3194865482379693E-2</v>
      </c>
    </row>
    <row r="32" spans="2:5">
      <c r="B32" s="75"/>
      <c r="C32" s="40" t="s">
        <v>82</v>
      </c>
      <c r="D32" s="80">
        <v>950</v>
      </c>
      <c r="E32" s="98">
        <f>D32/D35</f>
        <v>1.0133354951157228E-2</v>
      </c>
    </row>
    <row r="33" spans="2:6">
      <c r="B33" s="75"/>
      <c r="C33" s="40" t="s">
        <v>84</v>
      </c>
      <c r="D33" s="80">
        <v>20138</v>
      </c>
      <c r="E33" s="98">
        <f>D33/D35</f>
        <v>0.21480579158568872</v>
      </c>
    </row>
    <row r="34" spans="2:6">
      <c r="B34" s="76"/>
      <c r="C34" s="39" t="s">
        <v>85</v>
      </c>
      <c r="D34" s="81">
        <v>18334</v>
      </c>
      <c r="E34" s="99">
        <f>D34/D35</f>
        <v>0.19556308386791224</v>
      </c>
    </row>
    <row r="35" spans="2:6">
      <c r="B35" s="92" t="s">
        <v>32</v>
      </c>
      <c r="C35" s="86"/>
      <c r="D35" s="87">
        <f>SUM(D28:D34)</f>
        <v>93749.8</v>
      </c>
      <c r="E35" s="88"/>
    </row>
    <row r="37" spans="2:6">
      <c r="B37" s="100" t="s">
        <v>93</v>
      </c>
      <c r="C37" s="100" t="s">
        <v>89</v>
      </c>
      <c r="D37" s="100" t="s">
        <v>79</v>
      </c>
      <c r="E37" s="100" t="s">
        <v>86</v>
      </c>
      <c r="F37" s="100" t="s">
        <v>102</v>
      </c>
    </row>
    <row r="38" spans="2:6">
      <c r="B38" s="101" t="s">
        <v>78</v>
      </c>
      <c r="C38" s="101" t="s">
        <v>96</v>
      </c>
      <c r="D38" s="102">
        <f>SUM(D9,D18,D28)</f>
        <v>1581952.6</v>
      </c>
      <c r="E38" s="103">
        <f>D38/D47</f>
        <v>0.57334788950914439</v>
      </c>
      <c r="F38" s="104">
        <f>D38/14130</f>
        <v>111.95701344656759</v>
      </c>
    </row>
    <row r="39" spans="2:6">
      <c r="B39" s="101"/>
      <c r="C39" s="101" t="s">
        <v>94</v>
      </c>
      <c r="D39" s="102">
        <f>SUM(D10,D29)</f>
        <v>367095</v>
      </c>
      <c r="E39" s="103">
        <f>D39/D47</f>
        <v>0.13304642850826209</v>
      </c>
      <c r="F39" s="104">
        <f t="shared" ref="F39:F44" si="0">D39/14130</f>
        <v>25.979830148619957</v>
      </c>
    </row>
    <row r="40" spans="2:6">
      <c r="B40" s="101" t="s">
        <v>77</v>
      </c>
      <c r="C40" s="101" t="s">
        <v>95</v>
      </c>
      <c r="D40" s="105">
        <f>33*13489</f>
        <v>445137</v>
      </c>
      <c r="E40" s="103">
        <f>D40/D47</f>
        <v>0.16133123046318329</v>
      </c>
      <c r="F40" s="104">
        <f t="shared" si="0"/>
        <v>31.502972399150742</v>
      </c>
    </row>
    <row r="41" spans="2:6">
      <c r="B41" s="101"/>
      <c r="C41" s="106" t="s">
        <v>92</v>
      </c>
      <c r="D41" s="107">
        <v>1340</v>
      </c>
      <c r="E41" s="103">
        <f>D41/D47</f>
        <v>4.8565688500543791E-4</v>
      </c>
      <c r="F41" s="104">
        <f t="shared" si="0"/>
        <v>9.4833687190375091E-2</v>
      </c>
    </row>
    <row r="42" spans="2:6">
      <c r="B42" s="101"/>
      <c r="C42" s="101" t="s">
        <v>82</v>
      </c>
      <c r="D42" s="102">
        <f>SUM(D11,D21,D32)</f>
        <v>19279</v>
      </c>
      <c r="E42" s="103">
        <f>D42/D47</f>
        <v>6.9872978253879385E-3</v>
      </c>
      <c r="F42" s="104">
        <f t="shared" si="0"/>
        <v>1.3644019815994339</v>
      </c>
    </row>
    <row r="43" spans="2:6">
      <c r="B43" s="101"/>
      <c r="C43" s="101" t="s">
        <v>83</v>
      </c>
      <c r="D43" s="108">
        <f>SUM(D22,D12)</f>
        <v>45158</v>
      </c>
      <c r="E43" s="103">
        <f>D43/D47</f>
        <v>1.6366637024683255E-2</v>
      </c>
      <c r="F43" s="104">
        <f t="shared" si="0"/>
        <v>3.1958952583156406</v>
      </c>
    </row>
    <row r="44" spans="2:6">
      <c r="B44" s="101"/>
      <c r="C44" s="106" t="s">
        <v>90</v>
      </c>
      <c r="D44" s="107">
        <f>SUM(D31,D20)</f>
        <v>10981</v>
      </c>
      <c r="E44" s="103">
        <f>D44/D47</f>
        <v>3.9798494434662044E-3</v>
      </c>
      <c r="F44" s="104">
        <f t="shared" si="0"/>
        <v>0.77714083510261855</v>
      </c>
    </row>
    <row r="45" spans="2:6">
      <c r="B45" s="101"/>
      <c r="C45" s="101" t="s">
        <v>84</v>
      </c>
      <c r="D45" s="107">
        <f>SUM(D33,D23,D13)</f>
        <v>218613</v>
      </c>
      <c r="E45" s="103">
        <f>D45/D47</f>
        <v>7.9232021344547612E-2</v>
      </c>
      <c r="F45" s="104">
        <f>D45/14130</f>
        <v>15.471549893842887</v>
      </c>
    </row>
    <row r="46" spans="2:6">
      <c r="B46" s="101"/>
      <c r="C46" s="101" t="s">
        <v>85</v>
      </c>
      <c r="D46" s="107">
        <f>SUM(D34,D24,D14)</f>
        <v>69594</v>
      </c>
      <c r="E46" s="103">
        <f>D46/D47</f>
        <v>2.5222988996319733E-2</v>
      </c>
      <c r="F46" s="104">
        <f>D46/14130</f>
        <v>4.9252653927813164</v>
      </c>
    </row>
    <row r="47" spans="2:6">
      <c r="B47" s="109" t="s">
        <v>32</v>
      </c>
      <c r="C47" s="109"/>
      <c r="D47" s="110">
        <f>SUM(D38:D46)</f>
        <v>2759149.6</v>
      </c>
      <c r="E47" s="111">
        <f>SUM(E38:E46)</f>
        <v>1</v>
      </c>
      <c r="F47" s="112">
        <f>D47/14130</f>
        <v>195.26890304317055</v>
      </c>
    </row>
    <row r="49" spans="3:5">
      <c r="C49" s="40"/>
      <c r="D49" s="84"/>
      <c r="E49" s="89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C3E8-2303-1640-B2FC-EF766806B65A}">
  <dimension ref="B2:U59"/>
  <sheetViews>
    <sheetView tabSelected="1" topLeftCell="C4" zoomScaleNormal="50" workbookViewId="0">
      <selection activeCell="R57" sqref="R57"/>
    </sheetView>
  </sheetViews>
  <sheetFormatPr baseColWidth="10" defaultColWidth="11" defaultRowHeight="16"/>
  <cols>
    <col min="4" max="4" width="10.83203125" customWidth="1"/>
    <col min="6" max="6" width="10.83203125" customWidth="1"/>
    <col min="12" max="12" width="0" hidden="1" customWidth="1"/>
  </cols>
  <sheetData>
    <row r="2" spans="2:21" ht="17" thickBot="1">
      <c r="B2" s="134" t="s">
        <v>28</v>
      </c>
      <c r="C2" s="138" t="s">
        <v>2</v>
      </c>
      <c r="D2" s="140" t="s">
        <v>3</v>
      </c>
      <c r="E2" s="141"/>
      <c r="F2" s="140" t="s">
        <v>4</v>
      </c>
      <c r="G2" s="142"/>
      <c r="H2" s="141"/>
      <c r="I2" s="140" t="s">
        <v>5</v>
      </c>
      <c r="J2" s="141"/>
      <c r="K2" s="9"/>
      <c r="L2" s="10"/>
      <c r="M2" s="138" t="s">
        <v>29</v>
      </c>
      <c r="N2" s="146" t="s">
        <v>30</v>
      </c>
      <c r="O2" s="136" t="s">
        <v>3</v>
      </c>
      <c r="P2" s="136"/>
      <c r="Q2" s="137"/>
      <c r="R2" s="145" t="s">
        <v>30</v>
      </c>
      <c r="S2" s="136" t="s">
        <v>27</v>
      </c>
      <c r="T2" s="136"/>
      <c r="U2" s="136"/>
    </row>
    <row r="3" spans="2:21" ht="17" thickBot="1">
      <c r="B3" s="134"/>
      <c r="C3" s="138"/>
      <c r="D3" s="5" t="s">
        <v>0</v>
      </c>
      <c r="E3" s="5" t="s">
        <v>1</v>
      </c>
      <c r="F3" s="143" t="s">
        <v>0</v>
      </c>
      <c r="G3" s="144"/>
      <c r="H3" s="5" t="s">
        <v>1</v>
      </c>
      <c r="I3" s="5" t="s">
        <v>0</v>
      </c>
      <c r="J3" s="5" t="s">
        <v>1</v>
      </c>
      <c r="K3" s="9" t="s">
        <v>23</v>
      </c>
      <c r="L3" s="10"/>
      <c r="M3" s="138" t="s">
        <v>2</v>
      </c>
      <c r="N3" s="146"/>
      <c r="O3" s="4" t="s">
        <v>24</v>
      </c>
      <c r="P3" s="4" t="s">
        <v>25</v>
      </c>
      <c r="Q3" s="4" t="s">
        <v>26</v>
      </c>
      <c r="R3" s="145"/>
      <c r="S3" s="4" t="s">
        <v>24</v>
      </c>
      <c r="T3" s="4" t="s">
        <v>25</v>
      </c>
      <c r="U3" s="4" t="s">
        <v>26</v>
      </c>
    </row>
    <row r="4" spans="2:21" ht="17" thickBot="1">
      <c r="B4" s="135"/>
      <c r="C4" s="139"/>
      <c r="D4" s="5" t="s">
        <v>6</v>
      </c>
      <c r="E4" s="5" t="s">
        <v>7</v>
      </c>
      <c r="F4" s="5" t="s">
        <v>8</v>
      </c>
      <c r="G4" s="5" t="s">
        <v>9</v>
      </c>
      <c r="H4" s="5" t="s">
        <v>7</v>
      </c>
      <c r="I4" s="5" t="s">
        <v>9</v>
      </c>
      <c r="J4" s="5" t="s">
        <v>7</v>
      </c>
      <c r="K4" s="9"/>
      <c r="L4" s="10"/>
      <c r="M4" s="139"/>
      <c r="N4" s="37" t="s">
        <v>31</v>
      </c>
      <c r="O4" s="4" t="s">
        <v>6</v>
      </c>
      <c r="P4" s="4" t="s">
        <v>6</v>
      </c>
      <c r="Q4" s="4" t="s">
        <v>6</v>
      </c>
      <c r="R4" s="37" t="s">
        <v>31</v>
      </c>
      <c r="S4" s="4" t="s">
        <v>6</v>
      </c>
      <c r="T4" s="4" t="s">
        <v>6</v>
      </c>
      <c r="U4" s="4" t="s">
        <v>6</v>
      </c>
    </row>
    <row r="5" spans="2:21" ht="17" thickBot="1">
      <c r="B5" s="129">
        <v>2015</v>
      </c>
      <c r="C5" s="11" t="s">
        <v>10</v>
      </c>
      <c r="D5" s="12">
        <v>90053</v>
      </c>
      <c r="E5" s="12">
        <v>9791</v>
      </c>
      <c r="F5" s="11">
        <v>231</v>
      </c>
      <c r="G5" s="12">
        <v>64083</v>
      </c>
      <c r="H5" s="12">
        <v>2202</v>
      </c>
      <c r="I5" s="12">
        <v>154137</v>
      </c>
      <c r="J5" s="12">
        <v>11993</v>
      </c>
      <c r="K5" s="12">
        <v>384</v>
      </c>
      <c r="M5" s="32">
        <v>42005</v>
      </c>
      <c r="N5" s="12">
        <f>D5/K5</f>
        <v>234.51302083333334</v>
      </c>
      <c r="O5" s="12">
        <f>K5*38.676+68916</f>
        <v>83767.584000000003</v>
      </c>
      <c r="P5" s="12">
        <f>D5-O5</f>
        <v>6285.4159999999974</v>
      </c>
      <c r="Q5" s="12">
        <f>P5</f>
        <v>6285.4159999999974</v>
      </c>
      <c r="R5" s="12">
        <f>G5/K5</f>
        <v>166.8828125</v>
      </c>
      <c r="S5" s="12">
        <f>211.53*K5+34802</f>
        <v>116029.52</v>
      </c>
      <c r="T5" s="12">
        <f>G5-S5</f>
        <v>-51946.520000000004</v>
      </c>
      <c r="U5" s="12">
        <f>T5</f>
        <v>-51946.520000000004</v>
      </c>
    </row>
    <row r="6" spans="2:21" ht="17" thickBot="1">
      <c r="B6" s="130"/>
      <c r="C6" s="13" t="s">
        <v>11</v>
      </c>
      <c r="D6" s="14">
        <v>79545</v>
      </c>
      <c r="E6" s="14">
        <v>8651</v>
      </c>
      <c r="F6" s="13">
        <v>363</v>
      </c>
      <c r="G6" s="14">
        <v>100960</v>
      </c>
      <c r="H6" s="14">
        <v>3479</v>
      </c>
      <c r="I6" s="14">
        <v>180506</v>
      </c>
      <c r="J6" s="14">
        <v>12129</v>
      </c>
      <c r="K6" s="14">
        <v>297</v>
      </c>
      <c r="M6" s="33">
        <v>42036</v>
      </c>
      <c r="N6" s="14">
        <f>D6/K6</f>
        <v>267.82828282828285</v>
      </c>
      <c r="O6" s="14">
        <f>K6*38.676+68916</f>
        <v>80402.771999999997</v>
      </c>
      <c r="P6" s="14">
        <f>D6-O6</f>
        <v>-857.77199999999721</v>
      </c>
      <c r="Q6" s="14">
        <f t="shared" ref="Q6:Q12" si="0">P6+Q5</f>
        <v>5427.6440000000002</v>
      </c>
      <c r="R6" s="14">
        <f>G6/K6</f>
        <v>339.93265993265993</v>
      </c>
      <c r="S6" s="14">
        <f>211.53*K6+34802</f>
        <v>97626.41</v>
      </c>
      <c r="T6" s="14">
        <f t="shared" ref="T6:T16" si="1">G6-S6</f>
        <v>3333.5899999999965</v>
      </c>
      <c r="U6" s="14">
        <f>T6+U5</f>
        <v>-48612.930000000008</v>
      </c>
    </row>
    <row r="7" spans="2:21" ht="17" thickBot="1">
      <c r="B7" s="130"/>
      <c r="C7" s="11" t="s">
        <v>12</v>
      </c>
      <c r="D7" s="12">
        <v>84357</v>
      </c>
      <c r="E7" s="12">
        <v>9304</v>
      </c>
      <c r="F7" s="11">
        <v>369</v>
      </c>
      <c r="G7" s="12">
        <v>102397</v>
      </c>
      <c r="H7" s="12">
        <v>3274</v>
      </c>
      <c r="I7" s="12">
        <v>186754</v>
      </c>
      <c r="J7" s="12">
        <v>12578</v>
      </c>
      <c r="K7" s="12">
        <v>297</v>
      </c>
      <c r="M7" s="32">
        <v>42064</v>
      </c>
      <c r="N7" s="12">
        <f t="shared" ref="N7:N16" si="2">D7/K7</f>
        <v>284.030303030303</v>
      </c>
      <c r="O7" s="12">
        <f t="shared" ref="O7:O16" si="3">K7*38.676+68916</f>
        <v>80402.771999999997</v>
      </c>
      <c r="P7" s="12">
        <f t="shared" ref="P7:P16" si="4">D7-O7</f>
        <v>3954.2280000000028</v>
      </c>
      <c r="Q7" s="12">
        <f t="shared" si="0"/>
        <v>9381.872000000003</v>
      </c>
      <c r="R7" s="12">
        <f t="shared" ref="R7:R16" si="5">G7/K7</f>
        <v>344.77104377104376</v>
      </c>
      <c r="S7" s="12">
        <f t="shared" ref="S7:S16" si="6">211.53*K7+34802</f>
        <v>97626.41</v>
      </c>
      <c r="T7" s="12">
        <f t="shared" si="1"/>
        <v>4770.5899999999965</v>
      </c>
      <c r="U7" s="12">
        <f t="shared" ref="U7:U15" si="7">T7+U6</f>
        <v>-43842.340000000011</v>
      </c>
    </row>
    <row r="8" spans="2:21" ht="17" thickBot="1">
      <c r="B8" s="130"/>
      <c r="C8" s="13" t="s">
        <v>13</v>
      </c>
      <c r="D8" s="14">
        <v>77696</v>
      </c>
      <c r="E8" s="14">
        <v>8745</v>
      </c>
      <c r="F8" s="13">
        <v>295</v>
      </c>
      <c r="G8" s="14">
        <v>82019</v>
      </c>
      <c r="H8" s="14">
        <v>2472</v>
      </c>
      <c r="I8" s="14">
        <v>159714</v>
      </c>
      <c r="J8" s="14">
        <v>11217</v>
      </c>
      <c r="K8" s="14">
        <v>265</v>
      </c>
      <c r="M8" s="33">
        <v>42095</v>
      </c>
      <c r="N8" s="14">
        <f t="shared" si="2"/>
        <v>293.1924528301887</v>
      </c>
      <c r="O8" s="14">
        <f t="shared" si="3"/>
        <v>79165.14</v>
      </c>
      <c r="P8" s="14">
        <f>D8-O8</f>
        <v>-1469.1399999999994</v>
      </c>
      <c r="Q8" s="14">
        <f t="shared" si="0"/>
        <v>7912.7320000000036</v>
      </c>
      <c r="R8" s="14">
        <f t="shared" si="5"/>
        <v>309.50566037735848</v>
      </c>
      <c r="S8" s="14">
        <f t="shared" si="6"/>
        <v>90857.45</v>
      </c>
      <c r="T8" s="14">
        <f t="shared" si="1"/>
        <v>-8838.4499999999971</v>
      </c>
      <c r="U8" s="14">
        <f t="shared" si="7"/>
        <v>-52680.790000000008</v>
      </c>
    </row>
    <row r="9" spans="2:21" ht="17" thickBot="1">
      <c r="B9" s="130"/>
      <c r="C9" s="11" t="s">
        <v>14</v>
      </c>
      <c r="D9" s="12">
        <v>74588</v>
      </c>
      <c r="E9" s="12">
        <v>8476</v>
      </c>
      <c r="F9" s="11">
        <v>211</v>
      </c>
      <c r="G9" s="12">
        <v>58703</v>
      </c>
      <c r="H9" s="12">
        <v>1831</v>
      </c>
      <c r="I9" s="12">
        <v>133291</v>
      </c>
      <c r="J9" s="12">
        <v>10307</v>
      </c>
      <c r="K9" s="12">
        <v>104</v>
      </c>
      <c r="M9" s="32">
        <v>42125</v>
      </c>
      <c r="N9" s="12">
        <f t="shared" si="2"/>
        <v>717.19230769230774</v>
      </c>
      <c r="O9" s="12">
        <f t="shared" si="3"/>
        <v>72938.304000000004</v>
      </c>
      <c r="P9" s="12">
        <f>D9-O9</f>
        <v>1649.6959999999963</v>
      </c>
      <c r="Q9" s="12">
        <f t="shared" si="0"/>
        <v>9562.4279999999999</v>
      </c>
      <c r="R9" s="12">
        <f t="shared" si="5"/>
        <v>564.45192307692309</v>
      </c>
      <c r="S9" s="12">
        <f t="shared" si="6"/>
        <v>56801.119999999995</v>
      </c>
      <c r="T9" s="12">
        <f t="shared" si="1"/>
        <v>1901.8800000000047</v>
      </c>
      <c r="U9" s="12">
        <f t="shared" si="7"/>
        <v>-50778.91</v>
      </c>
    </row>
    <row r="10" spans="2:21" ht="17" thickBot="1">
      <c r="B10" s="130"/>
      <c r="C10" s="13" t="s">
        <v>15</v>
      </c>
      <c r="D10" s="14">
        <v>67671</v>
      </c>
      <c r="E10" s="14">
        <v>7718</v>
      </c>
      <c r="F10" s="13">
        <v>136</v>
      </c>
      <c r="G10" s="14">
        <v>37658</v>
      </c>
      <c r="H10" s="14">
        <v>1229</v>
      </c>
      <c r="I10" s="14">
        <v>105329</v>
      </c>
      <c r="J10" s="14">
        <v>8948</v>
      </c>
      <c r="K10" s="14">
        <v>29</v>
      </c>
      <c r="M10" s="33">
        <v>42156</v>
      </c>
      <c r="N10" s="14">
        <f t="shared" si="2"/>
        <v>2333.4827586206898</v>
      </c>
      <c r="O10" s="14">
        <f t="shared" si="3"/>
        <v>70037.604000000007</v>
      </c>
      <c r="P10" s="14">
        <f t="shared" si="4"/>
        <v>-2366.6040000000066</v>
      </c>
      <c r="Q10" s="14">
        <f t="shared" si="0"/>
        <v>7195.8239999999932</v>
      </c>
      <c r="R10" s="14">
        <f t="shared" si="5"/>
        <v>1298.5517241379309</v>
      </c>
      <c r="S10" s="14">
        <f t="shared" si="6"/>
        <v>40936.370000000003</v>
      </c>
      <c r="T10" s="14">
        <f t="shared" si="1"/>
        <v>-3278.3700000000026</v>
      </c>
      <c r="U10" s="14">
        <f t="shared" si="7"/>
        <v>-54057.280000000006</v>
      </c>
    </row>
    <row r="11" spans="2:21" ht="17" thickBot="1">
      <c r="B11" s="130"/>
      <c r="C11" s="11" t="s">
        <v>16</v>
      </c>
      <c r="D11" s="12">
        <v>66779</v>
      </c>
      <c r="E11" s="12">
        <v>7633</v>
      </c>
      <c r="F11" s="11">
        <v>109</v>
      </c>
      <c r="G11" s="12">
        <v>30173</v>
      </c>
      <c r="H11" s="12">
        <v>1011</v>
      </c>
      <c r="I11" s="12">
        <v>96952</v>
      </c>
      <c r="J11" s="12">
        <v>8645</v>
      </c>
      <c r="K11" s="12">
        <v>6</v>
      </c>
      <c r="M11" s="32">
        <v>42186</v>
      </c>
      <c r="N11" s="12">
        <f t="shared" si="2"/>
        <v>11129.833333333334</v>
      </c>
      <c r="O11" s="12">
        <f t="shared" si="3"/>
        <v>69148.055999999997</v>
      </c>
      <c r="P11" s="12">
        <f>D11-O11</f>
        <v>-2369.0559999999969</v>
      </c>
      <c r="Q11" s="12">
        <f t="shared" si="0"/>
        <v>4826.7679999999964</v>
      </c>
      <c r="R11" s="12">
        <f t="shared" si="5"/>
        <v>5028.833333333333</v>
      </c>
      <c r="S11" s="12">
        <f t="shared" si="6"/>
        <v>36071.18</v>
      </c>
      <c r="T11" s="12">
        <f t="shared" si="1"/>
        <v>-5898.18</v>
      </c>
      <c r="U11" s="12">
        <f t="shared" si="7"/>
        <v>-59955.460000000006</v>
      </c>
    </row>
    <row r="12" spans="2:21" ht="17" thickBot="1">
      <c r="B12" s="130"/>
      <c r="C12" s="13" t="s">
        <v>17</v>
      </c>
      <c r="D12" s="14">
        <v>65529</v>
      </c>
      <c r="E12" s="14">
        <v>7498</v>
      </c>
      <c r="F12" s="13">
        <v>127</v>
      </c>
      <c r="G12" s="14">
        <v>35232</v>
      </c>
      <c r="H12" s="14">
        <v>1155</v>
      </c>
      <c r="I12" s="14">
        <v>100760</v>
      </c>
      <c r="J12" s="14">
        <v>8652</v>
      </c>
      <c r="K12" s="14">
        <v>13</v>
      </c>
      <c r="M12" s="33">
        <v>42217</v>
      </c>
      <c r="N12" s="14">
        <f t="shared" si="2"/>
        <v>5040.6923076923076</v>
      </c>
      <c r="O12" s="14">
        <f t="shared" si="3"/>
        <v>69418.788</v>
      </c>
      <c r="P12" s="14">
        <f t="shared" si="4"/>
        <v>-3889.7880000000005</v>
      </c>
      <c r="Q12" s="14">
        <f t="shared" si="0"/>
        <v>936.97999999999593</v>
      </c>
      <c r="R12" s="14">
        <f t="shared" si="5"/>
        <v>2710.1538461538462</v>
      </c>
      <c r="S12" s="14">
        <f t="shared" si="6"/>
        <v>37551.89</v>
      </c>
      <c r="T12" s="14">
        <f t="shared" si="1"/>
        <v>-2319.8899999999994</v>
      </c>
      <c r="U12" s="14">
        <f t="shared" si="7"/>
        <v>-62275.350000000006</v>
      </c>
    </row>
    <row r="13" spans="2:21" ht="17" thickBot="1">
      <c r="B13" s="130"/>
      <c r="C13" s="11" t="s">
        <v>18</v>
      </c>
      <c r="D13" s="12">
        <v>68034</v>
      </c>
      <c r="E13" s="12">
        <v>7780</v>
      </c>
      <c r="F13" s="11">
        <v>183</v>
      </c>
      <c r="G13" s="12">
        <v>50739</v>
      </c>
      <c r="H13" s="12">
        <v>1588</v>
      </c>
      <c r="I13" s="12">
        <v>118773</v>
      </c>
      <c r="J13" s="12">
        <v>9367</v>
      </c>
      <c r="K13" s="12">
        <v>120</v>
      </c>
      <c r="M13" s="32">
        <v>42248</v>
      </c>
      <c r="N13" s="12">
        <f t="shared" si="2"/>
        <v>566.95000000000005</v>
      </c>
      <c r="O13" s="12">
        <f t="shared" si="3"/>
        <v>73557.119999999995</v>
      </c>
      <c r="P13" s="12">
        <f t="shared" si="4"/>
        <v>-5523.1199999999953</v>
      </c>
      <c r="Q13" s="12">
        <f t="shared" ref="Q13:Q29" si="8">P13+Q12</f>
        <v>-4586.1399999999994</v>
      </c>
      <c r="R13" s="12">
        <f t="shared" si="5"/>
        <v>422.82499999999999</v>
      </c>
      <c r="S13" s="12">
        <f t="shared" si="6"/>
        <v>60185.599999999999</v>
      </c>
      <c r="T13" s="12">
        <f t="shared" si="1"/>
        <v>-9446.5999999999985</v>
      </c>
      <c r="U13" s="12">
        <f t="shared" si="7"/>
        <v>-71721.950000000012</v>
      </c>
    </row>
    <row r="14" spans="2:21" ht="17" thickBot="1">
      <c r="B14" s="130"/>
      <c r="C14" s="13" t="s">
        <v>19</v>
      </c>
      <c r="D14" s="14">
        <v>74795</v>
      </c>
      <c r="E14" s="14">
        <v>8565</v>
      </c>
      <c r="F14" s="13">
        <v>284</v>
      </c>
      <c r="G14" s="14">
        <v>79004</v>
      </c>
      <c r="H14" s="14">
        <v>2442</v>
      </c>
      <c r="I14" s="14">
        <v>153799</v>
      </c>
      <c r="J14" s="14">
        <v>11007</v>
      </c>
      <c r="K14" s="14">
        <v>194</v>
      </c>
      <c r="M14" s="33">
        <v>42278</v>
      </c>
      <c r="N14" s="14">
        <f t="shared" si="2"/>
        <v>385.54123711340208</v>
      </c>
      <c r="O14" s="14">
        <f t="shared" si="3"/>
        <v>76419.144</v>
      </c>
      <c r="P14" s="14">
        <f t="shared" si="4"/>
        <v>-1624.1440000000002</v>
      </c>
      <c r="Q14" s="14">
        <f t="shared" si="8"/>
        <v>-6210.2839999999997</v>
      </c>
      <c r="R14" s="14">
        <f t="shared" si="5"/>
        <v>407.23711340206188</v>
      </c>
      <c r="S14" s="14">
        <f t="shared" si="6"/>
        <v>75838.820000000007</v>
      </c>
      <c r="T14" s="14">
        <f t="shared" si="1"/>
        <v>3165.179999999993</v>
      </c>
      <c r="U14" s="14">
        <f t="shared" si="7"/>
        <v>-68556.770000000019</v>
      </c>
    </row>
    <row r="15" spans="2:21" ht="17" thickBot="1">
      <c r="B15" s="130"/>
      <c r="C15" s="11" t="s">
        <v>20</v>
      </c>
      <c r="D15" s="12">
        <v>79238</v>
      </c>
      <c r="E15" s="12">
        <v>9091</v>
      </c>
      <c r="F15" s="11">
        <v>380</v>
      </c>
      <c r="G15" s="12">
        <v>105680</v>
      </c>
      <c r="H15" s="12">
        <v>3201</v>
      </c>
      <c r="I15" s="12">
        <v>184918</v>
      </c>
      <c r="J15" s="12">
        <v>12292</v>
      </c>
      <c r="K15" s="12">
        <v>391</v>
      </c>
      <c r="M15" s="32">
        <v>42309</v>
      </c>
      <c r="N15" s="12">
        <f>D15/K15</f>
        <v>202.65473145780052</v>
      </c>
      <c r="O15" s="12">
        <f t="shared" si="3"/>
        <v>84038.316000000006</v>
      </c>
      <c r="P15" s="12">
        <f t="shared" si="4"/>
        <v>-4800.3160000000062</v>
      </c>
      <c r="Q15" s="12">
        <f t="shared" si="8"/>
        <v>-11010.600000000006</v>
      </c>
      <c r="R15" s="12">
        <f t="shared" si="5"/>
        <v>270.28132992327363</v>
      </c>
      <c r="S15" s="12">
        <f t="shared" si="6"/>
        <v>117510.23</v>
      </c>
      <c r="T15" s="12">
        <f t="shared" si="1"/>
        <v>-11830.229999999996</v>
      </c>
      <c r="U15" s="12">
        <f t="shared" si="7"/>
        <v>-80387.000000000015</v>
      </c>
    </row>
    <row r="16" spans="2:21" ht="17" thickBot="1">
      <c r="B16" s="130"/>
      <c r="C16" s="13" t="s">
        <v>21</v>
      </c>
      <c r="D16" s="14">
        <v>89803</v>
      </c>
      <c r="E16" s="14">
        <v>10351</v>
      </c>
      <c r="F16" s="13">
        <v>481</v>
      </c>
      <c r="G16" s="14">
        <v>133556</v>
      </c>
      <c r="H16" s="14">
        <v>3770</v>
      </c>
      <c r="I16" s="14">
        <v>223360</v>
      </c>
      <c r="J16" s="14">
        <v>14121</v>
      </c>
      <c r="K16" s="14">
        <v>398</v>
      </c>
      <c r="M16" s="33">
        <v>42339</v>
      </c>
      <c r="N16" s="14">
        <f t="shared" si="2"/>
        <v>225.6356783919598</v>
      </c>
      <c r="O16" s="14">
        <f t="shared" si="3"/>
        <v>84309.047999999995</v>
      </c>
      <c r="P16" s="14">
        <f t="shared" si="4"/>
        <v>5493.9520000000048</v>
      </c>
      <c r="Q16" s="14">
        <f t="shared" si="8"/>
        <v>-5516.648000000001</v>
      </c>
      <c r="R16" s="14">
        <f t="shared" si="5"/>
        <v>335.5678391959799</v>
      </c>
      <c r="S16" s="14">
        <f t="shared" si="6"/>
        <v>118990.94</v>
      </c>
      <c r="T16" s="14">
        <f t="shared" si="1"/>
        <v>14565.059999999998</v>
      </c>
      <c r="U16" s="14">
        <f>T16+U15</f>
        <v>-65821.940000000017</v>
      </c>
    </row>
    <row r="17" spans="2:21" ht="17" thickBot="1">
      <c r="B17" s="1"/>
      <c r="C17" s="5" t="s">
        <v>22</v>
      </c>
      <c r="D17" s="15">
        <v>918089</v>
      </c>
      <c r="E17" s="15">
        <v>103603</v>
      </c>
      <c r="F17" s="15">
        <v>3169</v>
      </c>
      <c r="G17" s="15">
        <v>880203</v>
      </c>
      <c r="H17" s="15">
        <v>27654</v>
      </c>
      <c r="I17" s="15">
        <v>1798292</v>
      </c>
      <c r="J17" s="15">
        <v>131256</v>
      </c>
      <c r="K17" s="15">
        <f>SUM(K5:K16)</f>
        <v>2498</v>
      </c>
      <c r="L17" s="3">
        <v>2015</v>
      </c>
      <c r="M17" s="15"/>
      <c r="N17" s="15"/>
      <c r="O17" s="15"/>
      <c r="P17" s="15"/>
      <c r="Q17" s="15"/>
      <c r="R17" s="15"/>
      <c r="S17" s="15"/>
      <c r="T17" s="15"/>
      <c r="U17" s="15"/>
    </row>
    <row r="18" spans="2:21" ht="17" thickBot="1">
      <c r="B18" s="131">
        <v>2016</v>
      </c>
      <c r="C18" s="11" t="s">
        <v>10</v>
      </c>
      <c r="D18" s="12">
        <v>87724</v>
      </c>
      <c r="E18" s="12">
        <v>10127</v>
      </c>
      <c r="F18" s="11">
        <v>460</v>
      </c>
      <c r="G18" s="12">
        <v>127797</v>
      </c>
      <c r="H18" s="12">
        <v>3478</v>
      </c>
      <c r="I18" s="12">
        <v>215521</v>
      </c>
      <c r="J18" s="12">
        <v>13605</v>
      </c>
      <c r="K18" s="12">
        <v>414</v>
      </c>
      <c r="M18" s="32">
        <v>42370</v>
      </c>
      <c r="N18" s="12">
        <f>D18/K18</f>
        <v>211.89371980676327</v>
      </c>
      <c r="O18" s="12">
        <f>K18*38.676+68916</f>
        <v>84927.864000000001</v>
      </c>
      <c r="P18" s="12">
        <f t="shared" ref="P18:P29" si="9">D18-O18</f>
        <v>2796.1359999999986</v>
      </c>
      <c r="Q18" s="12">
        <f>P18+Q17</f>
        <v>2796.1359999999986</v>
      </c>
      <c r="R18" s="12">
        <f>G18/K18</f>
        <v>308.68840579710144</v>
      </c>
      <c r="S18" s="12">
        <f>211.53*K18+34802</f>
        <v>122375.42</v>
      </c>
      <c r="T18" s="12">
        <f>G18-S18</f>
        <v>5421.5800000000017</v>
      </c>
      <c r="U18" s="12">
        <f>T18+U16</f>
        <v>-60400.360000000015</v>
      </c>
    </row>
    <row r="19" spans="2:21" ht="17" thickBot="1">
      <c r="B19" s="132"/>
      <c r="C19" s="16" t="s">
        <v>11</v>
      </c>
      <c r="D19" s="17">
        <v>79181</v>
      </c>
      <c r="E19" s="17">
        <v>9148</v>
      </c>
      <c r="F19" s="16">
        <v>376</v>
      </c>
      <c r="G19" s="17">
        <v>104395</v>
      </c>
      <c r="H19" s="17">
        <v>2862</v>
      </c>
      <c r="I19" s="17">
        <v>183576</v>
      </c>
      <c r="J19" s="17">
        <v>12010</v>
      </c>
      <c r="K19" s="17">
        <v>316</v>
      </c>
      <c r="M19" s="33">
        <v>42401</v>
      </c>
      <c r="N19" s="17">
        <f>D19/K19</f>
        <v>250.57278481012659</v>
      </c>
      <c r="O19" s="17">
        <f>K19*38.676+68916</f>
        <v>81137.615999999995</v>
      </c>
      <c r="P19" s="17">
        <f t="shared" si="9"/>
        <v>-1956.6159999999945</v>
      </c>
      <c r="Q19" s="17">
        <f t="shared" si="8"/>
        <v>839.52000000000407</v>
      </c>
      <c r="R19" s="17">
        <f>G19/K19</f>
        <v>330.36392405063293</v>
      </c>
      <c r="S19" s="17">
        <f>211.53*K19+34802</f>
        <v>101645.48</v>
      </c>
      <c r="T19" s="17">
        <f t="shared" ref="T19:T29" si="10">G19-S19</f>
        <v>2749.5200000000041</v>
      </c>
      <c r="U19" s="17">
        <f>T19+U18</f>
        <v>-57650.840000000011</v>
      </c>
    </row>
    <row r="20" spans="2:21" ht="17" thickBot="1">
      <c r="B20" s="132"/>
      <c r="C20" s="11" t="s">
        <v>12</v>
      </c>
      <c r="D20" s="12">
        <v>79837</v>
      </c>
      <c r="E20" s="12">
        <v>9323</v>
      </c>
      <c r="F20" s="11">
        <v>358</v>
      </c>
      <c r="G20" s="12">
        <v>99441</v>
      </c>
      <c r="H20" s="12">
        <v>2639</v>
      </c>
      <c r="I20" s="12">
        <v>179277</v>
      </c>
      <c r="J20" s="12">
        <v>11962</v>
      </c>
      <c r="K20" s="12">
        <v>300</v>
      </c>
      <c r="M20" s="32">
        <v>42430</v>
      </c>
      <c r="N20" s="12">
        <f t="shared" ref="N20:N29" si="11">D20/K20</f>
        <v>266.12333333333333</v>
      </c>
      <c r="O20" s="12">
        <f t="shared" ref="O20:O29" si="12">K20*38.676+68916</f>
        <v>80518.8</v>
      </c>
      <c r="P20" s="12">
        <f t="shared" si="9"/>
        <v>-681.80000000000291</v>
      </c>
      <c r="Q20" s="12">
        <f t="shared" si="8"/>
        <v>157.72000000000116</v>
      </c>
      <c r="R20" s="12">
        <f t="shared" ref="R20:R28" si="13">G20/K20</f>
        <v>331.47</v>
      </c>
      <c r="S20" s="12">
        <f t="shared" ref="S20:S29" si="14">211.53*K20+34802</f>
        <v>98261</v>
      </c>
      <c r="T20" s="12">
        <f t="shared" si="10"/>
        <v>1180</v>
      </c>
      <c r="U20" s="12">
        <f t="shared" ref="U20:U29" si="15">T20+U19</f>
        <v>-56470.840000000011</v>
      </c>
    </row>
    <row r="21" spans="2:21" ht="17" thickBot="1">
      <c r="B21" s="132"/>
      <c r="C21" s="16" t="s">
        <v>13</v>
      </c>
      <c r="D21" s="17">
        <v>74417</v>
      </c>
      <c r="E21" s="17">
        <v>8815</v>
      </c>
      <c r="F21" s="16">
        <v>264</v>
      </c>
      <c r="G21" s="17">
        <v>73224</v>
      </c>
      <c r="H21" s="17">
        <v>1883</v>
      </c>
      <c r="I21" s="17">
        <v>147640</v>
      </c>
      <c r="J21" s="17">
        <v>10697</v>
      </c>
      <c r="K21" s="17">
        <v>188</v>
      </c>
      <c r="M21" s="33">
        <v>42461</v>
      </c>
      <c r="N21" s="17">
        <f t="shared" si="11"/>
        <v>395.83510638297872</v>
      </c>
      <c r="O21" s="17">
        <f t="shared" si="12"/>
        <v>76187.088000000003</v>
      </c>
      <c r="P21" s="17">
        <f t="shared" si="9"/>
        <v>-1770.0880000000034</v>
      </c>
      <c r="Q21" s="17">
        <f t="shared" si="8"/>
        <v>-1612.3680000000022</v>
      </c>
      <c r="R21" s="17">
        <f t="shared" si="13"/>
        <v>389.48936170212767</v>
      </c>
      <c r="S21" s="17">
        <f t="shared" si="14"/>
        <v>74569.64</v>
      </c>
      <c r="T21" s="17">
        <f t="shared" si="10"/>
        <v>-1345.6399999999994</v>
      </c>
      <c r="U21" s="17">
        <f>T21+U20</f>
        <v>-57816.48000000001</v>
      </c>
    </row>
    <row r="22" spans="2:21" ht="17" thickBot="1">
      <c r="B22" s="132"/>
      <c r="C22" s="11" t="s">
        <v>14</v>
      </c>
      <c r="D22" s="12">
        <v>74218</v>
      </c>
      <c r="E22" s="12">
        <v>8843</v>
      </c>
      <c r="F22" s="11">
        <v>203</v>
      </c>
      <c r="G22" s="12">
        <v>56380</v>
      </c>
      <c r="H22" s="12">
        <v>1504</v>
      </c>
      <c r="I22" s="12">
        <v>130599</v>
      </c>
      <c r="J22" s="12">
        <v>10348</v>
      </c>
      <c r="K22" s="12">
        <v>116</v>
      </c>
      <c r="M22" s="32">
        <v>42491</v>
      </c>
      <c r="N22" s="12">
        <f t="shared" si="11"/>
        <v>639.81034482758616</v>
      </c>
      <c r="O22" s="12">
        <f t="shared" si="12"/>
        <v>73402.415999999997</v>
      </c>
      <c r="P22" s="12">
        <f t="shared" si="9"/>
        <v>815.58400000000256</v>
      </c>
      <c r="Q22" s="12">
        <f t="shared" si="8"/>
        <v>-796.78399999999965</v>
      </c>
      <c r="R22" s="12">
        <f t="shared" si="13"/>
        <v>486.0344827586207</v>
      </c>
      <c r="S22" s="12">
        <f t="shared" si="14"/>
        <v>59339.479999999996</v>
      </c>
      <c r="T22" s="12">
        <f t="shared" si="10"/>
        <v>-2959.4799999999959</v>
      </c>
      <c r="U22" s="12">
        <f t="shared" si="15"/>
        <v>-60775.960000000006</v>
      </c>
    </row>
    <row r="23" spans="2:21" ht="17" thickBot="1">
      <c r="B23" s="132"/>
      <c r="C23" s="16" t="s">
        <v>15</v>
      </c>
      <c r="D23" s="17">
        <v>69917</v>
      </c>
      <c r="E23" s="17">
        <v>8337</v>
      </c>
      <c r="F23" s="16">
        <v>172</v>
      </c>
      <c r="G23" s="17">
        <v>47707</v>
      </c>
      <c r="H23" s="17">
        <v>1292</v>
      </c>
      <c r="I23" s="17">
        <v>117625</v>
      </c>
      <c r="J23" s="17">
        <v>9630</v>
      </c>
      <c r="K23" s="17">
        <v>62</v>
      </c>
      <c r="M23" s="33">
        <v>42522</v>
      </c>
      <c r="N23" s="17">
        <f t="shared" si="11"/>
        <v>1127.6935483870968</v>
      </c>
      <c r="O23" s="17">
        <f t="shared" si="12"/>
        <v>71313.911999999997</v>
      </c>
      <c r="P23" s="17">
        <f t="shared" si="9"/>
        <v>-1396.9119999999966</v>
      </c>
      <c r="Q23" s="17">
        <f t="shared" si="8"/>
        <v>-2193.6959999999963</v>
      </c>
      <c r="R23" s="17">
        <f t="shared" si="13"/>
        <v>769.4677419354839</v>
      </c>
      <c r="S23" s="17">
        <f t="shared" si="14"/>
        <v>47916.86</v>
      </c>
      <c r="T23" s="17">
        <f t="shared" si="10"/>
        <v>-209.86000000000058</v>
      </c>
      <c r="U23" s="17">
        <f t="shared" si="15"/>
        <v>-60985.820000000007</v>
      </c>
    </row>
    <row r="24" spans="2:21" ht="17" thickBot="1">
      <c r="B24" s="132"/>
      <c r="C24" s="11" t="s">
        <v>16</v>
      </c>
      <c r="D24" s="12">
        <v>70427</v>
      </c>
      <c r="E24" s="12">
        <v>8413</v>
      </c>
      <c r="F24" s="11">
        <v>146</v>
      </c>
      <c r="G24" s="12">
        <v>40685</v>
      </c>
      <c r="H24" s="12">
        <v>1145</v>
      </c>
      <c r="I24" s="12">
        <v>111112</v>
      </c>
      <c r="J24" s="12">
        <v>9558</v>
      </c>
      <c r="K24" s="12">
        <v>12</v>
      </c>
      <c r="M24" s="32">
        <v>42552</v>
      </c>
      <c r="N24" s="12">
        <f t="shared" si="11"/>
        <v>5868.916666666667</v>
      </c>
      <c r="O24" s="12">
        <f t="shared" si="12"/>
        <v>69380.111999999994</v>
      </c>
      <c r="P24" s="12">
        <f t="shared" si="9"/>
        <v>1046.8880000000063</v>
      </c>
      <c r="Q24" s="12">
        <f t="shared" si="8"/>
        <v>-1146.80799999999</v>
      </c>
      <c r="R24" s="12">
        <f t="shared" si="13"/>
        <v>3390.4166666666665</v>
      </c>
      <c r="S24" s="12">
        <f t="shared" si="14"/>
        <v>37340.36</v>
      </c>
      <c r="T24" s="12">
        <f t="shared" si="10"/>
        <v>3344.6399999999994</v>
      </c>
      <c r="U24" s="12">
        <f t="shared" si="15"/>
        <v>-57641.180000000008</v>
      </c>
    </row>
    <row r="25" spans="2:21" ht="17" thickBot="1">
      <c r="B25" s="132"/>
      <c r="C25" s="16" t="s">
        <v>17</v>
      </c>
      <c r="D25" s="17">
        <v>70716</v>
      </c>
      <c r="E25" s="17">
        <v>8435</v>
      </c>
      <c r="F25" s="16">
        <v>135</v>
      </c>
      <c r="G25" s="17">
        <v>37515</v>
      </c>
      <c r="H25" s="17">
        <v>1055</v>
      </c>
      <c r="I25" s="17">
        <v>108231</v>
      </c>
      <c r="J25" s="17">
        <v>9490</v>
      </c>
      <c r="K25" s="17">
        <v>12</v>
      </c>
      <c r="M25" s="33">
        <v>42583</v>
      </c>
      <c r="N25" s="17">
        <f t="shared" si="11"/>
        <v>5893</v>
      </c>
      <c r="O25" s="17">
        <f t="shared" si="12"/>
        <v>69380.111999999994</v>
      </c>
      <c r="P25" s="17">
        <f t="shared" si="9"/>
        <v>1335.8880000000063</v>
      </c>
      <c r="Q25" s="17">
        <f t="shared" si="8"/>
        <v>189.0800000000163</v>
      </c>
      <c r="R25" s="17">
        <f t="shared" si="13"/>
        <v>3126.25</v>
      </c>
      <c r="S25" s="17">
        <f t="shared" si="14"/>
        <v>37340.36</v>
      </c>
      <c r="T25" s="17">
        <f t="shared" si="10"/>
        <v>174.63999999999942</v>
      </c>
      <c r="U25" s="17">
        <f t="shared" si="15"/>
        <v>-57466.540000000008</v>
      </c>
    </row>
    <row r="26" spans="2:21" ht="17" thickBot="1">
      <c r="B26" s="132"/>
      <c r="C26" s="11" t="s">
        <v>18</v>
      </c>
      <c r="D26" s="12">
        <v>72158</v>
      </c>
      <c r="E26" s="12">
        <v>8639</v>
      </c>
      <c r="F26" s="11">
        <v>193</v>
      </c>
      <c r="G26" s="12">
        <v>53598</v>
      </c>
      <c r="H26" s="12">
        <v>1541</v>
      </c>
      <c r="I26" s="12">
        <v>125746</v>
      </c>
      <c r="J26" s="12">
        <v>10180</v>
      </c>
      <c r="K26" s="12">
        <v>115</v>
      </c>
      <c r="M26" s="32">
        <v>42614</v>
      </c>
      <c r="N26" s="12">
        <f t="shared" si="11"/>
        <v>627.46086956521742</v>
      </c>
      <c r="O26" s="12">
        <f t="shared" si="12"/>
        <v>73363.740000000005</v>
      </c>
      <c r="P26" s="12">
        <f t="shared" si="9"/>
        <v>-1205.7400000000052</v>
      </c>
      <c r="Q26" s="12">
        <f t="shared" si="8"/>
        <v>-1016.6599999999889</v>
      </c>
      <c r="R26" s="12">
        <f t="shared" si="13"/>
        <v>466.0695652173913</v>
      </c>
      <c r="S26" s="12">
        <f t="shared" si="14"/>
        <v>59127.95</v>
      </c>
      <c r="T26" s="12">
        <f t="shared" si="10"/>
        <v>-5529.9499999999971</v>
      </c>
      <c r="U26" s="12">
        <f t="shared" si="15"/>
        <v>-62996.490000000005</v>
      </c>
    </row>
    <row r="27" spans="2:21" ht="17" thickBot="1">
      <c r="B27" s="132"/>
      <c r="C27" s="16" t="s">
        <v>19</v>
      </c>
      <c r="D27" s="17">
        <v>77675</v>
      </c>
      <c r="E27" s="17">
        <v>9310</v>
      </c>
      <c r="F27" s="16">
        <v>272</v>
      </c>
      <c r="G27" s="17">
        <v>75634</v>
      </c>
      <c r="H27" s="17">
        <v>2206</v>
      </c>
      <c r="I27" s="18">
        <v>153309</v>
      </c>
      <c r="J27" s="18">
        <v>11516</v>
      </c>
      <c r="K27" s="17">
        <v>216</v>
      </c>
      <c r="M27" s="33">
        <v>42644</v>
      </c>
      <c r="N27" s="17">
        <f t="shared" si="11"/>
        <v>359.60648148148147</v>
      </c>
      <c r="O27" s="17">
        <f t="shared" si="12"/>
        <v>77270.016000000003</v>
      </c>
      <c r="P27" s="17">
        <f t="shared" si="9"/>
        <v>404.98399999999674</v>
      </c>
      <c r="Q27" s="17">
        <f t="shared" si="8"/>
        <v>-611.6759999999922</v>
      </c>
      <c r="R27" s="17">
        <f t="shared" si="13"/>
        <v>350.15740740740739</v>
      </c>
      <c r="S27" s="17">
        <f t="shared" si="14"/>
        <v>80492.48000000001</v>
      </c>
      <c r="T27" s="17">
        <f t="shared" si="10"/>
        <v>-4858.4800000000105</v>
      </c>
      <c r="U27" s="17">
        <f t="shared" si="15"/>
        <v>-67854.970000000016</v>
      </c>
    </row>
    <row r="28" spans="2:21" ht="17" thickBot="1">
      <c r="B28" s="132"/>
      <c r="C28" s="11" t="s">
        <v>20</v>
      </c>
      <c r="D28" s="12">
        <v>80258</v>
      </c>
      <c r="E28" s="12">
        <v>9183</v>
      </c>
      <c r="F28" s="11">
        <v>356</v>
      </c>
      <c r="G28" s="12">
        <v>98998</v>
      </c>
      <c r="H28" s="12">
        <v>2834</v>
      </c>
      <c r="I28" s="12">
        <v>179247</v>
      </c>
      <c r="J28" s="12">
        <v>12017</v>
      </c>
      <c r="K28" s="12">
        <v>263</v>
      </c>
      <c r="M28" s="32">
        <v>42675</v>
      </c>
      <c r="N28" s="12">
        <f t="shared" si="11"/>
        <v>305.16349809885929</v>
      </c>
      <c r="O28" s="12">
        <f t="shared" si="12"/>
        <v>79087.788</v>
      </c>
      <c r="P28" s="12">
        <f t="shared" si="9"/>
        <v>1170.2119999999995</v>
      </c>
      <c r="Q28" s="12">
        <f t="shared" si="8"/>
        <v>558.53600000000733</v>
      </c>
      <c r="R28" s="12">
        <f t="shared" si="13"/>
        <v>376.41825095057033</v>
      </c>
      <c r="S28" s="12">
        <f t="shared" si="14"/>
        <v>90434.39</v>
      </c>
      <c r="T28" s="12">
        <f t="shared" si="10"/>
        <v>8563.61</v>
      </c>
      <c r="U28" s="12">
        <f t="shared" si="15"/>
        <v>-59291.360000000015</v>
      </c>
    </row>
    <row r="29" spans="2:21" ht="17" thickBot="1">
      <c r="B29" s="132"/>
      <c r="C29" s="16" t="s">
        <v>21</v>
      </c>
      <c r="D29" s="17">
        <v>88899</v>
      </c>
      <c r="E29" s="17">
        <v>9479</v>
      </c>
      <c r="F29" s="16">
        <v>506</v>
      </c>
      <c r="G29" s="17">
        <v>140599</v>
      </c>
      <c r="H29" s="17">
        <v>3988</v>
      </c>
      <c r="I29" s="18">
        <v>229498</v>
      </c>
      <c r="J29" s="18">
        <v>13468</v>
      </c>
      <c r="K29" s="17">
        <v>531</v>
      </c>
      <c r="M29" s="33">
        <v>42705</v>
      </c>
      <c r="N29" s="17">
        <f t="shared" si="11"/>
        <v>167.4180790960452</v>
      </c>
      <c r="O29" s="17">
        <f t="shared" si="12"/>
        <v>89452.956000000006</v>
      </c>
      <c r="P29" s="17">
        <f t="shared" si="9"/>
        <v>-553.95600000000559</v>
      </c>
      <c r="Q29" s="17">
        <f t="shared" si="8"/>
        <v>4.5800000000017462</v>
      </c>
      <c r="R29" s="17">
        <f>G29/K29</f>
        <v>264.78154425612053</v>
      </c>
      <c r="S29" s="17">
        <f t="shared" si="14"/>
        <v>147124.43</v>
      </c>
      <c r="T29" s="17">
        <f t="shared" si="10"/>
        <v>-6525.429999999993</v>
      </c>
      <c r="U29" s="17">
        <f t="shared" si="15"/>
        <v>-65816.790000000008</v>
      </c>
    </row>
    <row r="30" spans="2:21" ht="17" thickBot="1">
      <c r="B30" s="8"/>
      <c r="C30" s="5" t="s">
        <v>22</v>
      </c>
      <c r="D30" s="15">
        <v>925428</v>
      </c>
      <c r="E30" s="15">
        <v>108053</v>
      </c>
      <c r="F30" s="15">
        <v>3441</v>
      </c>
      <c r="G30" s="15">
        <v>955954</v>
      </c>
      <c r="H30" s="15">
        <v>26428</v>
      </c>
      <c r="I30" s="19">
        <v>1881382</v>
      </c>
      <c r="J30" s="19">
        <v>134482</v>
      </c>
      <c r="K30" s="15">
        <f>SUM(K18:K29)</f>
        <v>2545</v>
      </c>
      <c r="L30" s="3">
        <v>2016</v>
      </c>
      <c r="M30" s="15"/>
      <c r="N30" s="15"/>
      <c r="O30" s="15"/>
      <c r="P30" s="15"/>
      <c r="Q30" s="15"/>
      <c r="R30" s="15"/>
      <c r="S30" s="15"/>
      <c r="T30" s="15"/>
      <c r="U30" s="15"/>
    </row>
    <row r="31" spans="2:21" ht="17" thickBot="1">
      <c r="B31" s="129">
        <v>2017</v>
      </c>
      <c r="C31" s="11" t="s">
        <v>10</v>
      </c>
      <c r="D31" s="12">
        <v>88281</v>
      </c>
      <c r="E31" s="12">
        <v>9172</v>
      </c>
      <c r="F31" s="11">
        <v>521</v>
      </c>
      <c r="G31" s="12">
        <v>144794</v>
      </c>
      <c r="H31" s="12">
        <v>4132</v>
      </c>
      <c r="I31" s="12">
        <v>233075</v>
      </c>
      <c r="J31" s="12">
        <v>13304</v>
      </c>
      <c r="K31" s="12">
        <v>499</v>
      </c>
      <c r="M31" s="32">
        <v>42736</v>
      </c>
      <c r="N31" s="12">
        <f>D31/K31</f>
        <v>176.91583166332666</v>
      </c>
      <c r="O31" s="12">
        <f>K31*38.676+68916</f>
        <v>88215.323999999993</v>
      </c>
      <c r="P31" s="12">
        <f>D31-O31</f>
        <v>65.676000000006752</v>
      </c>
      <c r="Q31" s="12">
        <f>P31+Q30</f>
        <v>65.676000000006752</v>
      </c>
      <c r="R31" s="12">
        <f>G31/K31</f>
        <v>290.16833667334669</v>
      </c>
      <c r="S31" s="12">
        <f>211.53*K31+34802</f>
        <v>140355.47</v>
      </c>
      <c r="T31" s="12">
        <f>G31-S31</f>
        <v>4438.5299999999988</v>
      </c>
      <c r="U31" s="12">
        <f>T31+U29</f>
        <v>-61378.260000000009</v>
      </c>
    </row>
    <row r="32" spans="2:21" ht="17" thickBot="1">
      <c r="B32" s="133"/>
      <c r="C32" s="13" t="s">
        <v>11</v>
      </c>
      <c r="D32" s="14">
        <v>77351</v>
      </c>
      <c r="E32" s="14">
        <v>8005</v>
      </c>
      <c r="F32" s="13">
        <v>430</v>
      </c>
      <c r="G32" s="14">
        <v>119401</v>
      </c>
      <c r="H32" s="14">
        <v>3421</v>
      </c>
      <c r="I32" s="20">
        <v>196752</v>
      </c>
      <c r="J32" s="20">
        <v>11426</v>
      </c>
      <c r="K32" s="14">
        <v>421</v>
      </c>
      <c r="M32" s="33">
        <v>42767</v>
      </c>
      <c r="N32" s="14">
        <f>D32/K32</f>
        <v>183.73159144893111</v>
      </c>
      <c r="O32" s="14">
        <f>K32*38.676+68916</f>
        <v>85198.596000000005</v>
      </c>
      <c r="P32" s="14">
        <f>D32-O32</f>
        <v>-7847.596000000005</v>
      </c>
      <c r="Q32" s="14">
        <f>P32+Q31</f>
        <v>-7781.9199999999983</v>
      </c>
      <c r="R32" s="14">
        <f>G32/K32</f>
        <v>283.6128266033254</v>
      </c>
      <c r="S32" s="14">
        <f>211.53*K32+34802</f>
        <v>123856.13</v>
      </c>
      <c r="T32" s="14">
        <f t="shared" ref="T32:T42" si="16">G32-S32</f>
        <v>-4455.1300000000047</v>
      </c>
      <c r="U32" s="14">
        <f>T32+U31</f>
        <v>-65833.390000000014</v>
      </c>
    </row>
    <row r="33" spans="2:21" ht="17" thickBot="1">
      <c r="B33" s="133"/>
      <c r="C33" s="11" t="s">
        <v>12</v>
      </c>
      <c r="D33" s="12">
        <v>81876</v>
      </c>
      <c r="E33" s="12">
        <v>8545</v>
      </c>
      <c r="F33" s="11">
        <v>420</v>
      </c>
      <c r="G33" s="12">
        <v>116732</v>
      </c>
      <c r="H33" s="12">
        <v>3343</v>
      </c>
      <c r="I33" s="12">
        <v>198608</v>
      </c>
      <c r="J33" s="12">
        <v>11889</v>
      </c>
      <c r="K33" s="12">
        <v>349</v>
      </c>
      <c r="M33" s="32">
        <v>42795</v>
      </c>
      <c r="N33" s="12">
        <f t="shared" ref="N33:N42" si="17">D33/K33</f>
        <v>234.60171919770772</v>
      </c>
      <c r="O33" s="12">
        <f t="shared" ref="O33:O42" si="18">K33*38.676+68916</f>
        <v>82413.923999999999</v>
      </c>
      <c r="P33" s="12">
        <f t="shared" ref="P33:P42" si="19">D33-O33</f>
        <v>-537.92399999999907</v>
      </c>
      <c r="Q33" s="12">
        <f t="shared" ref="Q33:Q42" si="20">P33+Q32</f>
        <v>-8319.8439999999973</v>
      </c>
      <c r="R33" s="12">
        <f t="shared" ref="R33:R41" si="21">G33/K33</f>
        <v>334.47564469914039</v>
      </c>
      <c r="S33" s="12">
        <f t="shared" ref="S33:S42" si="22">211.53*K33+34802</f>
        <v>108625.97</v>
      </c>
      <c r="T33" s="12">
        <f t="shared" si="16"/>
        <v>8106.0299999999988</v>
      </c>
      <c r="U33" s="12">
        <f t="shared" ref="U33:U42" si="23">T33+U32</f>
        <v>-57727.360000000015</v>
      </c>
    </row>
    <row r="34" spans="2:21" ht="17" thickBot="1">
      <c r="B34" s="133"/>
      <c r="C34" s="13" t="s">
        <v>13</v>
      </c>
      <c r="D34" s="14">
        <v>75694</v>
      </c>
      <c r="E34" s="14">
        <v>7985</v>
      </c>
      <c r="F34" s="13">
        <v>342</v>
      </c>
      <c r="G34" s="14">
        <v>95107</v>
      </c>
      <c r="H34" s="14">
        <v>2748</v>
      </c>
      <c r="I34" s="14">
        <v>170801</v>
      </c>
      <c r="J34" s="20">
        <v>10733</v>
      </c>
      <c r="K34" s="14">
        <v>254</v>
      </c>
      <c r="M34" s="33">
        <v>42826</v>
      </c>
      <c r="N34" s="14">
        <f t="shared" si="17"/>
        <v>298.00787401574803</v>
      </c>
      <c r="O34" s="14">
        <f t="shared" si="18"/>
        <v>78739.703999999998</v>
      </c>
      <c r="P34" s="14">
        <f t="shared" si="19"/>
        <v>-3045.7039999999979</v>
      </c>
      <c r="Q34" s="14">
        <f t="shared" si="20"/>
        <v>-11365.547999999995</v>
      </c>
      <c r="R34" s="14">
        <f t="shared" si="21"/>
        <v>374.43700787401576</v>
      </c>
      <c r="S34" s="14">
        <f t="shared" si="22"/>
        <v>88530.62</v>
      </c>
      <c r="T34" s="14">
        <f t="shared" si="16"/>
        <v>6576.3800000000047</v>
      </c>
      <c r="U34" s="14">
        <f>T34+U33</f>
        <v>-51150.98000000001</v>
      </c>
    </row>
    <row r="35" spans="2:21" ht="17" thickBot="1">
      <c r="B35" s="133"/>
      <c r="C35" s="11" t="s">
        <v>14</v>
      </c>
      <c r="D35" s="12">
        <v>73605</v>
      </c>
      <c r="E35" s="12">
        <v>7762</v>
      </c>
      <c r="F35" s="11">
        <v>275</v>
      </c>
      <c r="G35" s="12">
        <v>76463</v>
      </c>
      <c r="H35" s="12">
        <v>2243</v>
      </c>
      <c r="I35" s="12">
        <v>150068</v>
      </c>
      <c r="J35" s="12">
        <v>10006</v>
      </c>
      <c r="K35" s="12">
        <v>162</v>
      </c>
      <c r="M35" s="32">
        <v>42856</v>
      </c>
      <c r="N35" s="12">
        <f t="shared" si="17"/>
        <v>454.35185185185185</v>
      </c>
      <c r="O35" s="12">
        <f t="shared" si="18"/>
        <v>75181.512000000002</v>
      </c>
      <c r="P35" s="12">
        <f t="shared" si="19"/>
        <v>-1576.5120000000024</v>
      </c>
      <c r="Q35" s="12">
        <f t="shared" si="20"/>
        <v>-12942.059999999998</v>
      </c>
      <c r="R35" s="12">
        <f t="shared" si="21"/>
        <v>471.99382716049382</v>
      </c>
      <c r="S35" s="12">
        <f t="shared" si="22"/>
        <v>69069.86</v>
      </c>
      <c r="T35" s="12">
        <f t="shared" si="16"/>
        <v>7393.1399999999994</v>
      </c>
      <c r="U35" s="12">
        <f t="shared" si="23"/>
        <v>-43757.840000000011</v>
      </c>
    </row>
    <row r="36" spans="2:21" ht="17" thickBot="1">
      <c r="B36" s="133"/>
      <c r="C36" s="21" t="s">
        <v>15</v>
      </c>
      <c r="D36" s="22">
        <v>66766</v>
      </c>
      <c r="E36" s="22">
        <v>7015</v>
      </c>
      <c r="F36" s="21">
        <v>203</v>
      </c>
      <c r="G36" s="22">
        <v>56294</v>
      </c>
      <c r="H36" s="22">
        <v>1689</v>
      </c>
      <c r="I36" s="22">
        <v>123060</v>
      </c>
      <c r="J36" s="23">
        <v>8705</v>
      </c>
      <c r="K36" s="22">
        <v>76</v>
      </c>
      <c r="M36" s="33">
        <v>42887</v>
      </c>
      <c r="N36" s="14">
        <f t="shared" si="17"/>
        <v>878.5</v>
      </c>
      <c r="O36" s="14">
        <f t="shared" si="18"/>
        <v>71855.376000000004</v>
      </c>
      <c r="P36" s="14">
        <f t="shared" si="19"/>
        <v>-5089.3760000000038</v>
      </c>
      <c r="Q36" s="14">
        <f t="shared" si="20"/>
        <v>-18031.436000000002</v>
      </c>
      <c r="R36" s="14">
        <f t="shared" si="21"/>
        <v>740.71052631578948</v>
      </c>
      <c r="S36" s="14">
        <f t="shared" si="22"/>
        <v>50878.28</v>
      </c>
      <c r="T36" s="22">
        <f t="shared" si="16"/>
        <v>5415.7200000000012</v>
      </c>
      <c r="U36" s="22">
        <f t="shared" si="23"/>
        <v>-38342.12000000001</v>
      </c>
    </row>
    <row r="37" spans="2:21" ht="17" thickBot="1">
      <c r="B37" s="133"/>
      <c r="C37" s="11" t="s">
        <v>16</v>
      </c>
      <c r="D37" s="12">
        <v>68225</v>
      </c>
      <c r="E37" s="12">
        <v>7164</v>
      </c>
      <c r="F37" s="11">
        <v>164</v>
      </c>
      <c r="G37" s="12">
        <v>45570</v>
      </c>
      <c r="H37" s="12">
        <v>1404</v>
      </c>
      <c r="I37" s="12">
        <v>113796</v>
      </c>
      <c r="J37" s="12">
        <v>8568</v>
      </c>
      <c r="K37" s="12">
        <v>9</v>
      </c>
      <c r="M37" s="32">
        <v>42917</v>
      </c>
      <c r="N37" s="12">
        <f t="shared" si="17"/>
        <v>7580.5555555555557</v>
      </c>
      <c r="O37" s="12">
        <f t="shared" si="18"/>
        <v>69264.084000000003</v>
      </c>
      <c r="P37" s="12">
        <f t="shared" si="19"/>
        <v>-1039.0840000000026</v>
      </c>
      <c r="Q37" s="12">
        <f t="shared" si="20"/>
        <v>-19070.520000000004</v>
      </c>
      <c r="R37" s="12">
        <f t="shared" si="21"/>
        <v>5063.333333333333</v>
      </c>
      <c r="S37" s="12">
        <f t="shared" si="22"/>
        <v>36705.769999999997</v>
      </c>
      <c r="T37" s="12">
        <f t="shared" si="16"/>
        <v>8864.2300000000032</v>
      </c>
      <c r="U37" s="12">
        <f t="shared" si="23"/>
        <v>-29477.890000000007</v>
      </c>
    </row>
    <row r="38" spans="2:21" ht="17" thickBot="1">
      <c r="B38" s="133"/>
      <c r="C38" s="13" t="s">
        <v>17</v>
      </c>
      <c r="D38" s="22">
        <v>68373</v>
      </c>
      <c r="E38" s="22">
        <v>7174</v>
      </c>
      <c r="F38" s="13">
        <v>144</v>
      </c>
      <c r="G38" s="14">
        <v>39968</v>
      </c>
      <c r="H38" s="14">
        <v>1251</v>
      </c>
      <c r="I38" s="20">
        <v>108341</v>
      </c>
      <c r="J38" s="20">
        <v>8425</v>
      </c>
      <c r="K38" s="14">
        <v>7</v>
      </c>
      <c r="M38" s="33">
        <v>42948</v>
      </c>
      <c r="N38" s="14">
        <f t="shared" si="17"/>
        <v>9767.5714285714294</v>
      </c>
      <c r="O38" s="14">
        <f t="shared" si="18"/>
        <v>69186.732000000004</v>
      </c>
      <c r="P38" s="14">
        <f t="shared" si="19"/>
        <v>-813.73200000000361</v>
      </c>
      <c r="Q38" s="14">
        <f t="shared" si="20"/>
        <v>-19884.252000000008</v>
      </c>
      <c r="R38" s="14">
        <f t="shared" si="21"/>
        <v>5709.7142857142853</v>
      </c>
      <c r="S38" s="14">
        <f t="shared" si="22"/>
        <v>36282.71</v>
      </c>
      <c r="T38" s="14">
        <f t="shared" si="16"/>
        <v>3685.2900000000009</v>
      </c>
      <c r="U38" s="14">
        <f t="shared" si="23"/>
        <v>-25792.600000000006</v>
      </c>
    </row>
    <row r="39" spans="2:21" ht="17" thickBot="1">
      <c r="B39" s="133"/>
      <c r="C39" s="11" t="s">
        <v>18</v>
      </c>
      <c r="D39" s="12">
        <v>69867</v>
      </c>
      <c r="E39" s="12">
        <v>7319</v>
      </c>
      <c r="F39" s="11">
        <v>195</v>
      </c>
      <c r="G39" s="12">
        <v>54261</v>
      </c>
      <c r="H39" s="12">
        <v>1632</v>
      </c>
      <c r="I39" s="12">
        <v>124128</v>
      </c>
      <c r="J39" s="12">
        <v>8952</v>
      </c>
      <c r="K39" s="12">
        <v>78</v>
      </c>
      <c r="M39" s="32">
        <v>42979</v>
      </c>
      <c r="N39" s="12">
        <f t="shared" si="17"/>
        <v>895.73076923076928</v>
      </c>
      <c r="O39" s="12">
        <f t="shared" si="18"/>
        <v>71932.728000000003</v>
      </c>
      <c r="P39" s="12">
        <f t="shared" si="19"/>
        <v>-2065.7280000000028</v>
      </c>
      <c r="Q39" s="12">
        <f t="shared" si="20"/>
        <v>-21949.98000000001</v>
      </c>
      <c r="R39" s="12">
        <f t="shared" si="21"/>
        <v>695.65384615384619</v>
      </c>
      <c r="S39" s="12">
        <f t="shared" si="22"/>
        <v>51301.34</v>
      </c>
      <c r="T39" s="12">
        <f t="shared" si="16"/>
        <v>2959.6600000000035</v>
      </c>
      <c r="U39" s="12">
        <f t="shared" si="23"/>
        <v>-22832.940000000002</v>
      </c>
    </row>
    <row r="40" spans="2:21" ht="17" thickBot="1">
      <c r="B40" s="133"/>
      <c r="C40" s="13" t="s">
        <v>19</v>
      </c>
      <c r="D40" s="22">
        <v>76063</v>
      </c>
      <c r="E40" s="22">
        <v>7981</v>
      </c>
      <c r="F40" s="13">
        <v>318</v>
      </c>
      <c r="G40" s="14">
        <v>88426</v>
      </c>
      <c r="H40" s="14">
        <v>2569</v>
      </c>
      <c r="I40" s="20">
        <v>164490</v>
      </c>
      <c r="J40" s="20">
        <v>10550</v>
      </c>
      <c r="K40" s="14">
        <v>256</v>
      </c>
      <c r="M40" s="33">
        <v>43009</v>
      </c>
      <c r="N40" s="14">
        <f t="shared" si="17"/>
        <v>297.12109375</v>
      </c>
      <c r="O40" s="14">
        <f t="shared" si="18"/>
        <v>78817.055999999997</v>
      </c>
      <c r="P40" s="14">
        <f>D40-O40</f>
        <v>-2754.0559999999969</v>
      </c>
      <c r="Q40" s="14">
        <f t="shared" si="20"/>
        <v>-24704.036000000007</v>
      </c>
      <c r="R40" s="14">
        <f t="shared" si="21"/>
        <v>345.4140625</v>
      </c>
      <c r="S40" s="14">
        <f t="shared" si="22"/>
        <v>88953.68</v>
      </c>
      <c r="T40" s="14">
        <f t="shared" si="16"/>
        <v>-527.67999999999302</v>
      </c>
      <c r="U40" s="14">
        <f t="shared" si="23"/>
        <v>-23360.619999999995</v>
      </c>
    </row>
    <row r="41" spans="2:21" ht="17" thickBot="1">
      <c r="B41" s="133"/>
      <c r="C41" s="11" t="s">
        <v>20</v>
      </c>
      <c r="D41" s="12">
        <v>76719</v>
      </c>
      <c r="E41" s="12">
        <v>8476</v>
      </c>
      <c r="F41" s="11">
        <v>388</v>
      </c>
      <c r="G41" s="12">
        <v>107907</v>
      </c>
      <c r="H41" s="12">
        <v>3095</v>
      </c>
      <c r="I41" s="12">
        <v>184626</v>
      </c>
      <c r="J41" s="12">
        <v>11572</v>
      </c>
      <c r="K41" s="12">
        <v>335</v>
      </c>
      <c r="M41" s="32">
        <v>43040</v>
      </c>
      <c r="N41" s="12">
        <f t="shared" si="17"/>
        <v>229.01194029850745</v>
      </c>
      <c r="O41" s="12">
        <f t="shared" si="18"/>
        <v>81872.460000000006</v>
      </c>
      <c r="P41" s="12">
        <f t="shared" si="19"/>
        <v>-5153.4600000000064</v>
      </c>
      <c r="Q41" s="12">
        <f t="shared" si="20"/>
        <v>-29857.496000000014</v>
      </c>
      <c r="R41" s="12">
        <f t="shared" si="21"/>
        <v>322.11044776119405</v>
      </c>
      <c r="S41" s="12">
        <f t="shared" si="22"/>
        <v>105664.55</v>
      </c>
      <c r="T41" s="12">
        <f t="shared" si="16"/>
        <v>2242.4499999999971</v>
      </c>
      <c r="U41" s="12">
        <f t="shared" si="23"/>
        <v>-21118.17</v>
      </c>
    </row>
    <row r="42" spans="2:21" ht="17" thickBot="1">
      <c r="B42" s="133"/>
      <c r="C42" s="13" t="s">
        <v>21</v>
      </c>
      <c r="D42" s="22">
        <v>84997</v>
      </c>
      <c r="E42" s="22">
        <v>10174</v>
      </c>
      <c r="F42" s="13">
        <v>461</v>
      </c>
      <c r="G42" s="14">
        <v>128013</v>
      </c>
      <c r="H42" s="14">
        <v>3469</v>
      </c>
      <c r="I42" s="20">
        <v>213010</v>
      </c>
      <c r="J42" s="20">
        <v>13643</v>
      </c>
      <c r="K42" s="14">
        <v>480</v>
      </c>
      <c r="M42" s="33">
        <v>43070</v>
      </c>
      <c r="N42" s="14">
        <f t="shared" si="17"/>
        <v>177.07708333333332</v>
      </c>
      <c r="O42" s="14">
        <f t="shared" si="18"/>
        <v>87480.48</v>
      </c>
      <c r="P42" s="14">
        <f t="shared" si="19"/>
        <v>-2483.4799999999959</v>
      </c>
      <c r="Q42" s="14">
        <f t="shared" si="20"/>
        <v>-32340.97600000001</v>
      </c>
      <c r="R42" s="14">
        <f>G42/K42</f>
        <v>266.69375000000002</v>
      </c>
      <c r="S42" s="14">
        <f t="shared" si="22"/>
        <v>136336.4</v>
      </c>
      <c r="T42" s="14">
        <f t="shared" si="16"/>
        <v>-8323.3999999999942</v>
      </c>
      <c r="U42" s="14">
        <f t="shared" si="23"/>
        <v>-29441.569999999992</v>
      </c>
    </row>
    <row r="43" spans="2:21" ht="17" thickBot="1">
      <c r="B43" s="2"/>
      <c r="C43" s="24" t="s">
        <v>22</v>
      </c>
      <c r="D43" s="25">
        <v>907817</v>
      </c>
      <c r="E43" s="25">
        <v>96775</v>
      </c>
      <c r="F43" s="26">
        <v>3863</v>
      </c>
      <c r="G43" s="26">
        <v>1072939</v>
      </c>
      <c r="H43" s="26">
        <v>30996</v>
      </c>
      <c r="I43" s="25">
        <v>1980756</v>
      </c>
      <c r="J43" s="25">
        <v>127771</v>
      </c>
      <c r="K43" s="26">
        <f>SUM(K31:K42)</f>
        <v>2926</v>
      </c>
      <c r="L43" s="3">
        <v>2017</v>
      </c>
      <c r="M43" s="26"/>
      <c r="N43" s="26"/>
      <c r="O43" s="26"/>
      <c r="P43" s="26"/>
      <c r="Q43" s="26"/>
      <c r="R43" s="26"/>
      <c r="S43" s="26"/>
      <c r="T43" s="26"/>
      <c r="U43" s="26"/>
    </row>
    <row r="44" spans="2:21" ht="18" thickTop="1" thickBot="1">
      <c r="B44" s="131">
        <v>2018</v>
      </c>
      <c r="C44" s="27" t="s">
        <v>10</v>
      </c>
      <c r="D44" s="28">
        <v>85535</v>
      </c>
      <c r="E44" s="28">
        <v>10485</v>
      </c>
      <c r="F44" s="27">
        <v>455</v>
      </c>
      <c r="G44" s="28">
        <v>126348</v>
      </c>
      <c r="H44" s="28">
        <v>3330</v>
      </c>
      <c r="I44" s="29">
        <v>211883</v>
      </c>
      <c r="J44" s="29">
        <v>13815</v>
      </c>
      <c r="K44" s="28">
        <v>393</v>
      </c>
      <c r="L44" s="6"/>
      <c r="M44" s="34">
        <v>43101</v>
      </c>
      <c r="N44" s="28">
        <f>D44/K44</f>
        <v>217.64631043256998</v>
      </c>
      <c r="O44" s="28">
        <f>K44*38.676+68916</f>
        <v>84115.668000000005</v>
      </c>
      <c r="P44" s="28">
        <f>D44-O44</f>
        <v>1419.3319999999949</v>
      </c>
      <c r="Q44" s="28">
        <v>2257</v>
      </c>
      <c r="R44" s="28">
        <f>G44/K44</f>
        <v>321.49618320610688</v>
      </c>
      <c r="S44" s="28">
        <f>211.53*K44+34802</f>
        <v>117933.29</v>
      </c>
      <c r="T44" s="28">
        <f>G44-S44</f>
        <v>8414.7100000000064</v>
      </c>
      <c r="U44" s="28">
        <f>T44+U42</f>
        <v>-21026.859999999986</v>
      </c>
    </row>
    <row r="45" spans="2:21" ht="17" thickBot="1">
      <c r="B45" s="132"/>
      <c r="C45" s="30" t="s">
        <v>11</v>
      </c>
      <c r="D45" s="30">
        <v>75552</v>
      </c>
      <c r="E45" s="30">
        <v>9285</v>
      </c>
      <c r="F45" s="30">
        <v>413</v>
      </c>
      <c r="G45" s="30">
        <v>114836</v>
      </c>
      <c r="H45" s="30">
        <v>3027</v>
      </c>
      <c r="I45" s="30">
        <v>190388</v>
      </c>
      <c r="J45" s="30">
        <v>12312</v>
      </c>
      <c r="K45" s="30">
        <v>410</v>
      </c>
      <c r="L45" s="7"/>
      <c r="M45" s="35">
        <v>43132</v>
      </c>
      <c r="N45" s="30">
        <f>D45/K45</f>
        <v>184.27317073170732</v>
      </c>
      <c r="O45" s="30">
        <f>K45*38.676+68916</f>
        <v>84773.16</v>
      </c>
      <c r="P45" s="30">
        <f t="shared" ref="P45:P55" si="24">D45-O45</f>
        <v>-9221.1600000000035</v>
      </c>
      <c r="Q45" s="30">
        <f>P45+Q44</f>
        <v>-6964.1600000000035</v>
      </c>
      <c r="R45" s="30">
        <f>G45/K45</f>
        <v>280.08780487804876</v>
      </c>
      <c r="S45" s="30">
        <f>211.53*K45+34802</f>
        <v>121529.3</v>
      </c>
      <c r="T45" s="30">
        <f t="shared" ref="T45:T54" si="25">G45-S45</f>
        <v>-6693.3000000000029</v>
      </c>
      <c r="U45" s="30">
        <f>T45+U44</f>
        <v>-27720.159999999989</v>
      </c>
    </row>
    <row r="46" spans="2:21" ht="17" thickBot="1">
      <c r="B46" s="132"/>
      <c r="C46" s="27" t="s">
        <v>12</v>
      </c>
      <c r="D46" s="28">
        <v>78921</v>
      </c>
      <c r="E46" s="28">
        <v>9798</v>
      </c>
      <c r="F46" s="27">
        <v>431</v>
      </c>
      <c r="G46" s="28">
        <v>119789</v>
      </c>
      <c r="H46" s="28">
        <v>3167</v>
      </c>
      <c r="I46" s="28">
        <v>198710</v>
      </c>
      <c r="J46" s="28">
        <v>12965</v>
      </c>
      <c r="K46" s="28">
        <v>372</v>
      </c>
      <c r="L46" s="6"/>
      <c r="M46" s="34">
        <v>43160</v>
      </c>
      <c r="N46" s="28">
        <f t="shared" ref="N46:N55" si="26">D46/K46</f>
        <v>212.15322580645162</v>
      </c>
      <c r="O46" s="28">
        <f t="shared" ref="O46:O55" si="27">K46*38.676+68916</f>
        <v>83303.472000000009</v>
      </c>
      <c r="P46" s="28">
        <f t="shared" si="24"/>
        <v>-4382.4720000000088</v>
      </c>
      <c r="Q46" s="28">
        <f>P46+Q45</f>
        <v>-11346.632000000012</v>
      </c>
      <c r="R46" s="28">
        <f t="shared" ref="R46:R55" si="28">G46/K46</f>
        <v>322.01344086021504</v>
      </c>
      <c r="S46" s="28">
        <f t="shared" ref="S46:S55" si="29">211.53*K46+34802</f>
        <v>113491.16</v>
      </c>
      <c r="T46" s="28">
        <f t="shared" si="25"/>
        <v>6297.8399999999965</v>
      </c>
      <c r="U46" s="28">
        <f t="shared" ref="U46:U55" si="30">T46+U45</f>
        <v>-21422.319999999992</v>
      </c>
    </row>
    <row r="47" spans="2:21" ht="17" thickBot="1">
      <c r="B47" s="132"/>
      <c r="C47" s="31" t="s">
        <v>13</v>
      </c>
      <c r="D47" s="30">
        <v>72874</v>
      </c>
      <c r="E47" s="30">
        <v>9157</v>
      </c>
      <c r="F47" s="31">
        <v>328</v>
      </c>
      <c r="G47" s="30">
        <v>91166</v>
      </c>
      <c r="H47" s="30">
        <v>2444</v>
      </c>
      <c r="I47" s="30">
        <v>164040</v>
      </c>
      <c r="J47" s="30">
        <v>11601</v>
      </c>
      <c r="K47" s="30">
        <v>264</v>
      </c>
      <c r="L47" s="7"/>
      <c r="M47" s="35">
        <v>43191</v>
      </c>
      <c r="N47" s="30">
        <f t="shared" si="26"/>
        <v>276.03787878787881</v>
      </c>
      <c r="O47" s="30">
        <f t="shared" si="27"/>
        <v>79126.464000000007</v>
      </c>
      <c r="P47" s="30">
        <f t="shared" si="24"/>
        <v>-6252.4640000000072</v>
      </c>
      <c r="Q47" s="30">
        <f>P47+Q46</f>
        <v>-17599.09600000002</v>
      </c>
      <c r="R47" s="30">
        <f t="shared" si="28"/>
        <v>345.32575757575756</v>
      </c>
      <c r="S47" s="30">
        <f t="shared" si="29"/>
        <v>90645.92</v>
      </c>
      <c r="T47" s="30">
        <f t="shared" si="25"/>
        <v>520.08000000000175</v>
      </c>
      <c r="U47" s="30">
        <f>T47+U46</f>
        <v>-20902.239999999991</v>
      </c>
    </row>
    <row r="48" spans="2:21" ht="17" thickBot="1">
      <c r="B48" s="132"/>
      <c r="C48" s="27" t="s">
        <v>14</v>
      </c>
      <c r="D48" s="28">
        <v>72461</v>
      </c>
      <c r="E48" s="28">
        <v>9152</v>
      </c>
      <c r="F48" s="27">
        <v>240</v>
      </c>
      <c r="G48" s="28">
        <v>66599</v>
      </c>
      <c r="H48" s="28">
        <v>1833</v>
      </c>
      <c r="I48" s="28">
        <v>139060</v>
      </c>
      <c r="J48" s="28">
        <v>10985</v>
      </c>
      <c r="K48" s="28">
        <v>99</v>
      </c>
      <c r="L48" s="6"/>
      <c r="M48" s="34">
        <v>43221</v>
      </c>
      <c r="N48" s="28">
        <f t="shared" si="26"/>
        <v>731.92929292929296</v>
      </c>
      <c r="O48" s="28">
        <f t="shared" si="27"/>
        <v>72744.923999999999</v>
      </c>
      <c r="P48" s="28">
        <f t="shared" si="24"/>
        <v>-283.92399999999907</v>
      </c>
      <c r="Q48" s="28">
        <f t="shared" ref="Q48:Q54" si="31">P48+Q47</f>
        <v>-17883.020000000019</v>
      </c>
      <c r="R48" s="28">
        <f t="shared" si="28"/>
        <v>672.71717171717171</v>
      </c>
      <c r="S48" s="28">
        <f t="shared" si="29"/>
        <v>55743.47</v>
      </c>
      <c r="T48" s="28">
        <f>G48-S48</f>
        <v>10855.529999999999</v>
      </c>
      <c r="U48" s="28">
        <f t="shared" si="30"/>
        <v>-10046.709999999992</v>
      </c>
    </row>
    <row r="49" spans="2:21" ht="17" thickBot="1">
      <c r="B49" s="132"/>
      <c r="C49" s="31" t="s">
        <v>15</v>
      </c>
      <c r="D49" s="30">
        <v>67005</v>
      </c>
      <c r="E49" s="30">
        <v>8503</v>
      </c>
      <c r="F49" s="31">
        <v>174</v>
      </c>
      <c r="G49" s="30">
        <v>48408</v>
      </c>
      <c r="H49" s="30">
        <v>1372</v>
      </c>
      <c r="I49" s="30">
        <v>115413</v>
      </c>
      <c r="J49" s="30">
        <v>9874</v>
      </c>
      <c r="K49" s="30">
        <v>70</v>
      </c>
      <c r="L49" s="7"/>
      <c r="M49" s="35">
        <v>43252</v>
      </c>
      <c r="N49" s="30">
        <f t="shared" si="26"/>
        <v>957.21428571428567</v>
      </c>
      <c r="O49" s="30">
        <f t="shared" si="27"/>
        <v>71623.320000000007</v>
      </c>
      <c r="P49" s="30">
        <f t="shared" si="24"/>
        <v>-4618.320000000007</v>
      </c>
      <c r="Q49" s="30">
        <f t="shared" si="31"/>
        <v>-22501.340000000026</v>
      </c>
      <c r="R49" s="30">
        <f t="shared" si="28"/>
        <v>691.54285714285709</v>
      </c>
      <c r="S49" s="30">
        <f t="shared" si="29"/>
        <v>49609.1</v>
      </c>
      <c r="T49" s="30">
        <f t="shared" si="25"/>
        <v>-1201.0999999999985</v>
      </c>
      <c r="U49" s="30">
        <f t="shared" si="30"/>
        <v>-11247.80999999999</v>
      </c>
    </row>
    <row r="50" spans="2:21" ht="17" thickBot="1">
      <c r="B50" s="132"/>
      <c r="C50" s="27" t="s">
        <v>16</v>
      </c>
      <c r="D50" s="28">
        <v>67971</v>
      </c>
      <c r="E50" s="28">
        <v>8629</v>
      </c>
      <c r="F50" s="27">
        <v>140</v>
      </c>
      <c r="G50" s="28">
        <v>38907</v>
      </c>
      <c r="H50" s="28">
        <v>1140</v>
      </c>
      <c r="I50" s="28">
        <v>106877</v>
      </c>
      <c r="J50" s="28">
        <v>9768</v>
      </c>
      <c r="K50" s="28">
        <v>11</v>
      </c>
      <c r="L50" s="6"/>
      <c r="M50" s="34">
        <v>43282</v>
      </c>
      <c r="N50" s="28">
        <f t="shared" si="26"/>
        <v>6179.181818181818</v>
      </c>
      <c r="O50" s="28">
        <f t="shared" si="27"/>
        <v>69341.436000000002</v>
      </c>
      <c r="P50" s="28">
        <f t="shared" si="24"/>
        <v>-1370.4360000000015</v>
      </c>
      <c r="Q50" s="28">
        <f t="shared" si="31"/>
        <v>-23871.776000000027</v>
      </c>
      <c r="R50" s="28">
        <f t="shared" si="28"/>
        <v>3537</v>
      </c>
      <c r="S50" s="28">
        <f t="shared" si="29"/>
        <v>37128.83</v>
      </c>
      <c r="T50" s="28">
        <f t="shared" si="25"/>
        <v>1778.1699999999983</v>
      </c>
      <c r="U50" s="28">
        <f t="shared" si="30"/>
        <v>-9469.6399999999921</v>
      </c>
    </row>
    <row r="51" spans="2:21" ht="17" thickBot="1">
      <c r="B51" s="132"/>
      <c r="C51" s="31" t="s">
        <v>17</v>
      </c>
      <c r="D51" s="30">
        <v>67245</v>
      </c>
      <c r="E51" s="30">
        <v>8532</v>
      </c>
      <c r="F51" s="31">
        <v>98</v>
      </c>
      <c r="G51" s="30">
        <v>27118</v>
      </c>
      <c r="H51" s="31">
        <v>861</v>
      </c>
      <c r="I51" s="30">
        <v>94363</v>
      </c>
      <c r="J51" s="30">
        <v>9393</v>
      </c>
      <c r="K51" s="30">
        <v>18</v>
      </c>
      <c r="L51" s="7"/>
      <c r="M51" s="35">
        <v>43313</v>
      </c>
      <c r="N51" s="30">
        <f t="shared" si="26"/>
        <v>3735.8333333333335</v>
      </c>
      <c r="O51" s="30">
        <f t="shared" si="27"/>
        <v>69612.168000000005</v>
      </c>
      <c r="P51" s="30">
        <f t="shared" si="24"/>
        <v>-2367.1680000000051</v>
      </c>
      <c r="Q51" s="30">
        <f t="shared" si="31"/>
        <v>-26238.944000000032</v>
      </c>
      <c r="R51" s="30">
        <f t="shared" si="28"/>
        <v>1506.5555555555557</v>
      </c>
      <c r="S51" s="30">
        <f t="shared" si="29"/>
        <v>38609.54</v>
      </c>
      <c r="T51" s="30">
        <f t="shared" si="25"/>
        <v>-11491.54</v>
      </c>
      <c r="U51" s="30">
        <f t="shared" si="30"/>
        <v>-20961.179999999993</v>
      </c>
    </row>
    <row r="52" spans="2:21" ht="17" thickBot="1">
      <c r="B52" s="132"/>
      <c r="C52" s="27" t="s">
        <v>18</v>
      </c>
      <c r="D52" s="28">
        <v>67816</v>
      </c>
      <c r="E52" s="28">
        <v>8578</v>
      </c>
      <c r="F52" s="27">
        <v>107</v>
      </c>
      <c r="G52" s="28">
        <v>29812</v>
      </c>
      <c r="H52" s="28">
        <v>943</v>
      </c>
      <c r="I52" s="28">
        <v>97628</v>
      </c>
      <c r="J52" s="28">
        <v>9521</v>
      </c>
      <c r="K52" s="28">
        <v>106</v>
      </c>
      <c r="L52" s="6"/>
      <c r="M52" s="34">
        <v>43344</v>
      </c>
      <c r="N52" s="28">
        <f t="shared" si="26"/>
        <v>639.77358490566041</v>
      </c>
      <c r="O52" s="28">
        <f t="shared" si="27"/>
        <v>73015.656000000003</v>
      </c>
      <c r="P52" s="28">
        <f t="shared" si="24"/>
        <v>-5199.6560000000027</v>
      </c>
      <c r="Q52" s="28">
        <f t="shared" si="31"/>
        <v>-31438.600000000035</v>
      </c>
      <c r="R52" s="28">
        <f t="shared" si="28"/>
        <v>281.24528301886795</v>
      </c>
      <c r="S52" s="28">
        <f t="shared" si="29"/>
        <v>57224.18</v>
      </c>
      <c r="T52" s="28">
        <f t="shared" si="25"/>
        <v>-27412.18</v>
      </c>
      <c r="U52" s="28">
        <f t="shared" si="30"/>
        <v>-48373.359999999993</v>
      </c>
    </row>
    <row r="53" spans="2:21" ht="17" thickBot="1">
      <c r="B53" s="132"/>
      <c r="C53" s="31" t="s">
        <v>19</v>
      </c>
      <c r="D53" s="30">
        <v>73764</v>
      </c>
      <c r="E53" s="30">
        <v>9311</v>
      </c>
      <c r="F53" s="31">
        <v>317</v>
      </c>
      <c r="G53" s="30">
        <v>87958</v>
      </c>
      <c r="H53" s="30">
        <v>2367</v>
      </c>
      <c r="I53" s="30">
        <v>161722</v>
      </c>
      <c r="J53" s="30">
        <v>11678</v>
      </c>
      <c r="K53" s="30">
        <v>255</v>
      </c>
      <c r="L53" s="7"/>
      <c r="M53" s="35">
        <v>43374</v>
      </c>
      <c r="N53" s="30">
        <f t="shared" si="26"/>
        <v>289.2705882352941</v>
      </c>
      <c r="O53" s="30">
        <f t="shared" si="27"/>
        <v>78778.38</v>
      </c>
      <c r="P53" s="30">
        <f t="shared" si="24"/>
        <v>-5014.3800000000047</v>
      </c>
      <c r="Q53" s="30">
        <f t="shared" si="31"/>
        <v>-36452.98000000004</v>
      </c>
      <c r="R53" s="30">
        <f t="shared" si="28"/>
        <v>344.93333333333334</v>
      </c>
      <c r="S53" s="30">
        <f t="shared" si="29"/>
        <v>88742.15</v>
      </c>
      <c r="T53" s="30">
        <f t="shared" si="25"/>
        <v>-784.14999999999418</v>
      </c>
      <c r="U53" s="30">
        <f t="shared" si="30"/>
        <v>-49157.509999999987</v>
      </c>
    </row>
    <row r="54" spans="2:21" ht="17" thickBot="1">
      <c r="B54" s="132"/>
      <c r="C54" s="27" t="s">
        <v>20</v>
      </c>
      <c r="D54" s="28">
        <v>51020</v>
      </c>
      <c r="E54" s="28">
        <v>6440</v>
      </c>
      <c r="F54" s="27">
        <v>434</v>
      </c>
      <c r="G54" s="28">
        <v>120527</v>
      </c>
      <c r="H54" s="28">
        <v>3162</v>
      </c>
      <c r="I54" s="29">
        <v>171547</v>
      </c>
      <c r="J54" s="29">
        <v>9602</v>
      </c>
      <c r="K54" s="28">
        <v>314</v>
      </c>
      <c r="L54" s="6"/>
      <c r="M54" s="34">
        <v>43405</v>
      </c>
      <c r="N54" s="28">
        <f t="shared" si="26"/>
        <v>162.48407643312103</v>
      </c>
      <c r="O54" s="28">
        <f t="shared" si="27"/>
        <v>81060.263999999996</v>
      </c>
      <c r="P54" s="28">
        <f>D54-O54</f>
        <v>-30040.263999999996</v>
      </c>
      <c r="Q54" s="28">
        <f t="shared" si="31"/>
        <v>-66493.244000000035</v>
      </c>
      <c r="R54" s="28">
        <f t="shared" si="28"/>
        <v>383.843949044586</v>
      </c>
      <c r="S54" s="28">
        <f t="shared" si="29"/>
        <v>101222.42</v>
      </c>
      <c r="T54" s="28">
        <f t="shared" si="25"/>
        <v>19304.580000000002</v>
      </c>
      <c r="U54" s="28">
        <f t="shared" si="30"/>
        <v>-29852.929999999986</v>
      </c>
    </row>
    <row r="55" spans="2:21" ht="17" thickBot="1">
      <c r="B55" s="132"/>
      <c r="C55" s="31" t="s">
        <v>21</v>
      </c>
      <c r="D55" s="30">
        <v>12439</v>
      </c>
      <c r="E55" s="30">
        <v>1567</v>
      </c>
      <c r="F55" s="31">
        <v>165</v>
      </c>
      <c r="G55" s="30">
        <v>45770</v>
      </c>
      <c r="H55" s="30">
        <v>1212</v>
      </c>
      <c r="I55" s="30">
        <v>58209</v>
      </c>
      <c r="J55" s="30">
        <v>2779</v>
      </c>
      <c r="K55" s="30">
        <v>408</v>
      </c>
      <c r="L55" s="7"/>
      <c r="M55" s="35">
        <v>43435</v>
      </c>
      <c r="N55" s="30">
        <f t="shared" si="26"/>
        <v>30.487745098039216</v>
      </c>
      <c r="O55" s="30">
        <f t="shared" si="27"/>
        <v>84695.808000000005</v>
      </c>
      <c r="P55" s="30">
        <f t="shared" si="24"/>
        <v>-72256.808000000005</v>
      </c>
      <c r="Q55" s="30">
        <f>P55+Q54</f>
        <v>-138750.05200000003</v>
      </c>
      <c r="R55" s="30">
        <f t="shared" si="28"/>
        <v>112.18137254901961</v>
      </c>
      <c r="S55" s="30">
        <f t="shared" si="29"/>
        <v>121106.24000000001</v>
      </c>
      <c r="T55" s="30">
        <f>G55-S55</f>
        <v>-75336.240000000005</v>
      </c>
      <c r="U55" s="30">
        <f t="shared" si="30"/>
        <v>-105189.16999999998</v>
      </c>
    </row>
    <row r="56" spans="2:21" ht="17" thickBot="1">
      <c r="B56" s="8"/>
      <c r="C56" s="5" t="s">
        <v>22</v>
      </c>
      <c r="D56" s="19">
        <v>792603</v>
      </c>
      <c r="E56" s="19">
        <v>99437</v>
      </c>
      <c r="F56" s="19">
        <v>3302</v>
      </c>
      <c r="G56" s="19">
        <v>917237</v>
      </c>
      <c r="H56" s="19">
        <v>24857</v>
      </c>
      <c r="I56" s="19">
        <v>1709841</v>
      </c>
      <c r="J56" s="19">
        <v>124294</v>
      </c>
      <c r="K56" s="19">
        <f>SUM(K44:K55)</f>
        <v>2720</v>
      </c>
      <c r="L56" s="3">
        <v>2018</v>
      </c>
      <c r="M56" s="19"/>
      <c r="N56" s="19"/>
      <c r="O56" s="19"/>
      <c r="P56" s="19"/>
      <c r="Q56" s="19"/>
      <c r="R56" s="19"/>
      <c r="S56" s="19"/>
      <c r="T56" s="19"/>
      <c r="U56" s="19"/>
    </row>
    <row r="57" spans="2:21" ht="17" thickBot="1">
      <c r="B57" s="10" t="s">
        <v>32</v>
      </c>
      <c r="C57" s="36"/>
      <c r="D57" s="15">
        <f>SUM(D17,D30,D43,D56)</f>
        <v>3543937</v>
      </c>
      <c r="E57" s="15">
        <f>SUM(E17,E30,E43,E56)</f>
        <v>407868</v>
      </c>
      <c r="F57" s="15">
        <f t="shared" ref="F57:J57" si="32">SUM(F17,F30,F43,F56)</f>
        <v>13775</v>
      </c>
      <c r="G57" s="15">
        <f t="shared" si="32"/>
        <v>3826333</v>
      </c>
      <c r="H57" s="15">
        <f t="shared" si="32"/>
        <v>109935</v>
      </c>
      <c r="I57" s="15">
        <f t="shared" si="32"/>
        <v>7370271</v>
      </c>
      <c r="J57" s="15">
        <f t="shared" si="32"/>
        <v>517803</v>
      </c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</row>
    <row r="59" spans="2:21">
      <c r="E59" s="38"/>
    </row>
  </sheetData>
  <mergeCells count="15">
    <mergeCell ref="O2:Q2"/>
    <mergeCell ref="S2:U2"/>
    <mergeCell ref="M2:M4"/>
    <mergeCell ref="C2:C4"/>
    <mergeCell ref="D2:E2"/>
    <mergeCell ref="F2:H2"/>
    <mergeCell ref="I2:J2"/>
    <mergeCell ref="F3:G3"/>
    <mergeCell ref="R2:R3"/>
    <mergeCell ref="N2:N3"/>
    <mergeCell ref="B5:B16"/>
    <mergeCell ref="B18:B29"/>
    <mergeCell ref="B31:B42"/>
    <mergeCell ref="B44:B55"/>
    <mergeCell ref="B2:B4"/>
  </mergeCells>
  <phoneticPr fontId="6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D1A5-F36E-A840-AA9D-4765059F69F5}">
  <dimension ref="A1"/>
  <sheetViews>
    <sheetView zoomScale="50" zoomScaleNormal="40" workbookViewId="0">
      <selection activeCell="N45" sqref="N45"/>
    </sheetView>
  </sheetViews>
  <sheetFormatPr baseColWidth="10" defaultColWidth="11" defaultRowHeight="16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Yearly Energy Costs</vt:lpstr>
      <vt:lpstr>Normalise &amp; HDD</vt:lpstr>
      <vt:lpstr>EUI &amp; Energy Usage</vt:lpstr>
      <vt:lpstr>2015-2018 Monthly Data</vt:lpstr>
      <vt:lpstr>CUSUM &amp;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Pan Wong</dc:creator>
  <cp:lastModifiedBy>Microsoft Office User</cp:lastModifiedBy>
  <dcterms:created xsi:type="dcterms:W3CDTF">2021-12-07T04:53:52Z</dcterms:created>
  <dcterms:modified xsi:type="dcterms:W3CDTF">2022-04-26T18:59:30Z</dcterms:modified>
</cp:coreProperties>
</file>