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NKS" sheetId="1" r:id="rId3"/>
    <sheet state="visible" name="OEMPRI-Status" sheetId="2" r:id="rId4"/>
    <sheet state="visible" name="Flow-Status" sheetId="3" r:id="rId5"/>
    <sheet state="visible" name="Task-Status" sheetId="4" r:id="rId6"/>
    <sheet state="visible" name="FWTOOLS-Status" sheetId="5" r:id="rId7"/>
    <sheet state="visible" name="Factory-Status" sheetId="6" r:id="rId8"/>
    <sheet state="visible" name="Weekly-Meeting" sheetId="7" r:id="rId9"/>
    <sheet state="visible" name="FAQ" sheetId="8" r:id="rId10"/>
    <sheet state="visible" name="SKU-List" sheetId="9" r:id="rId11"/>
    <sheet state="visible" name="Parent SKU List" sheetId="10" r:id="rId12"/>
    <sheet state="visible" name="PCA-List" sheetId="11" r:id="rId13"/>
    <sheet state="visible" name="MBNBase" sheetId="12" r:id="rId14"/>
    <sheet state="visible" name="Lead SKU" sheetId="13" r:id="rId15"/>
    <sheet state="visible" name="PRI-Full-View" sheetId="14" r:id="rId16"/>
    <sheet state="visible" name="Check-List" sheetId="15" r:id="rId17"/>
    <sheet state="visible" name="Relationship" sheetId="16" r:id="rId18"/>
    <sheet state="visible" name="plan" sheetId="17" r:id="rId19"/>
    <sheet state="visible" name="CWE" sheetId="18" r:id="rId20"/>
  </sheets>
  <definedNames>
    <definedName hidden="1" localSheetId="3" name="_xlnm._FilterDatabase">'Task-Status'!$A$2:$Z$1500</definedName>
    <definedName hidden="1" localSheetId="1" name="_xlnm._FilterDatabase">'OEMPRI-Status'!$A$2:$Z$1632</definedName>
    <definedName hidden="1" localSheetId="7" name="_xlnm._FilterDatabase">FAQ!$A$2:$Z$15</definedName>
    <definedName hidden="1" localSheetId="9" name="_xlnm._FilterDatabase">'Parent SKU List'!$A$1:$W$30</definedName>
    <definedName hidden="1" localSheetId="2" name="_xlnm._FilterDatabase">'Flow-Status'!$A$2:$AB$1856</definedName>
    <definedName hidden="1" localSheetId="5" name="_xlnm._FilterDatabase">'Factory-Status'!$A$2:$AB$481</definedName>
    <definedName hidden="1" localSheetId="16" name="_xlnm._FilterDatabase">plan!$A$1:$Z$34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08">
      <text>
        <t xml:space="preserve">Finish at 4/27 as TOP1, only update FW. for VZW Lab.</t>
      </text>
    </comment>
    <comment authorId="0" ref="A110">
      <text>
        <t xml:space="preserve">QTI9X40-3550: Factory mbn switch</t>
      </text>
    </comment>
    <comment authorId="0" ref="A321">
      <text>
        <t xml:space="preserve">Release with Known issue
 EEL-258</t>
      </text>
    </comment>
    <comment authorId="0" ref="J414">
      <text>
        <t xml:space="preserve">as discuss, these three ticket will delay to next</t>
      </text>
    </comment>
    <comment authorId="0" ref="A1557">
      <text>
        <t xml:space="preserve">It has a related PRI on the Release folder</t>
      </text>
    </comment>
    <comment authorId="0" ref="A1558">
      <text>
        <t xml:space="preserve">It has a related PRI on the Release folder</t>
      </text>
    </comment>
    <comment authorId="0" ref="A1620">
      <text>
        <t xml:space="preserve">Release Note need.
	-Hongbin Huang</t>
      </text>
    </comment>
    <comment authorId="0" ref="A1591">
      <text>
        <t xml:space="preserve">Wait for CPM confirm still need or not.
	-Hongbin Huang</t>
      </text>
    </comment>
    <comment authorId="0" ref="A1588">
      <text>
        <t xml:space="preserve">may not need this One use OEMPRI-7775 instead.
	-Hongbin Huang</t>
      </text>
    </comment>
    <comment authorId="0" ref="A1572">
      <text>
        <t xml:space="preserve">may cancel this one, use OEMPRI-7727 with new FW instead.
	-Hongbin Huang</t>
      </text>
    </comment>
    <comment authorId="0" ref="A1570">
      <text>
        <t xml:space="preserve">confirm with Joe,  this will cancel and   new ticket will be use for  new FW.
	-Hongbin Huang
re-use this ticket for new FW BP4.4
	-Hongbin Huang</t>
      </text>
    </comment>
    <comment authorId="0" ref="A1559">
      <text>
        <t xml:space="preserve">Add QTI9X40-3298 / QTI9X40-3874 / QTI9X40-3893
	-Hongbin Huang</t>
      </text>
    </comment>
    <comment authorId="0" ref="A8">
      <text>
        <t xml:space="preserve">closed this is for EM74xx project
	-Hongbin Huang</t>
      </text>
    </comment>
    <comment authorId="0" ref="A6">
      <text>
        <t xml:space="preserve">Delta SPKG were ready, which were waiting for Val test.
----
already assign back to Davy
	-Hongbin Huang</t>
      </text>
    </comment>
    <comment authorId="0" ref="A5">
      <text>
        <t xml:space="preserve">Delta SPKG were ready, which were waiting for Val test.
----
already assign back to Davy
	-Hongbin Huang</t>
      </text>
    </comment>
    <comment authorId="0" ref="A44">
      <text>
        <t xml:space="preserve">@bing please collect and send the checkin request for this SKU TMR
	-stone li</t>
      </text>
    </comment>
    <comment authorId="0" ref="A85">
      <text>
        <t xml:space="preserve">WP12.0B6 blocking issue .
WP A,G naming
	-Hongbin Huang</t>
      </text>
    </comment>
    <comment authorId="0" ref="A127">
      <text>
        <t xml:space="preserve">MBN version 0x1f822002 not avaiable.
	-Hongbin Huang</t>
      </text>
    </comment>
    <comment authorId="0" ref="A114">
      <text>
        <t xml:space="preserve">canceled by Davy since VW not desired.
	-Hongbin Huang</t>
      </text>
    </comment>
    <comment authorId="0" ref="A159">
      <text>
        <t xml:space="preserve">Duplicate with 6606
	-Hongbin Huang</t>
      </text>
    </comment>
    <comment authorId="0" ref="A183">
      <text>
        <t xml:space="preserve">wait for release Note
	-Hongbin Huang</t>
      </text>
    </comment>
    <comment authorId="0" ref="A234">
      <text>
        <t xml:space="preserve">OEMPRI-5826 missing one NV, add in this ticket
	-stone li</t>
      </text>
    </comment>
    <comment authorId="0" ref="A237">
      <text>
        <t xml:space="preserve">PRI holding....
	-Hongbin Huang</t>
      </text>
    </comment>
    <comment authorId="0" ref="A196">
      <text>
        <t xml:space="preserve">PRI holding.....
	-Hongbin Huang</t>
      </text>
    </comment>
    <comment authorId="0" ref="A221">
      <text>
        <t xml:space="preserve">with High Provity
We used the FW 00.13.03 passed PTCRB RF cases. 
Let’s use this FW/WP update our ATT FFW package today. 
We need to release the update to ATT lab soon to catch the schedule.
	-Hongbin Huang</t>
      </text>
    </comment>
    <comment authorId="0" ref="A240">
      <text>
        <t xml:space="preserve">Fiona agree move to next week.
	-Hongbin Huang
the device given by PM is wrong one, which missing B7.
cause by this device manually change by add B7 hw component but actually the QFUSE already define it as a None B7 HW already.
	-Hongbin Huang</t>
      </text>
    </comment>
    <comment authorId="0" ref="A263">
      <text>
        <t xml:space="preserve">assigned to lares
	-Hongbin Huang</t>
      </text>
    </comment>
    <comment authorId="0" ref="A246">
      <text>
        <t xml:space="preserve">Test Fail with wrong command provide by MFT
	-Hongbin Huang</t>
      </text>
    </comment>
    <comment authorId="0" ref="A276">
      <text>
        <t xml:space="preserve">@lares, we need to update the baseline to add one more item.
	-Hongbin Huang</t>
      </text>
    </comment>
    <comment authorId="0" ref="A278">
      <text>
        <t xml:space="preserve">Wait for WP release by 1/17
	-Hongbin Huang</t>
      </text>
    </comment>
    <comment authorId="0" ref="A315">
      <text>
        <t xml:space="preserve">the workaround not work for WP14.5,  setting need apply one more time to be apply success.
	-Hongbin Huang</t>
      </text>
    </comment>
    <comment authorId="0" ref="A339">
      <text>
        <t xml:space="preserve">talk with Hugh, the Lab PRI would share the same one as customer PRI. so Cancel this package replace with OEMPRI-5498
	-Hongbin Huang
_Marked as resolved_
	-Hongbin Huang
_Re-opened_
	-Hongbin Huang
_Marked as resolved_
	-Hongbin Huang
_Re-opened_
	-Hongbin Huang</t>
      </text>
    </comment>
    <comment authorId="0" ref="A335">
      <text>
        <t xml:space="preserve">PKG FACT passed but field upgrade fail.
	-Hongbin Huang
Release with Know issue
	-Hongbin Huang</t>
      </text>
    </comment>
    <comment authorId="0" ref="A326">
      <text>
        <t xml:space="preserve">Package need re-gen cause WP
path update the boot_ro.cwe,
just need re-gen package. not basline update.
	-Hongbin Huang
New WP release , and we need to  
update again.
	-Hongbin Huang</t>
      </text>
    </comment>
    <comment authorId="0" ref="A353">
      <text>
        <t xml:space="preserve">got a device with secure boot enable already, could not run fact after erase device, need new device.
	-Hongbin Huang</t>
      </text>
    </comment>
    <comment authorId="0" ref="A391">
      <text>
        <t xml:space="preserve">would assigne  to Gerry for trying test
	-Hongbin Huang
yes,go ahead
	-stone li
OK
	-gerry yang</t>
      </text>
    </comment>
  </commentList>
</comments>
</file>

<file path=xl/comments2.xml><?xml version="1.0" encoding="utf-8"?>
<comments xmlns:r="http://schemas.openxmlformats.org/officeDocument/2006/relationships" xmlns="http://schemas.openxmlformats.org/spreadsheetml/2006/main">
  <authors>
    <author/>
  </authors>
  <commentList>
    <comment authorId="0" ref="A25">
      <text>
        <t xml:space="preserve">from Victor Update PRI baselines with for Cougar-RC2
Bing,
FYI, AR8582 SKUs will be deprecated for Cougar project, instead PLM will create new SKU for Eland/AR8582. So we can stop the maintenance of following SKUs:
</t>
      </text>
    </comment>
  </commentList>
</comments>
</file>

<file path=xl/comments3.xml><?xml version="1.0" encoding="utf-8"?>
<comments xmlns:r="http://schemas.openxmlformats.org/officeDocument/2006/relationships" xmlns="http://schemas.openxmlformats.org/spreadsheetml/2006/main">
  <authors>
    <author/>
  </authors>
  <commentList>
    <comment authorId="0" ref="D7">
      <text>
        <t xml:space="preserve">gerry</t>
      </text>
    </comment>
    <comment authorId="0" ref="D11">
      <text>
        <t xml:space="preserve">lares</t>
      </text>
    </comment>
    <comment authorId="0" ref="D15">
      <text>
        <t xml:space="preserve">lares</t>
      </text>
    </comment>
  </commentList>
</comments>
</file>

<file path=xl/sharedStrings.xml><?xml version="1.0" encoding="utf-8"?>
<sst xmlns="http://schemas.openxmlformats.org/spreadsheetml/2006/main" count="52488" uniqueCount="8343">
  <si>
    <t>Common Link</t>
  </si>
  <si>
    <t>VM manager</t>
  </si>
  <si>
    <t>##swidebug/stli@123456</t>
  </si>
  <si>
    <t>OEMPRI</t>
  </si>
  <si>
    <t>https://issues.sierrawireless.com/issues/?filter=-1</t>
  </si>
  <si>
    <t>VMware web</t>
  </si>
  <si>
    <t>https://10.22.52.105/ui/#/login</t>
  </si>
  <si>
    <t>SKUTracker</t>
  </si>
  <si>
    <t xml:space="preserve"> </t>
  </si>
  <si>
    <t>2018-08-21 17:52:42 update 10 Tickets 13 Cells</t>
  </si>
  <si>
    <t>Update Time:</t>
  </si>
  <si>
    <t>https://skutracker.sierrawireless.local/projects</t>
  </si>
  <si>
    <t>AGILE</t>
  </si>
  <si>
    <t>https://agile.sierrawireless.com/Agile/PCMServlet</t>
  </si>
  <si>
    <t>Jenkins</t>
  </si>
  <si>
    <t>spkg server</t>
  </si>
  <si>
    <t>http://cnshz-ev-int-10:8080</t>
  </si>
  <si>
    <t>Share server</t>
  </si>
  <si>
    <t>Key</t>
  </si>
  <si>
    <t>bing server</t>
  </si>
  <si>
    <t>http://cnshz-ed-000003:8088/</t>
  </si>
  <si>
    <t>PRI LINK</t>
  </si>
  <si>
    <t>\\cnshz-nv-fl01\file\Misc\Public-Files\Public-Files-1\Bing\Work\PRI-Links</t>
  </si>
  <si>
    <t>Jenkins Labels</t>
  </si>
  <si>
    <t>http://cnshz-ev-int-10:8080/view/debug/job/Update_Node_Labels/lastBuild/console</t>
  </si>
  <si>
    <t>Stone</t>
  </si>
  <si>
    <t>\\cnshz-nv-fl01\file\Misc\Public-Files\Public-Files-1\Stone</t>
  </si>
  <si>
    <t>Bing</t>
  </si>
  <si>
    <t>\\cnshz-nv-fl01\file\Misc\Public-Files\Public-Files-1\Bing</t>
  </si>
  <si>
    <t>Jira Tickets</t>
  </si>
  <si>
    <t>Lares</t>
  </si>
  <si>
    <t>\\cnshz-nv-fl01\file\Misc\Public-Files\Public-Files-1\Lares_Yang</t>
  </si>
  <si>
    <t>Dashboard</t>
  </si>
  <si>
    <t>https://issues.sierrawireless.com/secure/Dashboard.jspa?selectPageId=18726</t>
  </si>
  <si>
    <t>Summary</t>
  </si>
  <si>
    <t>Gerry</t>
  </si>
  <si>
    <t>\\cnshz-nv-fl01\file\Misc\Public-Files\Public-Files-1\GerryYang</t>
  </si>
  <si>
    <t xml:space="preserve">FWTOOLS </t>
  </si>
  <si>
    <t>https://issues.sierrawireless.com/issues/?jql=project%20%3D%20FWTOOLS%20</t>
  </si>
  <si>
    <t>\\cnshz-ev-int-10\UserData\OEMPRI</t>
  </si>
  <si>
    <t>Signature new items</t>
  </si>
  <si>
    <t>https://issues.sierrawireless.com/issues/?jql=project%20%3D%20FWTOOLS%20AND%20component%20%3D%20SWI_Secure9xXXSignature</t>
  </si>
  <si>
    <t>Signature all items</t>
  </si>
  <si>
    <t>https://issues.sierrawireless.com/issues/?jql=project%20%3D%20RDDEVTOOL%20AND%20%20component%20%3D%20SWI_Secure9xXXSignature</t>
  </si>
  <si>
    <t>source control</t>
  </si>
  <si>
    <t>Status</t>
  </si>
  <si>
    <t>Created</t>
  </si>
  <si>
    <t>Signature active items</t>
  </si>
  <si>
    <t>Due Date</t>
  </si>
  <si>
    <t>Component/s</t>
  </si>
  <si>
    <t>Assignee</t>
  </si>
  <si>
    <t>Reporter</t>
  </si>
  <si>
    <t>https://issues.sierrawireless.com/issues/?jql=project%20%3D%20RDDEVTOOL%20AND%20status%20in%20(Open%2C%20%22In%20Progress%22%2C%20Reopened%2C%20resolved)%20and%20component%20%3D%20SWI_Secure9xXXSignature</t>
  </si>
  <si>
    <t>Week</t>
  </si>
  <si>
    <t>Plan due date</t>
  </si>
  <si>
    <t>gerrit</t>
  </si>
  <si>
    <t>https://gerrit-legato/#/c/20180/</t>
  </si>
  <si>
    <t>Update Msg:</t>
  </si>
  <si>
    <t>2018-08-21 17:43:06 update 18 Tickets 44 Cells</t>
  </si>
  <si>
    <t>swicwe</t>
  </si>
  <si>
    <t>https://issues.sierrawireless.com/issues/?jql=project%20%3D%20FWTOOLS%20AND%20component%20%3D%20swicwe</t>
  </si>
  <si>
    <t>svn for tools</t>
  </si>
  <si>
    <t>Key Filter</t>
  </si>
  <si>
    <t>https://cnshz-svn01.sierrawireless.local/svn/Config/Projects</t>
  </si>
  <si>
    <t>svn for config</t>
  </si>
  <si>
    <t>https://cnshz-svn01.sierrawireless.local/svn/Config/</t>
  </si>
  <si>
    <t>Process Doc</t>
  </si>
  <si>
    <t>svn for config(9x15)</t>
  </si>
  <si>
    <t>https://carmd-app30.sierrawireless.local/svn/Config/</t>
  </si>
  <si>
    <t>AR8652 process</t>
  </si>
  <si>
    <t>https://confluence.sierrawireless.com/pages/resumedraft.action?draftId=92668615&amp;draftShareId=57aa027f-8af8-43b1-b1a3-f415c630b00d</t>
  </si>
  <si>
    <t>Signature Overview</t>
  </si>
  <si>
    <t>https://confluence.sierrawireless.com/display/OEM/Firmware+Signing+Server+Overview</t>
  </si>
  <si>
    <t>office</t>
  </si>
  <si>
    <t>Signature Study</t>
  </si>
  <si>
    <t>Assignee Filter</t>
  </si>
  <si>
    <t>\\cnshz-nv-fl01\file\Misc\Public-Files\Public-Files-1\Stone\Tools\signature\Some information of Signature Tool.msg</t>
  </si>
  <si>
    <t>timesheet</t>
  </si>
  <si>
    <t>https://jde.sierrawireless.com/jde/E1Menu.maf?jdeowpBackButtonProtect=PROTECTED</t>
  </si>
  <si>
    <t>.*</t>
  </si>
  <si>
    <t xml:space="preserve">AR8652 1103794 FOTA package for WP20.2.1 </t>
  </si>
  <si>
    <t>Process for PRI</t>
  </si>
  <si>
    <t>\\cnshz-nv-fl01\FILE\Engineering\Product_Integration\05_Process\PRI</t>
  </si>
  <si>
    <t>Concur</t>
  </si>
  <si>
    <t>https://account.activedirectory.windowsazure.com/r#/applications</t>
  </si>
  <si>
    <t>Work_Instructions</t>
  </si>
  <si>
    <t>Open</t>
  </si>
  <si>
    <t>https://cnshz-svn01.sierrawireless.local/svn/Config/Projects/Work_Instructions</t>
  </si>
  <si>
    <t>helpdesk</t>
  </si>
  <si>
    <t>https://helpdesk.sierrawireless.local/WorkOrder.do</t>
  </si>
  <si>
    <t>FileHold</t>
  </si>
  <si>
    <t>http://carmd-iv-fh02/Fh/FileHold/WebClient/LibraryForm.aspx</t>
  </si>
  <si>
    <t>None</t>
  </si>
  <si>
    <t>other doc</t>
  </si>
  <si>
    <t>printer</t>
  </si>
  <si>
    <t>\\cnshz-pr01</t>
  </si>
  <si>
    <t>liaoxuefeng-python</t>
  </si>
  <si>
    <t>https://www.liaoxuefeng.com/wiki/001374738125095c955c1e6d8bb493182103fac9270762a000</t>
  </si>
  <si>
    <t>Li_Stone</t>
  </si>
  <si>
    <t>\\jasmine2\groups\HR\8.0_performance_management\2017\OEM_solutions\Li_stone</t>
  </si>
  <si>
    <t>liaoxuefeng-git</t>
  </si>
  <si>
    <t>https://www.liaoxuefeng.com/wiki/0013739516305929606dd18361248578c67b8067c8c017b000</t>
  </si>
  <si>
    <t>python install(linux)</t>
  </si>
  <si>
    <t>https://www.cnblogs.com/ITer-jack/p/8305912.html</t>
  </si>
  <si>
    <t>Tools</t>
  </si>
  <si>
    <t>django</t>
  </si>
  <si>
    <t>http://www.runoob.com/django/django-admin-manage-tool.html</t>
  </si>
  <si>
    <t>RDO</t>
  </si>
  <si>
    <t>\\cnshz-nv-fl01\file\Misc\Public-Files\Public-Files-1\Stone\Tools\Remote Desktop Organizer v1.4.7</t>
  </si>
  <si>
    <t>FACT</t>
  </si>
  <si>
    <t>\\cnshz-nv-fl01\FILE\Engineering\Shared\Misc\PC_tools</t>
  </si>
  <si>
    <t>Manufactory</t>
  </si>
  <si>
    <t>\\cnshz-nv-fl01\file\Engineering\Product_Integration\04_Release\02_HostSW\Manufactory</t>
  </si>
  <si>
    <t>tools collection</t>
  </si>
  <si>
    <t>https://cnshz-svn01.sierrawireless.local/svn/Config/Projects/env-manager/Tool List in VM.xlsx</t>
  </si>
  <si>
    <t>Totem release</t>
  </si>
  <si>
    <t>\\frilm-nv-fl04\projet\projet\tools\share\Totem</t>
  </si>
  <si>
    <t>FWTools release</t>
  </si>
  <si>
    <t>\\Jasmine2\Projects-1\Engineering\Firmware\Tools\Sierra</t>
  </si>
  <si>
    <t>AR8652</t>
  </si>
  <si>
    <t>Mary Shan</t>
  </si>
  <si>
    <t>HostSW release</t>
  </si>
  <si>
    <t>Joanna Xia</t>
  </si>
  <si>
    <t>\\cnshz-nv-fl01.sierrawireless.local\file\Engineering\Product_Integration\04_Release\02_HostSW</t>
  </si>
  <si>
    <t>Templates</t>
  </si>
  <si>
    <t>\\cnshz-nv-fl01\FILE\Engineering\Product_Integration\03_Document\Templates</t>
  </si>
  <si>
    <t>STATUS</t>
  </si>
  <si>
    <t>Issue Type</t>
  </si>
  <si>
    <t>OPEN</t>
  </si>
  <si>
    <t>IN PROCESS</t>
  </si>
  <si>
    <t>GENERATED</t>
  </si>
  <si>
    <t>TESTED</t>
  </si>
  <si>
    <t>REVIEWED</t>
  </si>
  <si>
    <t>INTERGRATED</t>
  </si>
  <si>
    <t>VALIDATED</t>
  </si>
  <si>
    <t>ALL FILES ADDED</t>
  </si>
  <si>
    <t>SPKG VALIDATED</t>
  </si>
  <si>
    <t>LOG VALIDATED</t>
  </si>
  <si>
    <t>CLOSED</t>
  </si>
  <si>
    <t>Closed</t>
  </si>
  <si>
    <t>Bing Huang</t>
  </si>
  <si>
    <t>Davy Zhang</t>
  </si>
  <si>
    <t>[SL8082T] SKU#1104126,APSYSTEMS,GENERIC,R7.52.7.A5/EXT AT,OPEN AT,AVMS,GNSS=A,SWIR IMEI,UART+USB=115200 BDS,SL8 RD</t>
  </si>
  <si>
    <t>Task</t>
  </si>
  <si>
    <t>Bing Huang(4)</t>
  </si>
  <si>
    <t>*****</t>
  </si>
  <si>
    <t>Bing Huang(0)</t>
  </si>
  <si>
    <t>SL808xTR/SL808xBTR</t>
  </si>
  <si>
    <t>Stone Li</t>
  </si>
  <si>
    <t>Eric Lok</t>
  </si>
  <si>
    <t>Customer PRI</t>
  </si>
  <si>
    <t>Stone Li(4)</t>
  </si>
  <si>
    <t>Stone Li(0)</t>
  </si>
  <si>
    <t>Lares Yang</t>
  </si>
  <si>
    <t>Review</t>
  </si>
  <si>
    <t>Hugh Yao</t>
  </si>
  <si>
    <t>Stone Li(5)</t>
  </si>
  <si>
    <t xml:space="preserve"> Delta image : WP11.12B2 &lt;-&gt; WP12.2B6 </t>
  </si>
  <si>
    <t>Hugh Yao(0)</t>
  </si>
  <si>
    <t>Hugh Yao(2)</t>
  </si>
  <si>
    <t>AR758x</t>
  </si>
  <si>
    <t>CLONE -  Delta image :  WP11.13B5 &lt;-&gt; WP12.2B6</t>
  </si>
  <si>
    <t>Action</t>
  </si>
  <si>
    <t>Bing Huang(1)</t>
  </si>
  <si>
    <t>Samuel Cordier</t>
  </si>
  <si>
    <t>Customer Bug</t>
  </si>
  <si>
    <t/>
  </si>
  <si>
    <t>OCT to set NV 71561</t>
  </si>
  <si>
    <t>Jack Liu</t>
  </si>
  <si>
    <t>Stoyan Petrov</t>
  </si>
  <si>
    <t>Joe Liu</t>
  </si>
  <si>
    <t>Bing Huang(3)</t>
  </si>
  <si>
    <t>Ethan Guan(7)</t>
  </si>
  <si>
    <t>Joe Liu(1)</t>
  </si>
  <si>
    <t>[AR7594] 103204_9906619_AR7594(4g4gwGF_VW)_RC2.1 for factory shipment</t>
  </si>
  <si>
    <t>Validated</t>
  </si>
  <si>
    <t>AR759x</t>
  </si>
  <si>
    <t>Tiejun Fu</t>
  </si>
  <si>
    <t>103210_9906623_AR7592(4g4gwGF_VW)_RC2.1 for factory shipment</t>
  </si>
  <si>
    <t>Davy Zhang(2)</t>
  </si>
  <si>
    <t>Davy Zhang(0)</t>
  </si>
  <si>
    <t>2018-08-21 16:14:33 update 2 Tickets 18 Cells</t>
  </si>
  <si>
    <t>1103211_9906625_AR7598(4g4gwGF_VW)_RC2.1 for facotry</t>
  </si>
  <si>
    <t>TaskId</t>
  </si>
  <si>
    <t>Carrier PRI</t>
  </si>
  <si>
    <t>Bing Huang(2)</t>
  </si>
  <si>
    <t>1103207_9906620_AR7596_RC2.1_VW package request</t>
  </si>
  <si>
    <t>Categories</t>
  </si>
  <si>
    <t>Assigned To</t>
  </si>
  <si>
    <t>Lolly Cao(0)</t>
  </si>
  <si>
    <t>Start Date</t>
  </si>
  <si>
    <t>Hugh Yao(7)</t>
  </si>
  <si>
    <t>Modified</t>
  </si>
  <si>
    <t>% Complete</t>
  </si>
  <si>
    <t>Mark</t>
  </si>
  <si>
    <t>Update QTI9X28-4121 on top of OEMPRI-7484 for EEL RC1.</t>
  </si>
  <si>
    <t>done</t>
  </si>
  <si>
    <t>Stone Li(7)</t>
  </si>
  <si>
    <t>[AR7594] 1103204_9906619_VW_WP17.2B3 lead SKU package</t>
  </si>
  <si>
    <t>Stone Li(6)</t>
  </si>
  <si>
    <t>F119BFDAA76478498C2C5D9BC982B4E60000000025410000</t>
  </si>
  <si>
    <t>[Configuration][AR759x] PRI baselines to be aligned with [WP17.1B3-SWI9X40A_01.16.07.07]</t>
  </si>
  <si>
    <t>pri-process</t>
  </si>
  <si>
    <t>Tool</t>
  </si>
  <si>
    <t>Not Started</t>
  </si>
  <si>
    <t xml:space="preserve">Update QTI9X28-3945 on OEMPRI-7342:EEL_RC1: LeadSKU 1103831_9906998_AR7584(4G/2G)_BP5.6B1(SWI9X28A_01.02.01.00)_Ficosa </t>
  </si>
  <si>
    <t>Sara Liu</t>
  </si>
  <si>
    <t>Bug</t>
  </si>
  <si>
    <t>Sara Liu(11)</t>
  </si>
  <si>
    <t>Sara Liu(0)</t>
  </si>
  <si>
    <t>Mary Shan(2)</t>
  </si>
  <si>
    <t xml:space="preserve">   Update QTI9X28-4100 on top of OEMPRI-7414- 1103151_9906435_AR7584(4G/4G)_WP13.5B4(SWI9X28A_00.18.03.00)_VW </t>
  </si>
  <si>
    <t>Mary Shan(0)</t>
  </si>
  <si>
    <t>Stone Li(1)</t>
  </si>
  <si>
    <t>MC7354 Need Motive FOTA test packages for SUPL SKU 1103925</t>
  </si>
  <si>
    <t>MC73xx</t>
  </si>
  <si>
    <t>Golden Shen</t>
  </si>
  <si>
    <t>F119BFDAA76478498C2C5D9BC982B4E60000000025420000</t>
  </si>
  <si>
    <t>pri-tool</t>
  </si>
  <si>
    <t>F119BFDAA76478498C2C5D9BC982B4E60000000025430000</t>
  </si>
  <si>
    <t>pri-release</t>
  </si>
  <si>
    <t>Test</t>
  </si>
  <si>
    <t>Lares Yang(2)</t>
  </si>
  <si>
    <t>Lares Yang(0)</t>
  </si>
  <si>
    <t>1103211_9906625_AR7598_01.18.01.00_00_VW (for Telstra lab)</t>
  </si>
  <si>
    <t>Generated</t>
  </si>
  <si>
    <t>F119BFDAA76478498C2C5D9BC982B4E60000000025440000</t>
  </si>
  <si>
    <t>ar product tools</t>
  </si>
  <si>
    <t>Ben Zheng(3)</t>
  </si>
  <si>
    <t>Ethan Guan(5)</t>
  </si>
  <si>
    <t>F119BFDAA76478498C2C5D9BC982B4E60000000025450000</t>
  </si>
  <si>
    <t>automation for regression</t>
  </si>
  <si>
    <t>Stone Li(13)</t>
  </si>
  <si>
    <t>Victor He</t>
  </si>
  <si>
    <t>F119BFDAA76478498C2C5D9BC982B4E60000000025460000</t>
  </si>
  <si>
    <t>scm --summer</t>
  </si>
  <si>
    <t>F119BFDAA76478498C2C5D9BC982B4E60000000025520000</t>
  </si>
  <si>
    <t>[env]power relay diy</t>
  </si>
  <si>
    <t>EnvManage</t>
  </si>
  <si>
    <t>Ben Zheng(5)</t>
  </si>
  <si>
    <t>1103367_9906982_AR7582(4G/4G)_RC2(00.17.04.00)_VW_ATT/VZW/TMO</t>
  </si>
  <si>
    <t>93B7C528E42B53479E865A53DF9698B20000D74A05860000</t>
  </si>
  <si>
    <t>[OEMPRI-8000]-[proj#5698]-[ECO-027444]-log confirm</t>
  </si>
  <si>
    <t>Daily</t>
  </si>
  <si>
    <t>Harris Pang</t>
  </si>
  <si>
    <t>Completed</t>
  </si>
  <si>
    <t>Stone Li(14)</t>
  </si>
  <si>
    <t>93B7C528E42B53479E865A53DF9698B20000D74A057E0000</t>
  </si>
  <si>
    <t>[OEMPRI-7834]-[proj#5726]-[TDN-013828]-log confirm</t>
  </si>
  <si>
    <t>93B7C528E42B53479E865A53DF9698B20000D74A05780000</t>
  </si>
  <si>
    <t>[OEMPRI-7835]-[proj#5727]-[TDN-013833]-log confirm</t>
  </si>
  <si>
    <t>1103965_9908157_AR7586_Eland Beta_China Unicom_MM_BP3.4B1-SWI9X28A_01.01.05.00-Legato18.05.0.rc5</t>
  </si>
  <si>
    <t>To Do</t>
  </si>
  <si>
    <t>Larry Chen</t>
  </si>
  <si>
    <t>Bing Huang*(3)</t>
  </si>
  <si>
    <t>3D68EC023EC934408492A941A20053800000000034FD0000</t>
  </si>
  <si>
    <t>[OEMPRI-8063] - SPKG</t>
  </si>
  <si>
    <t>Package</t>
  </si>
  <si>
    <t>3D68EC023EC934408492A941A20053800000000034FE0000</t>
  </si>
  <si>
    <t>[OEMPRI-8063] - TEST</t>
  </si>
  <si>
    <t>3D68EC023EC934408492A941A20053800000000035000000</t>
  </si>
  <si>
    <t>[FWTOOLS][One-Click] - FWTOOLS-392</t>
  </si>
  <si>
    <t>3D68EC023EC934408492A941A20053800000000034FF0000</t>
  </si>
  <si>
    <t>[FWTOOLS][One-Click] - FWTOOLS-391</t>
  </si>
  <si>
    <t>Bing Huang(5)</t>
  </si>
  <si>
    <t>1103963_9908155_AR7582_Eland Beta_AT&amp;T_MM_BP3.4B1-SWI9X28A_01.01.05.00-Legato18.05.0.rc5</t>
  </si>
  <si>
    <t>93B7C528E42B53479E865A53DF9698B20000D74A058D0000</t>
  </si>
  <si>
    <t>[OEMPRI-8079]-[proj#5988]-[TDN-014011]-update</t>
  </si>
  <si>
    <t>93B7C528E42B53479E865A53DF9698B20000D74A058F0000</t>
  </si>
  <si>
    <t>Epic</t>
  </si>
  <si>
    <t>[OEMPRI-8079]-[proj#5988]-[TDN-014011]-log confirm</t>
  </si>
  <si>
    <t>93B7C528E42B53479E865A53DF9698B20000D74A058E0000</t>
  </si>
  <si>
    <t>[OEMPRI-8079]-[proj#5988]-[TDN-014011]-svt spkg and approve</t>
  </si>
  <si>
    <t>1103998_9908146_AR8582_Eland Beta_MM_BP3.4B1-SWI9X28A_01.01.05.00-Legato18.05.0.rc5</t>
  </si>
  <si>
    <t>AR858x</t>
  </si>
  <si>
    <t>616E22C5EC93AF48B41E5A76D1E7552200011076487E0000</t>
  </si>
  <si>
    <t xml:space="preserve">mbn parser tool </t>
  </si>
  <si>
    <t>In Progress</t>
  </si>
  <si>
    <t>Lolly Cao(1)</t>
  </si>
  <si>
    <t>1F8063A03FF2CB49A90656195695F9FB00000000372A0000</t>
  </si>
  <si>
    <t>FWTOOLS-383 [KT CM Tool] APN reset (Initial setting restoration) function is not available on CM</t>
  </si>
  <si>
    <t>COUGAR_Lab_1103367_9906982_AR7582_SWI9X28A_00.17.01.03_VW_TMO</t>
  </si>
  <si>
    <t>3D68EC023EC934408492A941A20053800000000034FB0000</t>
  </si>
  <si>
    <t>Ben Zheng</t>
  </si>
  <si>
    <t>[One-Click] - FWTOOLS-385</t>
  </si>
  <si>
    <t>Pierre Alfonsi</t>
  </si>
  <si>
    <t>Bing Huang*(2)</t>
  </si>
  <si>
    <t>3D68EC023EC934408492A941A20053800000000034FC0000</t>
  </si>
  <si>
    <t>[One-Click] - FWTOOLS-386</t>
  </si>
  <si>
    <t>[Configuration][AR758x] Update PRI baseline with for [WP13.5B4][SWI9X28A_00.18.03.00]</t>
  </si>
  <si>
    <t>616E22C5EC93AF48B41E5A76D1E7552200011076487D0000</t>
  </si>
  <si>
    <t>NVUP binary parser tool</t>
  </si>
  <si>
    <t>Stone Li*(7)</t>
  </si>
  <si>
    <t>93B7C528E42B53479E865A53DF9698B20000D74A05710000</t>
  </si>
  <si>
    <t>[OEMPRI-7508]-[proj#5730]-[TDN-013811]-log confirm</t>
  </si>
  <si>
    <t xml:space="preserve">COUGAR_LANYOU_RC1.2_LeadSku_1103362_9906977_AR7586(4G/2G)_WP11.14B5(SWI9X28L_00.12.06.02)_Lanyou </t>
  </si>
  <si>
    <t>93B7C528E42B53479E865A53DF9698B20000D74A05740000</t>
  </si>
  <si>
    <t>[OEMPRI-7503]-[proj#5728]-[TDN-013809]-log confirm</t>
  </si>
  <si>
    <t>93B7C528E42B53479E865A53DF9698B20000D74A05880000</t>
  </si>
  <si>
    <t>[OEMPRI-8046]-[proj#5887]-[TDN-013953]-svt spkg and approve</t>
  </si>
  <si>
    <t>1103964_9908156_AR7584_Eland_Beta_LeadSKU_MM_BP3.4B1-SWI9X28A_01.01.05.00-Legato18.05.0.rc5</t>
  </si>
  <si>
    <t>93B7C528E42B53479E865A53DF9698B20000D74A058B0000</t>
  </si>
  <si>
    <t>[OEMPRI-7912]-[proj#5896]-[ECO-027726]-svt spkg and approve</t>
  </si>
  <si>
    <t>3D68EC023EC934408492A941A20053800000000034FA0000</t>
  </si>
  <si>
    <t>[AR758x][QTI-Collection] - BP4.3B1 QTI requeirment collection</t>
  </si>
  <si>
    <t xml:space="preserve">1103151_9906435_AR7584(4G/4G)_WP13.5B4(SWI9X28A_00.18.03.00)_VW </t>
  </si>
  <si>
    <t>1F8063A03FF2CB49A90656195695F9FB00000000372C0000</t>
  </si>
  <si>
    <t>Package and release for OEMPRI-8002</t>
  </si>
  <si>
    <t>616E22C5EC93AF48B41E5A76D1E7552200011076487F0000</t>
  </si>
  <si>
    <t>Efuse for ALL SKUs should check for all PRI</t>
  </si>
  <si>
    <t>Gerry Yang</t>
  </si>
  <si>
    <t>93B7C528E42B53479E865A53DF9698B20000D74A056B0000</t>
  </si>
  <si>
    <t>[AR7592-1] 1103210_9906623_VW_WP16.4B3</t>
  </si>
  <si>
    <t>[OEMPRI-7497]-[proj#5729]-[TDN-013810]-log confirm</t>
  </si>
  <si>
    <t>Gerry Yang(0)</t>
  </si>
  <si>
    <t>93B7C528E42B53479E865A53DF9698B20000D74A056E0000</t>
  </si>
  <si>
    <t>[OEMPRI-7514]-[proj#5731]-[TDN-013812]-log confirm</t>
  </si>
  <si>
    <t>3D68EC023EC934408492A941A20053800000000034F70000</t>
  </si>
  <si>
    <t>[AR7598] 1103211_9906625_VW_WP16.4B3</t>
  </si>
  <si>
    <t>[OEMPRI-8023] - SPKG</t>
  </si>
  <si>
    <t>Roger Wang</t>
  </si>
  <si>
    <t>3D68EC023EC934408492A941A20053800000000034F80000</t>
  </si>
  <si>
    <t>[OEMPRI-8023] - TEST</t>
  </si>
  <si>
    <t>Roger Wang(5)</t>
  </si>
  <si>
    <t>Roger Wang(0)</t>
  </si>
  <si>
    <t>[AR7596]1103207_9906620_VW_WP16.4B3</t>
  </si>
  <si>
    <t>3D68EC023EC934408492A941A20053800000000034F90000</t>
  </si>
  <si>
    <t>[FWTOOLS][One-Click] - Remove Calibration review and safety for OCT preparation.</t>
  </si>
  <si>
    <t>Jun Li</t>
  </si>
  <si>
    <t>Samuel Sun</t>
  </si>
  <si>
    <t>93B7C528E42B53479E865A53DF9698B20000D74A05870000</t>
  </si>
  <si>
    <t>[OEMPRI-8046]-[proj#5887]-[TDN-013953]-update</t>
  </si>
  <si>
    <t>Jun Li(3)</t>
  </si>
  <si>
    <t>Jun Li(0)</t>
  </si>
  <si>
    <t>1103151_9906435_AR7584(4G/4G)_RC2(00.17.04.00)_VW_Vodafone</t>
  </si>
  <si>
    <t>93B7C528E42B53479E865A53DF9698B20000D74A05890000</t>
  </si>
  <si>
    <t>[OEMPRI-8046]-[proj#5887]-[TDN-013953]-log confirm</t>
  </si>
  <si>
    <t>Cassie Sheng</t>
  </si>
  <si>
    <t>93B7C528E42B53479E865A53DF9698B20000D74A058A0000</t>
  </si>
  <si>
    <t>[OEMPRI-7912]-[proj#5896]-[ECO-027726]-update</t>
  </si>
  <si>
    <t>Stone Li(10)</t>
  </si>
  <si>
    <t>93B7C528E42B53479E865A53DF9698B20000D74A058C0000</t>
  </si>
  <si>
    <t>[OEMPRI-7912]-[proj#5896]-[ECO-027726]-log confirm</t>
  </si>
  <si>
    <t>1F8063A03FF2CB49A90656195695F9FB0000000037290000</t>
  </si>
  <si>
    <t>Package and release for OEMPRI-8079</t>
  </si>
  <si>
    <t>Sara Liu(1)</t>
  </si>
  <si>
    <t>1103964_9908156_AR7584_Eland_Beta_LeadSKU_MM_BP3.3B1-SWI9X28A_01.01.05.00-Legato18.05.0.rc4</t>
  </si>
  <si>
    <t>17E6D1164FF0B24C8021FBBD8617080F0000000021260000</t>
  </si>
  <si>
    <t>Import Google sheet config into mysql database and page shows</t>
  </si>
  <si>
    <t>Nicky Zheng</t>
  </si>
  <si>
    <t>93B7C528E42B53479E865A53DF9698B20000D74A05840000</t>
  </si>
  <si>
    <t>[OEMPRI-8000]-[proj#5698]-[ECO-027444]-update</t>
  </si>
  <si>
    <t>Bing Huang(13)</t>
  </si>
  <si>
    <t xml:space="preserve"> Cougar-VW-RC2.1(final candidate)-WP13.5B4 :LeadSKU 1103223_9906693_AR7586(4G/4G)--Manufacturing MBN+FUSE for VW SKU(AR7586)</t>
  </si>
  <si>
    <t>93B7C528E42B53479E865A53DF9698B20000D74A05850000</t>
  </si>
  <si>
    <t>[OEMPRI-8000]-[proj#5698]-[ECO-027444]-svt spkg and approve</t>
  </si>
  <si>
    <t>1F8063A03FF2CB49A90656195695F9FB00000000372B0000</t>
  </si>
  <si>
    <t>Package and release for OEMPRI-8062</t>
  </si>
  <si>
    <t>Lares Yang(1)</t>
  </si>
  <si>
    <t>616E22C5EC93AF48B41E5A76D1E7552200007E9206390000</t>
  </si>
  <si>
    <t>Meeting for AR7598 GCF lab changes review</t>
  </si>
  <si>
    <t>Hugh Yao(5)</t>
  </si>
  <si>
    <t>17E6D1164FF0B24C8021FBBD8617080F0000000021250000</t>
  </si>
  <si>
    <t>study jquery ligerui and django frame</t>
  </si>
  <si>
    <t>study</t>
  </si>
  <si>
    <t>93B7C528E42B53479E865A53DF9698B20000D74A05770000</t>
  </si>
  <si>
    <t>[OEMPRI-7835]-[proj#5727]-[TDN-013833]-svt spkg and approve</t>
  </si>
  <si>
    <t>Samuel Sun(2)</t>
  </si>
  <si>
    <t>Stone Li(3)</t>
  </si>
  <si>
    <t>93B7C528E42B53479E865A53DF9698B20000D74A057A0000</t>
  </si>
  <si>
    <t xml:space="preserve">COUGAR VW RC2.1(Final Candidate)：WP13.5B4-1103151_9906435_AR7584(4G/4G) -Manufacturing +RUSSIA+VDF MBN + FUSE for VW SKU(AR7584) </t>
  </si>
  <si>
    <t>[OEMPRI-7770]-[proj#5741]-[TDN-013980]-svt spkg and approve</t>
  </si>
  <si>
    <t>93B7C528E42B53479E865A53DF9698B20000D74A057D0000</t>
  </si>
  <si>
    <t>Lares Yang(7)</t>
  </si>
  <si>
    <t>[OEMPRI-7834]-[proj#5726]-[TDN-013828]-svt spkg and approve</t>
  </si>
  <si>
    <t>Hugh Yao(3)</t>
  </si>
  <si>
    <t>COUGAR VW RC2.1(Final Candidate):WP13.5B4 1103367_9906982_AR7582(4G/4G)-Manufacturing MBN  +FUSE + ATT/VzW/TMO for VW SKU(AR7582)</t>
  </si>
  <si>
    <t>616E22C5EC93AF48B41E5A76D1E7552200007E9206400000</t>
  </si>
  <si>
    <t xml:space="preserve">Package Naming change document </t>
  </si>
  <si>
    <t>Improvement</t>
  </si>
  <si>
    <t>1F8063A03FF2CB49A90656195695F9FB0000000037280000</t>
  </si>
  <si>
    <t>Package and release for OEMPRI-7877</t>
  </si>
  <si>
    <t>Waiting</t>
  </si>
  <si>
    <t>COUGAR VW RC2.1(Final Candidate):WP13.XB4 1103367_9906982_AR7582(4G/4G)-Manufacturing MBN  +FUSE + ATT/VzW/TMO for VW SKU(AR7582)</t>
  </si>
  <si>
    <t>17E6D1164FF0B24C8021FBBD8617080F0000000021240000</t>
  </si>
  <si>
    <t>parse nv txt file into xml format</t>
  </si>
  <si>
    <t>616E22C5EC93AF48B41E5A76D1E7552200007E92063F0000</t>
  </si>
  <si>
    <t>AR7598 GCF Lab MBNs changes confirm</t>
  </si>
  <si>
    <t>93B7C528E42B53479E865A53DF9698B20000D74A05800000</t>
  </si>
  <si>
    <t>[AR7594] 1103204_9906619_VW_WP16.4B3 lead SKU package</t>
  </si>
  <si>
    <t>[tool][spkg_release_notes_email] support copy .html file to output folder</t>
  </si>
  <si>
    <t>Hugh Yao(8)</t>
  </si>
  <si>
    <t>93B7C528E42B53479E865A53DF9698B20000D74A057F0000</t>
  </si>
  <si>
    <t>[tool][spkg_release_notes_email] add new command line parameter to support generate html report</t>
  </si>
  <si>
    <t>93B7C528E42B53479E865A53DF9698B20000D74A05820000</t>
  </si>
  <si>
    <t>[tool][spkg_release_notes_email] update the help description</t>
  </si>
  <si>
    <t>Need some nvu file with different SKU/PSKU to verity SW-Update</t>
  </si>
  <si>
    <t>Lares Yang(10)</t>
  </si>
  <si>
    <t>AR758x,AR759x</t>
  </si>
  <si>
    <t>Felix Zhu</t>
  </si>
  <si>
    <t>93B7C528E42B53479E865A53DF9698B20000D74A05810000</t>
  </si>
  <si>
    <t>[tool][spkg_release_notes_email] fix bug when the size of new carrier is different from old carriers</t>
  </si>
  <si>
    <t>93B7C528E42B53479E865A53DF9698B20000D74A05830000</t>
  </si>
  <si>
    <t>Cassie Sheng(3)</t>
  </si>
  <si>
    <t>Cassie Sheng(0)</t>
  </si>
  <si>
    <t xml:space="preserve">[AR7592-1]_Lab_1103210_9906623_VW_SWI9X40A_01.18.01.00 </t>
  </si>
  <si>
    <t>[tool][spkg_release_notes_email] support build binary to release</t>
  </si>
  <si>
    <t>Ben Zheng(0)</t>
  </si>
  <si>
    <t>Sara Liu(13)</t>
  </si>
  <si>
    <t>Cassie Sheng(4)</t>
  </si>
  <si>
    <t>93B7C528E42B53479E865A53DF9698B20000D74A057C0000</t>
  </si>
  <si>
    <t>[OEMPRI-7834]-[proj#5726]-[TDN-013828]-update</t>
  </si>
  <si>
    <t>17E6D1164FF0B24C8021FBBD8617080F0000000021230000</t>
  </si>
  <si>
    <t>[Configuration][AR759x] PRI baselines to be aligned with [WP16.4B3-SWI9X40A_01.16.07.04]</t>
  </si>
  <si>
    <t>Parsing binary files into XML format</t>
  </si>
  <si>
    <t>616E22C5EC93AF48B41E5A76D1E7552200007E9206410000</t>
  </si>
  <si>
    <t>[Document] Carriers Approval FW Table on confluence</t>
  </si>
  <si>
    <t>Assigned</t>
  </si>
  <si>
    <t>1F8063A03FF2CB49A90656195695F9FB0000000037270000</t>
  </si>
  <si>
    <t>Rita Lu</t>
  </si>
  <si>
    <t>Package and release for OEMPRI-8000</t>
  </si>
  <si>
    <t>Bing Huang*(9)</t>
  </si>
  <si>
    <t>[Configuration][AR758x] Update PRI baseline with for [WP13.2B4][SWI9X28A_00.17.08.00]</t>
  </si>
  <si>
    <t>93B7C528E42B53479E865A53DF9698B20000D74A05750000</t>
  </si>
  <si>
    <t>[one-click] review one-click script with new jobfile and wait for new port</t>
  </si>
  <si>
    <t>Stone Li,Bing Huang</t>
  </si>
  <si>
    <t>93B7C528E42B53479E865A53DF9698B20000D74A057B0000</t>
  </si>
  <si>
    <t>[OEMPRI-7770]-[proj#5741]-[TDN-013980]-log confirm</t>
  </si>
  <si>
    <t>93B7C528E42B53479E865A53DF9698B20000D74A055D0000</t>
  </si>
  <si>
    <t>Intermidate release Cougar-VW-RC2.1(candidate)-WP13.2B4 :LeadSKU 1103223_9906693_AR7586(4G/4G)--Manufacturing MBN+FUSE for VW SKU(AR7586)</t>
  </si>
  <si>
    <t>[OEMPRI-7620]-[proj#5204]-[TDN-013841]-log confirm</t>
  </si>
  <si>
    <t>Jerome Berdin</t>
  </si>
  <si>
    <t>Bing Huang(12)</t>
  </si>
  <si>
    <t xml:space="preserve">EEL_RC1: LeadSKU 1103831_9906998_AR7584(4G/2G)_BP5.6B1(SWI9X28A_01.02.01.00)_Ficosa	</t>
  </si>
  <si>
    <t>AR8652 RMA 2750 units repair config - Please upload to Agile.</t>
  </si>
  <si>
    <t>1103207_9906620_AR7596_RC2_VW package request</t>
  </si>
  <si>
    <t>93B7C528E42B53479E865A53DF9698B20000D74A05690000</t>
  </si>
  <si>
    <t>[OEMPRI-7497]-[proj#5729]-[TDN-013810]-update</t>
  </si>
  <si>
    <t>Bing Huang(9)</t>
  </si>
  <si>
    <t>Sara Liu(10)</t>
  </si>
  <si>
    <t>93B7C528E42B53479E865A53DF9698B20000D74A056A0000</t>
  </si>
  <si>
    <t>[OEMPRI-7497]-[proj#5729]-[TDN-013810]-svt spkg and approve</t>
  </si>
  <si>
    <t>93B7C528E42B53479E865A53DF9698B20000D74A05700000</t>
  </si>
  <si>
    <t>[OEMPRI-7508]-[proj#5730]-[TDN-013811]-svt spkg and approve</t>
  </si>
  <si>
    <t>Create NVUP file to enable multicall feature in COUGAR-2712</t>
  </si>
  <si>
    <t>93B7C528E42B53479E865A53DF9698B20000D74A056F0000</t>
  </si>
  <si>
    <t>[OEMPRI-7508]-[proj#5730]-[TDN-013811]-update</t>
  </si>
  <si>
    <t>93B7C528E42B53479E865A53DF9698B20000D74A05730000</t>
  </si>
  <si>
    <t>[OEMPRI-7503]-[proj#5728]-[TDN-013809]-svt spkg and approve</t>
  </si>
  <si>
    <t xml:space="preserve">COUGAR_FICOSA_RC2_LeadSku_1103359_9906968_AR7586(4G/2G)_WP12.2B6(SWI9X28G_00.12.06.04)_Ficosa </t>
  </si>
  <si>
    <t>616E22C5EC93AF48B41E5A76D1E7552200007E92063A0000</t>
  </si>
  <si>
    <t>GCF MBN initial create and leverage old settings</t>
  </si>
  <si>
    <t>PRI Template</t>
  </si>
  <si>
    <t>James Wang</t>
  </si>
  <si>
    <t>93B7C528E42B53479E865A53DF9698B20000D74A056D0000</t>
  </si>
  <si>
    <t>James Wang(3)</t>
  </si>
  <si>
    <t>[OEMPRI-7514]-[proj#5731]-[TDN-013812]-svt spkg and approve</t>
  </si>
  <si>
    <t>James Wang(0)</t>
  </si>
  <si>
    <t>93B7C528E42B53479E865A53DF9698B20000D74A056C0000</t>
  </si>
  <si>
    <t>[OEMPRI-7514]-[proj#5731]-[TDN-013812]-update</t>
  </si>
  <si>
    <t xml:space="preserve">COUGAR_LANYOU_RC2_1103362_9906977_AR7586(4G/2G)_WP12.2B6(SWI9X28A_00.12.06.04)_Lanyou </t>
  </si>
  <si>
    <t>93B7C528E42B53479E865A53DF9698B20000D74A05720000</t>
  </si>
  <si>
    <t>[OEMPRI-7503]-[proj#5728]-[TDN-013809]-update</t>
  </si>
  <si>
    <t>[AR7592-1] 1103210_9906623_VW_WP15.9B4</t>
  </si>
  <si>
    <t>93B7C528E42B53479E865A53DF9698B20000D74A05760000</t>
  </si>
  <si>
    <t>[OEMPRI-7835]-[proj#5727]-[TDN-013833]-update</t>
  </si>
  <si>
    <t>93B7C528E42B53479E865A53DF9698B20000D74A05790000</t>
  </si>
  <si>
    <t>[OEMPRI-7770]-[proj#5741]-[TDN-013980]-update</t>
  </si>
  <si>
    <t>1103211_9906625_AR7598_01.18.04.00_00_VW (for Telstra lab)</t>
  </si>
  <si>
    <t>Integrated</t>
  </si>
  <si>
    <t>F119BFDAA76478498C2C5D9BC982B4E60000000059D80000</t>
  </si>
  <si>
    <t>[OEMPRI-7561]-[proj#5620]-[TDN-013766]-log confirm</t>
  </si>
  <si>
    <t>616E22C5EC93AF48B41E5A76D1E7552200007E92063B0000</t>
  </si>
  <si>
    <t>QXDM database update to add missing items</t>
  </si>
  <si>
    <t xml:space="preserve">COUGAR_Lab_1103367_9906982_AR7582_SWI9X28A_00.17.01.02_VW </t>
  </si>
  <si>
    <t>17E6D1164FF0B24C8021FBBD8617080F0000000021220000</t>
  </si>
  <si>
    <t>NV_EFS_Path_Check</t>
  </si>
  <si>
    <t xml:space="preserve">[AR7592-1]_Lab_1103210_9906623_VW_SWI9X40A_01.18.00.00 </t>
  </si>
  <si>
    <t>3D68EC023EC934408492A941A20053800000000034BB0000</t>
  </si>
  <si>
    <t>[OEMPRI-7342] - SPKG</t>
  </si>
  <si>
    <t>3D68EC023EC934408492A941A20053800000000034240000</t>
  </si>
  <si>
    <t>[OEMPRI-5774] - SPKG</t>
  </si>
  <si>
    <t>3D68EC023EC934408492A941A200538000000000344B0000</t>
  </si>
  <si>
    <t>[AR7598] 1103211_9906625_VW_SWI9X40A_01.18.01.00</t>
  </si>
  <si>
    <t>Validate function that whether QCN restoring effected on module after FACT test</t>
  </si>
  <si>
    <t>Test, Package</t>
  </si>
  <si>
    <t>93B7C528E42B53479E865A53DF9698B20000D74A05640000</t>
  </si>
  <si>
    <t>[tool][spkg-decode] support compare two .der cert file</t>
  </si>
  <si>
    <t>93B7C528E42B53479E865A53DF9698B20000D74A05630000</t>
  </si>
  <si>
    <t>[tool][spkg-decode] support parse .der cert file</t>
  </si>
  <si>
    <t>Ding Huang</t>
  </si>
  <si>
    <t xml:space="preserve">1103925- provide 1 click to customer </t>
  </si>
  <si>
    <t>Stone Li*(0)</t>
  </si>
  <si>
    <t>Roger Wang*(0)</t>
  </si>
  <si>
    <t>93B7C528E42B53479E865A53DF9698B20000D74A05650000</t>
  </si>
  <si>
    <t>[tool][signning tool] release v9.23.0.0</t>
  </si>
  <si>
    <t>New</t>
  </si>
  <si>
    <t>Cassie Sheng*(0)</t>
  </si>
  <si>
    <t>MC7354,1103925,Proj#5595 SKU update to enable autofota and load production certificate</t>
  </si>
  <si>
    <t>93B7C528E42B53479E865A53DF9698B20000D74A05680000</t>
  </si>
  <si>
    <t>[OEMPRI-7795]-[proj#5850]-[TDN-013923]-log confirm</t>
  </si>
  <si>
    <t>3D68EC023EC934408492A941A20053800000000034F60000</t>
  </si>
  <si>
    <t>[Tool][One-Click] - Modify OCT python script for adding calibration data review and port 2xcheck review</t>
  </si>
  <si>
    <t>Bing Huang(6)</t>
  </si>
  <si>
    <t>Samuel Sun(3)</t>
  </si>
  <si>
    <t>3D68EC023EC934408492A941A20053800000000034F50000</t>
  </si>
  <si>
    <t>Samuel Sun(0)</t>
  </si>
  <si>
    <t>[OEMPRI-7826] - TEST</t>
  </si>
  <si>
    <t>COUGAR-2945 NVUP FILE</t>
  </si>
  <si>
    <t>3D68EC023EC934408492A941A20053800000000034F40000</t>
  </si>
  <si>
    <t>[OEMPRI-7826] - SPKG</t>
  </si>
  <si>
    <t xml:space="preserve">Update for COUGAR-2945-COUGAR_MM_RC2_LeadSku_1103371_9906986_AR7586(4G/2G)_WP12.2B6(SWI9X28G_00.12.06.04)_MM </t>
  </si>
  <si>
    <t>616E22C5EC93AF48B41E5A76D1E7552200007E92063E0000</t>
  </si>
  <si>
    <t>Meeting for hwo eFuse blown in factory for re-work module and how to add check for PRI</t>
  </si>
  <si>
    <t>Stone Li(22)</t>
  </si>
  <si>
    <t>Important, Daily</t>
  </si>
  <si>
    <t>616E22C5EC93AF48B41E5A76D1E7552200007E92063C0000</t>
  </si>
  <si>
    <t xml:space="preserve">Customer special settings list </t>
  </si>
  <si>
    <t>CLONE - Delta image : WP11.12B2 &lt;-&gt; WP12.1B6</t>
  </si>
  <si>
    <t>1F8063A03FF2CB49A90656195695F9FB0000000037260000</t>
  </si>
  <si>
    <t>Package and release for OEMPRI-7871</t>
  </si>
  <si>
    <t>Bing Huang(20)</t>
  </si>
  <si>
    <t>3D68EC023EC934408492A941A20053800000000034F00000</t>
  </si>
  <si>
    <t>[OEMPRI-7869] - SPKG</t>
  </si>
  <si>
    <t>1F8063A03FF2CB49A90656195695F9FB00000000371E0000</t>
  </si>
  <si>
    <t xml:space="preserve">FWTOOLS-340 [CM Tool] CM do not have 'Registration retry information' menu </t>
  </si>
  <si>
    <t>1F8063A03FF2CB49A90656195695F9FB00000000371F0000</t>
  </si>
  <si>
    <t>FWTOOLS-367 [KT CM Tool]change the CM tool version to 0.2.2.0</t>
  </si>
  <si>
    <t xml:space="preserve"> Delta image : WP11.13B5 &lt;-&gt; WP12.1B6</t>
  </si>
  <si>
    <t>93B7C528E42B53479E865A53DF9698B20000D74A05620000</t>
  </si>
  <si>
    <t>[tool][signning tool] fix sbl1 repare mode failed in different sorted image list</t>
  </si>
  <si>
    <t>Lolly Cao(2)</t>
  </si>
  <si>
    <t>Samuel Sun(6)</t>
  </si>
  <si>
    <t>3D68EC023EC934408492A941A20053800000000034F30000</t>
  </si>
  <si>
    <t>[OEMPRI-7925] - TEST</t>
  </si>
  <si>
    <t>Apply for access right of QC</t>
  </si>
  <si>
    <t>Alex Gu</t>
  </si>
  <si>
    <t>Renaud Bucher</t>
  </si>
  <si>
    <t>3D68EC023EC934408492A941A20053800000000034F20000</t>
  </si>
  <si>
    <t>[OEMPRI-7925] - SPKG</t>
  </si>
  <si>
    <t>Bing Huang(8)</t>
  </si>
  <si>
    <t>3D68EC023EC934408492A941A20053800000000034F10000</t>
  </si>
  <si>
    <t>[OEMPRI-7869] - TEST</t>
  </si>
  <si>
    <t>[AR7594] 1103204_9906619_VW_WP16.2B3 lead SKU package</t>
  </si>
  <si>
    <t>616E22C5EC93AF48B41E5A76D1E7552200007E92063D0000</t>
  </si>
  <si>
    <t>NV Efs path check tool requriement.</t>
  </si>
  <si>
    <t>616E22C5EC93AF48B41E5A76D1E7552200007E9206380000</t>
  </si>
  <si>
    <t>9x40 PRI Check-in Request: [AR759x][Release-1][OEMPRI-7626] Update PRI baselines for AR7598 GCF /KT/NTT-DoCoMo/Telstra Lab</t>
  </si>
  <si>
    <t>PRI Template, Important</t>
  </si>
  <si>
    <t>[Configuration][AR758x] PRI baselines update for AR7582 Lab testing</t>
  </si>
  <si>
    <t>Bing Huang(25)</t>
  </si>
  <si>
    <t>3D68EC023EC934408492A941A20053800000000034EF0000</t>
  </si>
  <si>
    <t>[OEMPRI-7898] - TEST</t>
  </si>
  <si>
    <t>3D68EC023EC934408492A941A20053800000000034EE0000</t>
  </si>
  <si>
    <t>[OEMPRI-7898] - SPKG</t>
  </si>
  <si>
    <t xml:space="preserve"> 	Magneti Marelli | ATB4G Disable Linux Kernel Logs on UART2</t>
  </si>
  <si>
    <t>Stone Li(2)</t>
  </si>
  <si>
    <t>1F8063A03FF2CB49A90656195695F9FB00000000371D0000</t>
  </si>
  <si>
    <t xml:space="preserve">FWTOOLS-334 [CM Tool] Unable to modify EF_PLMNwACT field </t>
  </si>
  <si>
    <t>93B7C528E42B53479E865A53DF9698B20000D74A05670000</t>
  </si>
  <si>
    <t>[OEMPRI-7795]-[proj#5850]-[TDN-013923]-svt spkg and approve</t>
  </si>
  <si>
    <t>Delta image : WP11.12B2 &lt;-&gt; WP11.13B5</t>
  </si>
  <si>
    <t>93B7C528E42B53479E865A53DF9698B20000D74A05660000</t>
  </si>
  <si>
    <t>[OEMPRI-7795]-[proj#5850]-[TDN-013923]-update</t>
  </si>
  <si>
    <t>3D68EC023EC934408492A941A20053800000000034ED0000</t>
  </si>
  <si>
    <t>[AR758x][AR759x][Carrier][1.x][2.x][GENERIC] MBN included an such invalid EFS link sourced by Qualcomm</t>
  </si>
  <si>
    <t xml:space="preserve">Lares Yang,Bing Huang </t>
  </si>
  <si>
    <t>1F8063A03FF2CB49A90656195695F9FB00000000371C0000</t>
  </si>
  <si>
    <t>Package and release for OEMPRI-7811</t>
  </si>
  <si>
    <t>F119BFDAA76478498C2C5D9BC982B4E60000000059CB0000</t>
  </si>
  <si>
    <t>[OEMPRI-7460]-[proj#5674]-[TDN-013825]-log confirm</t>
  </si>
  <si>
    <t>[Configuration][AR759x] PRI baselines update for AR7592-1 Lab testing</t>
  </si>
  <si>
    <t>Bing Huang*(11)</t>
  </si>
  <si>
    <t xml:space="preserve">[AR7592-1]_Lab_1103210_9906623_VW_SWI9X40A_01.17.03.00 </t>
  </si>
  <si>
    <t>103210_9906623_AR7592(4g4gwGF_VW)_RC2 for factory shipment</t>
  </si>
  <si>
    <t>93B7C528E42B53479E865A53DF9698B20000D74A05600000</t>
  </si>
  <si>
    <t>[tool][task-to-google-sheet] fix gspread to 0.6.2</t>
  </si>
  <si>
    <t>[AR7594] 103204_9906619_AR7594(4g4gwGF_VW)_RC2 for factory shipment</t>
  </si>
  <si>
    <t>93B7C528E42B53479E865A53DF9698B20000D74A05610000</t>
  </si>
  <si>
    <t>[tool][task-to-google-sheet]support outlook 365</t>
  </si>
  <si>
    <t>1F8063A03FF2CB49A90656195695F9FB0000000037180000</t>
  </si>
  <si>
    <t>FWTOOLS-331 [CM tool] Support 'RTCP Setting menu' to enable/disable RTCP</t>
  </si>
  <si>
    <t>1F8063A03FF2CB49A90656195695F9FB00000000371B0000</t>
  </si>
  <si>
    <t xml:space="preserve">FWTOOLS-341 [CM Tool] CM do not have 'VoLTE media Setting Option' for VoLTE services </t>
  </si>
  <si>
    <t>F119BFDAA76478498C2C5D9BC982B4E60000000059CE0000</t>
  </si>
  <si>
    <t>[OEMPRI-7556]-[proj#5619]-[TDN-013800]-log confirm</t>
  </si>
  <si>
    <t>93B7C528E42B53479E865A53DF9698B20000D74A055B0000</t>
  </si>
  <si>
    <t>[OEMPRI-7620]-[proj#5204]-[TDN-013841]-update</t>
  </si>
  <si>
    <t>1103211_9906625_AR7598(4g4gwGF_VW)_RC2 for facotry</t>
  </si>
  <si>
    <t>93B7C528E42B53479E865A53DF9698B20000D74A055C0000</t>
  </si>
  <si>
    <t>[OEMPRI-7620]-[proj#5204]-[TDN-013841]-svt spkg and approve</t>
  </si>
  <si>
    <t>Gerry Yang(25)</t>
  </si>
  <si>
    <t>[AR7592-1]_Lab_1103210_9906623_VW_SWI9X40A_01.16.03.03_TMO</t>
  </si>
  <si>
    <t>Tested</t>
  </si>
  <si>
    <t>1F8063A03FF2CB49A90656195695F9FB00000000371A0000</t>
  </si>
  <si>
    <t>FWTOOLS-349 [KT CM Tool] VoLTE/IMS menu change to two.</t>
  </si>
  <si>
    <t>93B7C528E42B53479E865A53DF9698B20000D74A055F0000</t>
  </si>
  <si>
    <t>[tool][one-click] fix bug when get spkg version is none</t>
  </si>
  <si>
    <t>93B7C528E42B53479E865A53DF9698B20000D74A055E0000</t>
  </si>
  <si>
    <t>[tool][signning tool] support repare mode for SBL1</t>
  </si>
  <si>
    <t>COUGAR_Lab_1103367_9906982_AR7582_SWI9X28A_00.17.01.04_VW_TMO</t>
  </si>
  <si>
    <t>F119BFDAA76478498C2C5D9BC982B4E60000000059E40000</t>
  </si>
  <si>
    <t>[tool] fix bug for myjira.py when sku not in ticket.fields</t>
  </si>
  <si>
    <t>17E6D1164FF0B24C8021FBBD8617080F0000000021210000</t>
  </si>
  <si>
    <t>FWTOOLS-335 Factory config build tool for TAC update</t>
  </si>
  <si>
    <t>tool</t>
  </si>
  <si>
    <t>1104153_9908591_AR7584_Eland_Beta_SKU_MM_BP3.4B1-SWI9X28A_01.01.05.00-Legato18.05.0.rc5</t>
  </si>
  <si>
    <t>17E6D1164FF0B24C8021FBBD8617080F00000000211F0000</t>
  </si>
  <si>
    <t>study product</t>
  </si>
  <si>
    <t>Fiona Li</t>
  </si>
  <si>
    <t>Analysis</t>
  </si>
  <si>
    <t>Bing Huang*(14)</t>
  </si>
  <si>
    <t>1F8063A03FF2CB49A90656195695F9FB0000000037190000</t>
  </si>
  <si>
    <t xml:space="preserve">FWTOOLS-332 [CM tool] Writing new value for EF_SMSP is not allowed </t>
  </si>
  <si>
    <t>F119BFDAA76478498C2C5D9BC982B4E60000000059DE0000</t>
  </si>
  <si>
    <t>[tool][signing tool] fix signature tool runing on linux startup task can not get the .ssh key</t>
  </si>
  <si>
    <t>F119BFDAA76478498C2C5D9BC982B4E60000000059DF0000</t>
  </si>
  <si>
    <t>[tool][signing tool] fix bug when featch gerrit code failure, the jenkins job continue test</t>
  </si>
  <si>
    <t>Ben Zheng(1)</t>
  </si>
  <si>
    <t>F119BFDAA76478498C2C5D9BC982B4E60000000059E00000</t>
  </si>
  <si>
    <t>[tool][signing tool] fix bug when pyinstaller not in usr/bin</t>
  </si>
  <si>
    <t xml:space="preserve">MC7455 SKU for Airlink "RMA" </t>
  </si>
  <si>
    <t>3D68EC023EC934408492A941A20053800000000034E40000</t>
  </si>
  <si>
    <t>[OEMPRI-7725] - TEST</t>
  </si>
  <si>
    <t>Cassie Sheng(20)</t>
  </si>
  <si>
    <t>3D68EC023EC934408492A941A20053800000000034E50000</t>
  </si>
  <si>
    <t>Bing Huang(7)</t>
  </si>
  <si>
    <t>[OEMPRI-7726] - SPKG</t>
  </si>
  <si>
    <t>3D68EC023EC934408492A941A20053800000000034E70000</t>
  </si>
  <si>
    <t>[OEMPRI-7728] - SPKG</t>
  </si>
  <si>
    <t>EM/MC74xx</t>
  </si>
  <si>
    <t>3D68EC023EC934408492A941A20053800000000034E60000</t>
  </si>
  <si>
    <t>[OEMPRI-7727] - SPKG</t>
  </si>
  <si>
    <t>Keith Noble</t>
  </si>
  <si>
    <t>3D68EC023EC934408492A941A20053800000000034EA0000</t>
  </si>
  <si>
    <t>[OEMPRI-7728] - TEST</t>
  </si>
  <si>
    <t>3D68EC023EC934408492A941A20053800000000034E90000</t>
  </si>
  <si>
    <t>[OEMPRI-7727] - TEST</t>
  </si>
  <si>
    <t>3D68EC023EC934408492A941A20053800000000034E80000</t>
  </si>
  <si>
    <t>[OEMPRI-7726] - TEST</t>
  </si>
  <si>
    <t>3D68EC023EC934408492A941A20053800000000034EB0000</t>
  </si>
  <si>
    <t>[OEMPRI-7634] - TEST</t>
  </si>
  <si>
    <t>MC7430 SKU for Airlink "RMA"</t>
  </si>
  <si>
    <t>3D68EC023EC934408492A941A20053800000000034EC0000</t>
  </si>
  <si>
    <t>[OEMPRI-7634] - SPKG</t>
  </si>
  <si>
    <t>F119BFDAA76478498C2C5D9BC982B4E60000000059E30000</t>
  </si>
  <si>
    <t>[tool][signing tool] split certs to separate one</t>
  </si>
  <si>
    <t>1103963_9908155_AR7582_Eland Alpha-2_AT&amp;T_MM_BP3.1B1-SWI9X28A_01.01.01.00-Legato18.05.0.rc1</t>
  </si>
  <si>
    <t>F119BFDAA76478498C2C5D9BC982B4E60000000059E10000</t>
  </si>
  <si>
    <t>[tool][signing tool] add ubuntu64 jenkins agent as startup task</t>
  </si>
  <si>
    <t>F119BFDAA76478498C2C5D9BC982B4E60000000059E20000</t>
  </si>
  <si>
    <t>[tool][signing tool] add ubuntu32 jenkins agent as startup task</t>
  </si>
  <si>
    <t>Bilel Kefi</t>
  </si>
  <si>
    <t>MC7354, VzW PRI update to 05.05.58.05 - Single band B13 variant</t>
  </si>
  <si>
    <t>Bing Huang(11)</t>
  </si>
  <si>
    <t>3D68EC023EC934408492A941A20053800000000034E10000</t>
  </si>
  <si>
    <t>[OEMPRI-7724] - SPKG</t>
  </si>
  <si>
    <t>1104152_9908590_AR7582_Eland Beta_AT&amp;T_MM_BP3.4B1-SWI9X28A_01.01.05.00-Legato18.05.0.rc5</t>
  </si>
  <si>
    <t>3D68EC023EC934408492A941A20053800000000034E30000</t>
  </si>
  <si>
    <t>[OEMPRI-7724] - TEST</t>
  </si>
  <si>
    <t>Lares Yang(3)</t>
  </si>
  <si>
    <t>Roger Wang(30)</t>
  </si>
  <si>
    <t>3D68EC023EC934408492A941A20053800000000034E20000</t>
  </si>
  <si>
    <t>[OEMPRI-7725] - SPKG</t>
  </si>
  <si>
    <t>Davy Zhang(4)</t>
  </si>
  <si>
    <t>[Configuration][AR759x] PRI baselines to be aligned with [WP16.1B3][BP4.1B1]</t>
  </si>
  <si>
    <t>1F8063A03FF2CB49A90656195695F9FB0000000037170000</t>
  </si>
  <si>
    <t>Attend meeting and analyze KT CM tools problem</t>
  </si>
  <si>
    <t>Lares Yang(5)</t>
  </si>
  <si>
    <t>3D68EC023EC934408492A941A20053800000000034DD0000</t>
  </si>
  <si>
    <t>[One-Click][FWTOOLS-327] - PKG</t>
  </si>
  <si>
    <t>Samuel Sun(11)</t>
  </si>
  <si>
    <t>3D68EC023EC934408492A941A20053800000000034DE0000</t>
  </si>
  <si>
    <t>[One-Click][FWTOOLS-327] - TEST</t>
  </si>
  <si>
    <t xml:space="preserve">COUGAR_LANYOU_RC1.1_LeadSku_1103362_9906977_AR7586(4G/2G)_WP11.13B5(SWI9X28L_00.12.06.01)_Lanyou </t>
  </si>
  <si>
    <t>F119BFDAA76478498C2C5D9BC982B4E60000000059DD0000</t>
  </si>
  <si>
    <t>Mary Shan(7)</t>
  </si>
  <si>
    <t>[tool][One-Click] add jenkins build url to jira when jenkins start</t>
  </si>
  <si>
    <t>Ethan Guan(0)</t>
  </si>
  <si>
    <t>Joanna Xia(5)</t>
  </si>
  <si>
    <t>3D68EC023EC934408492A941A20053800000000034DF0000</t>
  </si>
  <si>
    <t>[OEMPRI-7716] - SPKG</t>
  </si>
  <si>
    <t>1103964_9908156_AR7584_Eland Alpha2 LeadSKU_MM_BP3.1B1-SWI9X28A_01.01.01.00-Legato18.05.0.rc1</t>
  </si>
  <si>
    <t>3D68EC023EC934408492A941A20053800000000034E00000</t>
  </si>
  <si>
    <t>[OEMPRI-7716] - TEST</t>
  </si>
  <si>
    <t>Mary Shan(6)</t>
  </si>
  <si>
    <t>Ethan Guan(2)</t>
  </si>
  <si>
    <t>Joanna Xia(0)</t>
  </si>
  <si>
    <t>3D68EC023EC934408492A941A20053800000000034DB0000</t>
  </si>
  <si>
    <t>[OEMPRI-7678] - TEST</t>
  </si>
  <si>
    <t xml:space="preserve">COUGAR_MM_RC2_LeadSku_1103371_9906986_AR7586(4G/2G)_WP12.1B6(SWI9X28G_00.12.06.03)_MM </t>
  </si>
  <si>
    <t>3D68EC023EC934408492A941A20053800000000034DA0000</t>
  </si>
  <si>
    <t>[OEMPRI-7678] - SPKG</t>
  </si>
  <si>
    <t>1F8063A03FF2CB49A90656195695F9FB0000000037160000</t>
  </si>
  <si>
    <t>Package and release for OEMPRI-7620</t>
  </si>
  <si>
    <t>F119BFDAA76478498C2C5D9BC982B4E60000000059D60000</t>
  </si>
  <si>
    <t>[OEMPRI-7561]-[proj#5620]-[TDN-013766]-update</t>
  </si>
  <si>
    <t xml:space="preserve">COUGAR_FICOSA_RC2_LeadSku_1103359_9906968_AR7586(4G/2G)_WP12.1B6(SWI9X28G_00.12.06.03)_Ficosa </t>
  </si>
  <si>
    <t>F119BFDAA76478498C2C5D9BC982B4E60000000059D70000</t>
  </si>
  <si>
    <t>[OEMPRI-7561]-[proj#5620]-[TDN-013766]-svt spkg and approve</t>
  </si>
  <si>
    <t>F119BFDAA76478498C2C5D9BC982B4E60000000059D90000</t>
  </si>
  <si>
    <t>[tool][One-Click] fix spelling error</t>
  </si>
  <si>
    <t xml:space="preserve">COUGAR_LANYOU_RC2_1103362_9906977_AR7586(4G/2G)_WP12.1B6(SWI9X28A_00.12.06.03)_Lanyou </t>
  </si>
  <si>
    <t>F119BFDAA76478498C2C5D9BC982B4E60000000059DA0000</t>
  </si>
  <si>
    <t>[tool][One-Click] remote copy file when no access</t>
  </si>
  <si>
    <t>F119BFDAA76478498C2C5D9BC982B4E60000000059DB0000</t>
  </si>
  <si>
    <t>[tool][One-Click] copy one-click spkg to fw-tools folder</t>
  </si>
  <si>
    <t>COUGAR VW RC2:WP12.17B4 1103367_9906982_AR7582(4G/4G)-Manufacturing MBN  +FUSE + ATT/VzW/TMO for VW SKU(AR7582)</t>
  </si>
  <si>
    <t>F119BFDAA76478498C2C5D9BC982B4E60000000059DC0000</t>
  </si>
  <si>
    <t>[tool][One-Click] auto add comments for one-click build</t>
  </si>
  <si>
    <t>3D68EC023EC934408492A941A20053800000000034D40000</t>
  </si>
  <si>
    <t xml:space="preserve">COUGAR VW RC2：WP12.17B4-1103151_9906435_AR7584(4G/4G) -Manufacturing +RUSSIA+VDF MBN + FUSE for VW SKU(AR7584) </t>
  </si>
  <si>
    <t>3D68EC023EC934408492A941A20053800000000034D30000</t>
  </si>
  <si>
    <t>3D68EC023EC934408492A941A20053800000000034D60000</t>
  </si>
  <si>
    <t>[OEMPRI-7659] - SPKG</t>
  </si>
  <si>
    <t>3D68EC023EC934408492A941A20053800000000034D80000</t>
  </si>
  <si>
    <t>[OEMPRI-7658] - SPKG</t>
  </si>
  <si>
    <t>[AR7598] 1103211_9906625_VW_SWI9X40A_01.17.00.00</t>
  </si>
  <si>
    <t>3D68EC023EC934408492A941A20053800000000034D70000</t>
  </si>
  <si>
    <t>[OEMPRI-7659] - TEST</t>
  </si>
  <si>
    <t>3D68EC023EC934408492A941A20053800000000034D90000</t>
  </si>
  <si>
    <t>[OEMPRI-7658] - TEST</t>
  </si>
  <si>
    <t>AR7552 SPKG for PASA MY19 SOP1 with MR3 + 1103493 + New TAC</t>
  </si>
  <si>
    <t>AR755x</t>
  </si>
  <si>
    <t>F119BFDAA76478498C2C5D9BC982B4E60000000059D10000</t>
  </si>
  <si>
    <t>[OEMPRI-7559]-[proj#5618]-[TDN-013799]-log confirm</t>
  </si>
  <si>
    <t>Frederic De Graeve</t>
  </si>
  <si>
    <t>Stone Li(21)</t>
  </si>
  <si>
    <t>F119BFDAA76478498C2C5D9BC982B4E60000000059CA0000</t>
  </si>
  <si>
    <t>[OEMPRI-7460]-[proj#5674]-[TDN-013825]-svt spkg and approve</t>
  </si>
  <si>
    <t>F119BFDAA76478498C2C5D9BC982B4E60000000059CD0000</t>
  </si>
  <si>
    <t>[OEMPRI-7556]-[proj#5619]-[TDN-013800]-svt spkg and approve</t>
  </si>
  <si>
    <t>F119BFDAA76478498C2C5D9BC982B4E60000000059CF0000</t>
  </si>
  <si>
    <t>[OEMPRI-7559]-[proj#5618]-[TDN-013799]-update</t>
  </si>
  <si>
    <t>1103964_9908156_AR7584_Eland Alpha2 LeadSKU_MM_BP3.0B1-SWI9X28A_01.01.00.00-Legato18.04.0</t>
  </si>
  <si>
    <t>F119BFDAA76478498C2C5D9BC982B4E60000000059D00000</t>
  </si>
  <si>
    <t>[OEMPRI-7559]-[proj#5618]-[TDN-013799]-svt spkg and approve</t>
  </si>
  <si>
    <t>F119BFDAA76478498C2C5D9BC982B4E60000000059D30000</t>
  </si>
  <si>
    <t>[tool][One-Click] fix select mbn error after upgrade(add unlock)</t>
  </si>
  <si>
    <t>F119BFDAA76478498C2C5D9BC982B4E60000000059D40000</t>
  </si>
  <si>
    <t>[tool][One-Click] fix pre cmd not in xml</t>
  </si>
  <si>
    <t>F119BFDAA76478498C2C5D9BC982B4E60000000059D50000</t>
  </si>
  <si>
    <t>[tool][One-Click] fix unexpected report when insert sim card</t>
  </si>
  <si>
    <t>Joe Liu(0)</t>
  </si>
  <si>
    <t>3D68EC023EC934408492A941A20053800000000034D50000</t>
  </si>
  <si>
    <t>[FWTOOLS-316] - OneClick</t>
  </si>
  <si>
    <t>F119BFDAA76478498C2C5D9BC982B4E60000000059C80000</t>
  </si>
  <si>
    <t>seperate none cfg from spkg</t>
  </si>
  <si>
    <t>F119BFDAA76478498C2C5D9BC982B4E60000000059CC0000</t>
  </si>
  <si>
    <t>[OEMPRI-7556]-[proj#5619]-[TDN-013800]-update</t>
  </si>
  <si>
    <t>CLONE - [AR7592-1] 1103210_9906623_VW_WP15.10B2</t>
  </si>
  <si>
    <t>F119BFDAA76478498C2C5D9BC982B4E60000000059C90000</t>
  </si>
  <si>
    <t>[OEMPRI-7460]-[proj#5674]-[TDN-013825]-update</t>
  </si>
  <si>
    <t>F119BFDAA76478498C2C5D9BC982B4E60000000059D20000</t>
  </si>
  <si>
    <t>[tool][One-Click] fix utf8 character in at command</t>
  </si>
  <si>
    <t>3D68EC023EC934408492A941A20053800000000034D10000</t>
  </si>
  <si>
    <t>CLONE - [AR7596]1103207_9906620_VW_WP15.10B2</t>
  </si>
  <si>
    <t>[OEMPRI-7635] - SPKG</t>
  </si>
  <si>
    <t>3D68EC023EC934408492A941A20053800000000034D20000</t>
  </si>
  <si>
    <t>[OEMPRI-7635] - TEST</t>
  </si>
  <si>
    <t>1F8063A03FF2CB49A90656195695F9FB0000000037150000</t>
  </si>
  <si>
    <t>1103993_9908133_AR7594_VW_EMU_BP4.1B1_lead_package</t>
  </si>
  <si>
    <t>FWTOOLS-289 dm-logger.py to support USB interface</t>
  </si>
  <si>
    <t>F119BFDAA76478498C2C5D9BC982B4E60000000059600000</t>
  </si>
  <si>
    <t>[OEMPRI-6427]-[proj#5206]-[ECO-024840]-log confirm</t>
  </si>
  <si>
    <t>F119BFDAA76478498C2C5D9BC982B4E60000000059B90000</t>
  </si>
  <si>
    <t>[OEMPRI-7289]-[proj#5595]-[ECO-027284]-log confirm</t>
  </si>
  <si>
    <t>[AR7594] 1103204_9906619_VW_WP16.1B3 lead package</t>
  </si>
  <si>
    <t>F119BFDAA76478498C2C5D9BC982B4E60000000059C70000</t>
  </si>
  <si>
    <t>PRI for SKU 1102626 WP14.1.2 007-009 - rebuild due to build script (v1.46) error</t>
  </si>
  <si>
    <t>[OEMPRI-7183]-[proj#5507]-[ECO-027182]-log confirm</t>
  </si>
  <si>
    <t>F119BFDAA76478498C2C5D9BC982B4E60000000059BC0000</t>
  </si>
  <si>
    <t>[OEMPRI-7453]-[proj#5667]-[TDN-013741]-log confirm</t>
  </si>
  <si>
    <t>F119BFDAA76478498C2C5D9BC982B4E60000000026F20000</t>
  </si>
  <si>
    <t>[OEMPRI-5704]-[proj#4937]-[TDN-012945]-log confirm</t>
  </si>
  <si>
    <t>AR8652 1103794-007.002 PRI for WP20.2 - rebuild due to build script (v1.46) error</t>
  </si>
  <si>
    <t>1F8063A03FF2CB49A90656195695F9FB0000000037100000</t>
  </si>
  <si>
    <t>FWTOOLS-237 [KT CM Tool] Support Debug Screen</t>
  </si>
  <si>
    <t>3D68EC023EC934408492A941A20053800000000034CB0000</t>
  </si>
  <si>
    <t>[OEMPRI-7583] - SPKG</t>
  </si>
  <si>
    <t>[AR7598]1103211_9906625_GCF package for WP15.10B2</t>
  </si>
  <si>
    <t>3D68EC023EC934408492A941A20053800000000034CC0000</t>
  </si>
  <si>
    <t>[OEMPRI-7583] - TEST</t>
  </si>
  <si>
    <t>3D68EC023EC934408492A941A20053800000000034CE0000</t>
  </si>
  <si>
    <t>[FWTOOLS-308] - OCT generate</t>
  </si>
  <si>
    <t>3D68EC023EC934408492A941A20053800000000034CD0000</t>
  </si>
  <si>
    <t xml:space="preserve">[AR7592-1]_Lab_1103210_9906623_VW_SWI9X40A_01.17.00.00 </t>
  </si>
  <si>
    <t>[FWTOOLS-307] - OCT generate</t>
  </si>
  <si>
    <t>3D68EC023EC934408492A941A20053800000000034CF0000</t>
  </si>
  <si>
    <t>[FWTOOLS-307] - OCT test</t>
  </si>
  <si>
    <t>3D68EC023EC934408492A941A20053800000000034D00000</t>
  </si>
  <si>
    <t>[FWTOOLS-308] - OCT test</t>
  </si>
  <si>
    <t xml:space="preserve">AR8652 1103794 new SPKG (unsigned, factory TDN) for WP20.2.1 </t>
  </si>
  <si>
    <t>1F8063A03FF2CB49A90656195695F9FB0000000037130000</t>
  </si>
  <si>
    <t>FWTOOLS-306 [KT CM Tool] When try to set some VOLTE/IMS value. The tool is stopped working.</t>
  </si>
  <si>
    <t>BIng Huang(0)</t>
  </si>
  <si>
    <t>1F8063A03FF2CB49A90656195695F9FB0000000037140000</t>
  </si>
  <si>
    <t>FWTOOLS-311 [KT CM Tool] "Connect the KT tool , power off /on the module again, when the warning message pop up ,don’t click “OK” immediate and wait for a moment . FWTOOLS-311 [KT CM Tool] Connect the KT tool , power off /on the module again.</t>
  </si>
  <si>
    <t>3D68EC023EC934408492A941A20053800000000034DC0000</t>
  </si>
  <si>
    <t>[FWTOOLS][One Click] - Auto Build Script Templete</t>
  </si>
  <si>
    <t>F119BFDAA76478498C2C5D9BC982B4E600000000595F0000</t>
  </si>
  <si>
    <t>[OEMPRI-6427]-[proj#5206]-[ECO-024840]-svt spkg and approve</t>
  </si>
  <si>
    <t>1F8063A03FF2CB49A90656195695F9FB00000000370E0000</t>
  </si>
  <si>
    <t>COUGAR VW RC2:WP12.18B4 1103367_9906982_AR7582(4G/4G)-Manufacturing MBN  +FUSE + ATT/VzW/TMO for VW SKU(AR7582)</t>
  </si>
  <si>
    <t>FWTOOLS-299 [KT CM TOOL] Pop up windows ""service registration is failed, if it persists after rebooting, then contact the service center" is displayed</t>
  </si>
  <si>
    <t>1F8063A03FF2CB49A90656195695F9FB0000000037110000</t>
  </si>
  <si>
    <t>FWTOOLS-305 Pull out the SIM, the information dailog has no button to close this window.</t>
  </si>
  <si>
    <t>1F8063A03FF2CB49A90656195695F9FB0000000037120000</t>
  </si>
  <si>
    <t xml:space="preserve">FWTOOLS-237 [KT CM Tool] When try to change the modem. The tool is stopped working. </t>
  </si>
  <si>
    <t>3D68EC023EC934408492A941A20053800000000034C90000</t>
  </si>
  <si>
    <t>[OEMPRI-7542] - SPKG</t>
  </si>
  <si>
    <t>Roger Wang(29)</t>
  </si>
  <si>
    <t>3D68EC023EC934408492A941A20053800000000034CA0000</t>
  </si>
  <si>
    <t>[OEMPRI-7542] - TEST</t>
  </si>
  <si>
    <t>1F8063A03FF2CB49A90656195695F9FB00000000370F0000</t>
  </si>
  <si>
    <t>FWTOOLS-300 [KT CM Tool] Bug fix for reset and unlock function.</t>
  </si>
  <si>
    <t>3D68EC023EC934408492A941A20053800000000034C70000</t>
  </si>
  <si>
    <t>[OEMPRI-7523] - SPKG</t>
  </si>
  <si>
    <t>1103223_9906693_AR7586(4G/4G)_RC2(00.17.04.00)_VW_CMCC_CU</t>
  </si>
  <si>
    <t>3D68EC023EC934408492A941A20053800000000034C80000</t>
  </si>
  <si>
    <t>[OEMPRI-7523] - TEST</t>
  </si>
  <si>
    <t>F119BFDAA76478498C2C5D9BC982B4E60000000059C60000</t>
  </si>
  <si>
    <t>[OEMPRI-7183]-[proj#5507]-[ECO-027182]-svt spkg and approve</t>
  </si>
  <si>
    <t>3D68EC023EC934408492A941A20053800000000034C40000</t>
  </si>
  <si>
    <t>Cougar-RC2-WP12.18B4 :LeadSKU 1103223_9906693_AR7586(4G/4G)--Manufacturing MBN+FUSE for VW SKU(AR7586)</t>
  </si>
  <si>
    <t>[OEMPRI-7520] - SPKG</t>
  </si>
  <si>
    <t>3D68EC023EC934408492A941A20053800000000034C50000</t>
  </si>
  <si>
    <t>[OEMPRI-7520] - TEST</t>
  </si>
  <si>
    <t>1103992_9908132_AR7592_EMU_BETA_VW</t>
  </si>
  <si>
    <t>3D68EC023EC934408492A941A20053800000000034C60000</t>
  </si>
  <si>
    <t>CCB</t>
  </si>
  <si>
    <t>[Jenkins][PRI-Test-Report] - PRI Sanity report auto produce after Test process runtime successful.</t>
  </si>
  <si>
    <t>F119BFDAA76478498C2C5D9BC982B4E60000000059B20000</t>
  </si>
  <si>
    <t>[OEMPRI-7204]-[proj#5341]-[TDN-013460]-log confirm</t>
  </si>
  <si>
    <t>F119BFDAA76478498C2C5D9BC982B4E60000000059B50000</t>
  </si>
  <si>
    <t>[OEMPRI-7216]-[proj#5343]-[TDN-013462]-log confirm</t>
  </si>
  <si>
    <t>F119BFDAA76478498C2C5D9BC982B4E60000000059C50000</t>
  </si>
  <si>
    <t>[OEMPRI-7183]-[proj#5507]-[ECO-027182]-update</t>
  </si>
  <si>
    <t>Cougar-VW-RC2-WP12.17B4 :LeadSKU 1103223_9906693_AR7586(4G/4G)--Manufacturing MBN+FUSE for VW SKU(AR7586)</t>
  </si>
  <si>
    <t>1F8063A03FF2CB49A90656195695F9FB00000000370D0000</t>
  </si>
  <si>
    <t>FWTOOLS-298 [KT CM Tool] Bug fix for PIN1 function and RSSI.</t>
  </si>
  <si>
    <t>F119BFDAA76478498C2C5D9BC982B4E60000000059BF0000</t>
  </si>
  <si>
    <t>[OEMPRI-7400]-[proj#5668]-[TDN-013742]-log confirm</t>
  </si>
  <si>
    <t>Bing Huang(33)</t>
  </si>
  <si>
    <t>COUGAR-RC2:WP12.18B4: 1103151_9906435_AR7584(4G/4G) -Manufacturing +RUSSIA+VDF MBN + FUSE for VW SKU(AR7584)</t>
  </si>
  <si>
    <t>F119BFDAA76478498C2C5D9BC982B4E60000000059BA0000</t>
  </si>
  <si>
    <t>[OEMPRI-7453]-[proj#5667]-[TDN-013741]-update</t>
  </si>
  <si>
    <t>F119BFDAA76478498C2C5D9BC982B4E60000000059BB0000</t>
  </si>
  <si>
    <t>[OEMPRI-7453]-[proj#5667]-[TDN-013741]-svt spkg and approve</t>
  </si>
  <si>
    <t>Bing Huang(34)</t>
  </si>
  <si>
    <t>F119BFDAA76478498C2C5D9BC982B4E60000000059BD0000</t>
  </si>
  <si>
    <t>[OEMPRI-7400]-[proj#5668]-[TDN-013742]-update</t>
  </si>
  <si>
    <t>F119BFDAA76478498C2C5D9BC982B4E60000000059BE0000</t>
  </si>
  <si>
    <t>[OEMPRI-7400]-[proj#5668]-[TDN-013742]-svt spkg and approve</t>
  </si>
  <si>
    <t>F119BFDAA76478498C2C5D9BC982B4E60000000059C30000</t>
  </si>
  <si>
    <t>[tool]one-click upgrade tool support one-click.exe as base version to test</t>
  </si>
  <si>
    <t>F119BFDAA76478498C2C5D9BC982B4E60000000059C40000</t>
  </si>
  <si>
    <t>[AR7598] 1103211_9906625_VW_WP15.10B2</t>
  </si>
  <si>
    <t>[tool]one-click upgrade tool support .spk as base version to test</t>
  </si>
  <si>
    <t>Davy Zhang*(15)</t>
  </si>
  <si>
    <t>3D68EC023EC934408492A941A20053800000000034C00000</t>
  </si>
  <si>
    <t>[OEMPRI-7484] - SPKG</t>
  </si>
  <si>
    <t>[AR7596]1103207_9906620_VW_WP15.10B2</t>
  </si>
  <si>
    <t>3D68EC023EC934408492A941A20053800000000034C20000</t>
  </si>
  <si>
    <t>[OEMPRI-7484] - TEST</t>
  </si>
  <si>
    <t>3D68EC023EC934408492A941A20053800000000034C10000</t>
  </si>
  <si>
    <t>[OEMPRI-7485] - SPKG</t>
  </si>
  <si>
    <t>3D68EC023EC934408492A941A20053800000000034C30000</t>
  </si>
  <si>
    <t>[OEMPRI-7485] - TEST</t>
  </si>
  <si>
    <t>[AR7592-1] 1103210_9906623_VW_WP15.10B2</t>
  </si>
  <si>
    <t>1F8063A03FF2CB49A90656195695F9FB00000000370B0000</t>
  </si>
  <si>
    <t>[FWTOOLS-294]change the CM tool version to 0.2.0.0.</t>
  </si>
  <si>
    <t>Roger Wang(3)</t>
  </si>
  <si>
    <t>1F8063A03FF2CB49A90656195695F9FB00000000370C0000</t>
  </si>
  <si>
    <t xml:space="preserve"> [FWTOOLS-230][KT CM Tool] Support to set/get Band Selection</t>
  </si>
  <si>
    <t xml:space="preserve">[AR7592-1]_Lab_1103210_9906623_VW_SWI9X40A_01.06.03.01 </t>
  </si>
  <si>
    <t>F119BFDAA76478498C2C5D9BC982B4E60000000059C10000</t>
  </si>
  <si>
    <t>[tool]one-click upgrade tool support multiple model in one Node</t>
  </si>
  <si>
    <t>Lares Yang(12)</t>
  </si>
  <si>
    <t>Lolly Cao(16)</t>
  </si>
  <si>
    <t>F119BFDAA76478498C2C5D9BC982B4E60000000059C20000</t>
  </si>
  <si>
    <t>[tool]one-click upgrade tool support jenkins on line</t>
  </si>
  <si>
    <t>Samuel Sun(4)</t>
  </si>
  <si>
    <t>F119BFDAA76478498C2C5D9BC982B4E60000000059C00000</t>
  </si>
  <si>
    <t>[tool]one-click upgrade tool support preCmd and PostCmd in command line</t>
  </si>
  <si>
    <t>F119BFDAA76478498C2C5D9BC982B4E60000000059B80000</t>
  </si>
  <si>
    <t>[OEMPRI-7289]-[proj#5595]-[ECO-027284]-svt spkg and approve</t>
  </si>
  <si>
    <t>Pre-RC2-1103367_9906982_AR7582(4G/4G)-Manufacturing MBN +FUSE + ATT/VzW/TMO for VW SKU(AR7582</t>
  </si>
  <si>
    <t>3D68EC023EC934408492A941A20053800000000034BD0000</t>
  </si>
  <si>
    <t>[OEMPRI-7472] - SPKG</t>
  </si>
  <si>
    <t>3D68EC023EC934408492A941A20053800000000034BE0000</t>
  </si>
  <si>
    <t>[OEMPRI-7472] - TEST</t>
  </si>
  <si>
    <t>3D68EC023EC934408492A941A20053800000000034BF0000</t>
  </si>
  <si>
    <t>[AR7598][VDF][CERT] - OneClickTool</t>
  </si>
  <si>
    <t>Package, Test</t>
  </si>
  <si>
    <t>93B7C528E42B53479E865A53DF9698B20000BC98A3EB0000</t>
  </si>
  <si>
    <t>MC7354 FOTA for VZW Doc review</t>
  </si>
  <si>
    <t>Stone Li(35)</t>
  </si>
  <si>
    <t>3D68EC023EC934408492A941A20053800000000034B30000</t>
  </si>
  <si>
    <t>[OEMPRI-7435] - TEST</t>
  </si>
  <si>
    <t>3D68EC023EC934408492A941A20053800000000034B20000</t>
  </si>
  <si>
    <t>[OEMPRI-7435] - SPKG</t>
  </si>
  <si>
    <t>3D68EC023EC934408492A941A20053800000000034B40000</t>
  </si>
  <si>
    <t>Pre-RC2--1103494_9907253_AR7588(4G/4G)-Manufacturing MBN +ROW +FUSE for VW SKU(AR7588)-</t>
  </si>
  <si>
    <t>[AR7598][TELSTRA] - Sample preparation</t>
  </si>
  <si>
    <t>F119BFDAA76478498C2C5D9BC982B4E60000000059B70000</t>
  </si>
  <si>
    <t>[OEMPRI-7289]-[proj#5595]-[ECO-027284]-update</t>
  </si>
  <si>
    <t>1F8063A03FF2CB49A90656195695F9FB00000000370A0000</t>
  </si>
  <si>
    <t>[MBN Naming] align all MBN carrier name with 9x28 and 9x40</t>
  </si>
  <si>
    <t>[FWTOOLS-244]support to unlock modem before read/write EFS for IMS settings</t>
  </si>
  <si>
    <t>3D68EC023EC934408492A941A20053800000000034B50000</t>
  </si>
  <si>
    <t>[OEMPRI-7458] - SPKG</t>
  </si>
  <si>
    <t>3D68EC023EC934408492A941A20053800000000034B60000</t>
  </si>
  <si>
    <t>[OEMPRI-7458] - TEST</t>
  </si>
  <si>
    <t>[Configuration][AR759x] PRI baselines to be aligned with [WP15.10B2]</t>
  </si>
  <si>
    <t>3D68EC023EC934408492A941A20053800000000034B80000</t>
  </si>
  <si>
    <t>[OEMPRI-7459] - TEST</t>
  </si>
  <si>
    <t>3D68EC023EC934408492A941A20053800000000034B70000</t>
  </si>
  <si>
    <t>[OEMPRI-7459] - SPKG</t>
  </si>
  <si>
    <t>3D68EC023EC934408492A941A20053800000000034BA0000</t>
  </si>
  <si>
    <t>[OEMPRI-7460] - TEST</t>
  </si>
  <si>
    <t>1103964_9908156_AR7584_Eland Alpha2 LeadSKU_MM_BP2.6B1-SWI9X28A_01.00.33.00-Legato18.03.0</t>
  </si>
  <si>
    <t>Roger Wang(7)</t>
  </si>
  <si>
    <t>3D68EC023EC934408492A941A20053800000000034B90000</t>
  </si>
  <si>
    <t>[OEMPRI-7460] - SPKG</t>
  </si>
  <si>
    <t>3D68EC023EC934408492A941A20053800000000034BC0000</t>
  </si>
  <si>
    <t>[OEMPRI-7342] - TEST</t>
  </si>
  <si>
    <t>Cougar-RC2-WP12.16B4:LeadSKU 1103223_9906693_AR7586(4G/4G)--Manufacturing MBN+FUSE for VW SKU(AR7586)</t>
  </si>
  <si>
    <t>616E22C5EC93AF48B41E5A76D1E7552200007E9206360000</t>
  </si>
  <si>
    <t>Meetting [AR7598][KT][LTE][Incorrect featureGroupIndicators</t>
  </si>
  <si>
    <t>93B7C528E42B53479E865A53DF9698B20000BC98A3DE0000</t>
  </si>
  <si>
    <t>[Configuration][AR758x] Update PRI baseline with for [WP12.16B4][SWI9X28A_00.17.03.00]</t>
  </si>
  <si>
    <t>Carrier MCC/MNC list</t>
  </si>
  <si>
    <t>F119BFDAA76478498C2C5D9BC982B4E60000000059AC0000</t>
  </si>
  <si>
    <t>[OEMPRI-7199]-[proj#5340]-[TDN-013459]-log confirm</t>
  </si>
  <si>
    <t>F119BFDAA76478498C2C5D9BC982B4E60000000059AF0000</t>
  </si>
  <si>
    <t>[OEMPRI-7316]-[proj#5342]-[TDN-013461]-log confirm</t>
  </si>
  <si>
    <t>Add Cougar-2635:Pre-RC2:LeadSKU 1103223_9906693_AR7586(4G/4G)--Manufacturing MBN+ROW +FUSE for VW SKU(AR7586)</t>
  </si>
  <si>
    <t>3D68EC023EC934408492A941A20053800000000034AD0000</t>
  </si>
  <si>
    <t>[OEMPRI-7384] -SPKG</t>
  </si>
  <si>
    <t>3D68EC023EC934408492A941A20053800000000034B00000</t>
  </si>
  <si>
    <t>[OEMPRI-7385] - TEST</t>
  </si>
  <si>
    <t>[AR7594] 1103204_9906619_VW_WP15.10B2 lead package</t>
  </si>
  <si>
    <t>3D68EC023EC934408492A941A20053800000000034AF0000</t>
  </si>
  <si>
    <t>[OEMPRI-7385] - SPKG</t>
  </si>
  <si>
    <t>3D68EC023EC934408492A941A20053800000000034AE0000</t>
  </si>
  <si>
    <t>[OEMPRI-7384] - TEST</t>
  </si>
  <si>
    <t xml:space="preserve">COUGAR_Lab_1103367_9906982_AR7582_SWI9X28A_00.17.01.01_VW </t>
  </si>
  <si>
    <t>3D68EC023EC934408492A941A20053800000000034B10000</t>
  </si>
  <si>
    <t>[OEMPRI-7454][One-Click][1103151][AR7584] - VODAFONE-GERMANY</t>
  </si>
  <si>
    <t>93B7C528E42B53479E865A53DF9698B20000BC98A3E60000</t>
  </si>
  <si>
    <t>OEMPRI-7383 cross check and Release Note</t>
  </si>
  <si>
    <t>[SL8080BT]SKU#1104092,ZIV,GENERIC,R7.54.14.A1/EXT AT,OPEN AT,AVMS,SWIR IMEI,UART+USB=115200 BDS,SL8 RD</t>
  </si>
  <si>
    <t>F119BFDAA76478498C2C5D9BC982B4E600000000598C0000</t>
  </si>
  <si>
    <t>[OEMPRI-6971]-[proj#5378]-[TDN-013469]-log confirm</t>
  </si>
  <si>
    <t>3D68EC023EC934408492A941A20053800000000034A60000</t>
  </si>
  <si>
    <t>[OEMPRI-7394] - SPKG</t>
  </si>
  <si>
    <t>3D68EC023EC934408492A941A20053800000000034A70000</t>
  </si>
  <si>
    <t>[OEMPRI-7394] - TEST</t>
  </si>
  <si>
    <t>1103964_9908156_AR7584_Eland Alpha2 LeadSKU_MM_BP2.4B1-SWI9X28A_01.00.31.00-Legato18.03.0</t>
  </si>
  <si>
    <t>1F8063A03FF2CB49A90656195695F9FB0000000037090000</t>
  </si>
  <si>
    <t>[FWTOOLS-254]RTP timer setting functions UE enters the engineer menu - VoLTE setting to check/set VoLTE RTP timer</t>
  </si>
  <si>
    <t>3D68EC023EC934408492A941A20053800000000034AB0000</t>
  </si>
  <si>
    <t>[OEMPRI-7383] - SPKG</t>
  </si>
  <si>
    <t>Ethan Guan(19)</t>
  </si>
  <si>
    <t>1103965_9908157_AR7586_Eland Alpha 2_China Unicom_MM_BP2.6B1-SWI9X28A_01.00.33.00-Legato18.03.0</t>
  </si>
  <si>
    <t>3D68EC023EC934408492A941A20053800000000034AA0000</t>
  </si>
  <si>
    <t>OEMPRI-7430-ar758x-WP13.5B4-SWI9X28A_00.18.03.00</t>
  </si>
  <si>
    <t>3D68EC023EC934408492A941A20053800000000034AC0000</t>
  </si>
  <si>
    <t>[OEMPRI-7383] - TEST</t>
  </si>
  <si>
    <t>Bing Huang(22)</t>
  </si>
  <si>
    <t>93B7C528E42B53479E865A53DF9698B20000BC98A3E70000</t>
  </si>
  <si>
    <t>1103963_9908155_AR7582_Eland Alpha-2_AT&amp;T_MM_BP2.6B1-SWI9X28A_01.00.33.00-Legato18.03.0</t>
  </si>
  <si>
    <t>OEMPRI-7430 [Configuration][AR758x] Update PRI baseline with for [WP13.5B4][SWI9X28A_00.18.03.00]</t>
  </si>
  <si>
    <t>Bing Huang,Lares Yang</t>
  </si>
  <si>
    <t>Hugh Yao(14)</t>
  </si>
  <si>
    <t>3D68EC023EC934408492A941A20053800000000034A00000</t>
  </si>
  <si>
    <t>[OEMPRI-7391] - SPKG</t>
  </si>
  <si>
    <t>3D68EC023EC934408492A941A20053800000000034A10000</t>
  </si>
  <si>
    <t>[OEMPRI-7393] - SPKG</t>
  </si>
  <si>
    <t>1103998_9908146_AR8582_Eland Alpha2_MM_BP2.6B1-SWI9X28A_01.00.33.00-Legato18.03.0</t>
  </si>
  <si>
    <t>Hugh Yao(19)</t>
  </si>
  <si>
    <t>3D68EC023EC934408492A941A20053800000000034A30000</t>
  </si>
  <si>
    <t>[OEMPRI-7393] - TEST</t>
  </si>
  <si>
    <t>3D68EC023EC934408492A941A20053800000000034A20000</t>
  </si>
  <si>
    <t>[OEMPRI-7391] - TEST</t>
  </si>
  <si>
    <t>Davy Zhang(12)</t>
  </si>
  <si>
    <t>CLONE - [Configuration][AR759x] PRI baselines to be aligned with [WP15.8B2][BP3.2B1]</t>
  </si>
  <si>
    <t>3D68EC023EC934408492A941A20053800000000034A40000</t>
  </si>
  <si>
    <t>[OEMPRI-7411] - SPKG</t>
  </si>
  <si>
    <t>3D68EC023EC934408492A941A20053800000000034A50000</t>
  </si>
  <si>
    <t>[OEMPRI-7411] - TEST</t>
  </si>
  <si>
    <t>COUGAR RC2 Risk Release:LeadSKU 1103223_9906693_AR7586(4G/4G)--Manufacturing MBN+ROW +FUSE for VW SKU(AR7586)</t>
  </si>
  <si>
    <t>1F8063A03FF2CB49A90656195695F9FB0000000037040000</t>
  </si>
  <si>
    <t>Lares Yang(4)</t>
  </si>
  <si>
    <t>[FWTOOLS-273][KT CM Tool] VoLTE/IMS SIP TIMER Editors Implementation.</t>
  </si>
  <si>
    <t>Hugh Yao(30)</t>
  </si>
  <si>
    <t>1F8063A03FF2CB49A90656195695F9FB0000000037050000</t>
  </si>
  <si>
    <t>[FWTOOLS-274][KT CM Tool] VoLTE/IMS Subscriber Timer Editor Implementation.</t>
  </si>
  <si>
    <t>1F8063A03FF2CB49A90656195695F9FB0000000037060000</t>
  </si>
  <si>
    <t>Bing Huang(21)</t>
  </si>
  <si>
    <t>[FWTOOLS-275][KT CM Tool] VoLTE/IMS Reg Expires Editor Implementation.</t>
  </si>
  <si>
    <t>Pre-RC2:1103151_9906435_AR7584(4G/4G) -Manufacturing +RUSSIA+VDF MBN + FUSE for VW SKU(AR7584)</t>
  </si>
  <si>
    <t>1F8063A03FF2CB49A90656195695F9FB0000000037070000</t>
  </si>
  <si>
    <t>[FWTOOLS-276][KT CM Tool] VoLTE/IMS Keep_Alive_Enabled Editor Implementation.</t>
  </si>
  <si>
    <t>1F8063A03FF2CB49A90656195695F9FB0000000037080000</t>
  </si>
  <si>
    <t>[FWTOOLS-277][KT CM Tool] VoLTE/IMS Audio Codec Mode Implementation.</t>
  </si>
  <si>
    <t>93B7C528E42B53479E865A53DF9698B20000BC98A3E50000</t>
  </si>
  <si>
    <t>[AR7594] 1103204_9906619_VW_WP15.8B2 lead package</t>
  </si>
  <si>
    <t>FWTOOLS-266 Magneti Marelli | Signature tool RSA2048 signed image verification failure</t>
  </si>
  <si>
    <t>Test, Tool</t>
  </si>
  <si>
    <t>Hugh Yao(52)</t>
  </si>
  <si>
    <t>F119BFDAA76478498C2C5D9BC982B4E60000000059A60000</t>
  </si>
  <si>
    <t>[tool] dm-logger support dm port in linux</t>
  </si>
  <si>
    <t>F119BFDAA76478498C2C5D9BC982B4E60000000059B60000</t>
  </si>
  <si>
    <t>[tool]signature tool support dual cert one time</t>
  </si>
  <si>
    <t>1103964_9908156_AR7584_Eland LeadSKU_MM_BP2.2B1-SWI9X28A_01.00.29.00-Legato18.03.0</t>
  </si>
  <si>
    <t>F119BFDAA76478498C2C5D9BC982B4E60000000059B10000</t>
  </si>
  <si>
    <t>[OEMPRI-7204]-[proj#5341]-[TDN-013460]-svt spkg and approve</t>
  </si>
  <si>
    <t>F119BFDAA76478498C2C5D9BC982B4E60000000059B40000</t>
  </si>
  <si>
    <t>[OEMPRI-7216]-[proj#5343]-[TDN-013462]-svt spkg and approve</t>
  </si>
  <si>
    <t>Update PRI for SKU 1102626 WP14.1.2 007-009 with config yield improvements</t>
  </si>
  <si>
    <t>3D68EC023EC934408492A941A200538000000000349A0000</t>
  </si>
  <si>
    <t>[OEMPRI-7382] - SPKG</t>
  </si>
  <si>
    <t>3D68EC023EC934408492A941A200538000000000349B0000</t>
  </si>
  <si>
    <t>[OEMPRI-7382] - TEST</t>
  </si>
  <si>
    <t>3D68EC023EC934408492A941A200538000000000349C0000</t>
  </si>
  <si>
    <t>[OEMPRI-7287] - SPKG</t>
  </si>
  <si>
    <t>3D68EC023EC934408492A941A200538000000000349D0000</t>
  </si>
  <si>
    <t>[OEMPRI-7287] - TEST</t>
  </si>
  <si>
    <t>[AR7592-1] 1103210_9906623_VW_WP15.7B2</t>
  </si>
  <si>
    <t>Reviewed</t>
  </si>
  <si>
    <t>3D68EC023EC934408492A941A200538000000000349E0000</t>
  </si>
  <si>
    <t>[AR7598-TN-TELSTRA] - Sample preparition</t>
  </si>
  <si>
    <t>3D68EC023EC934408492A941A200538000000000349F0000</t>
  </si>
  <si>
    <t>[AR7594 VDF] - One-Click tool</t>
  </si>
  <si>
    <t>Bing Huang(17)</t>
  </si>
  <si>
    <t>[Configuration][AR759x] PRI baselines to be aligned with [WP15.7B2][BP3.1B1]</t>
  </si>
  <si>
    <t>3D68EC023EC934408492A941A20053800000000034A80000</t>
  </si>
  <si>
    <t>[OEMPRI-7362] - [Configuration][AR758x] Update PRI baseline with for [WP13.2B4][SWI9X28A_00.17.08.00]</t>
  </si>
  <si>
    <t>Mary Shan(11)</t>
  </si>
  <si>
    <t>1F8063A03FF2CB49A90656195695F9FB0000000037020000</t>
  </si>
  <si>
    <t>[FWTOOLS-271] [KT CM Tool] VoLTE/IMS SIP port Editor Implementation.</t>
  </si>
  <si>
    <t>1F8063A03FF2CB49A90656195695F9FB0000000037030000</t>
  </si>
  <si>
    <t>Stone Li(17)</t>
  </si>
  <si>
    <t>[FWTOOLS-272][KT CM Tool] VoLTE/IMS Register Algorithm button Implementation.</t>
  </si>
  <si>
    <t xml:space="preserve">COUGAR_Lab_1103367_9906982_AR7582_SWI9X28A_00.15.04.00_VW </t>
  </si>
  <si>
    <t>616E22C5EC93AF48B41E5A76D1E7552200007E9206330000</t>
  </si>
  <si>
    <t>OEMPRI-7287 [AR7598] 1103211_9906625_VW_SWI9X40A_01.18.01.00 MBN for KT</t>
  </si>
  <si>
    <t>NVUP</t>
  </si>
  <si>
    <t>616E22C5EC93AF48B41E5A76D1E7552200007E9206340000</t>
  </si>
  <si>
    <t>FWTOOLS-261: recoveryimggen test</t>
  </si>
  <si>
    <t>Samuel Sun(5)</t>
  </si>
  <si>
    <t>[AR7594] 1103204_9906619_VW_WP15.7B2 lead package</t>
  </si>
  <si>
    <t>616E22C5EC93AF48B41E5A76D1E7552200007E9206320000</t>
  </si>
  <si>
    <t>FWTOOLS-261: recoveryimggen release note</t>
  </si>
  <si>
    <t>616E22C5EC93AF48B41E5A76D1E7552200007E9206370000</t>
  </si>
  <si>
    <t>OEMPRI-7382 1103964_9908156_AR7584_Eland_Beta_LeadSKU_MM_BP3.3B1-SWI9X28A_01.01.05.00-Legato18.05.0.rc4</t>
  </si>
  <si>
    <t>F119BFDAA76478498C2C5D9BC982B4E600000000598A0000</t>
  </si>
  <si>
    <t>MC7354,1103925,Proj#4356 SKU update to support Verizon 3G/4G SUPL</t>
  </si>
  <si>
    <t>[OEMPRI-6971]-[proj#5378]-[TDN-013469]-update</t>
  </si>
  <si>
    <t>F119BFDAA76478498C2C5D9BC982B4E60000000059A90000</t>
  </si>
  <si>
    <t>[OEMPRI-6408]-[proj#5224]-[TDN-013328]-log confirm</t>
  </si>
  <si>
    <t>1F8063A03FF2CB49A90656195695F9FB0000000037010000</t>
  </si>
  <si>
    <t>1103993_9908133_AR7594_VW_EMU_BP3.1B1_lead_package</t>
  </si>
  <si>
    <t>[FWTOOLS-270] [KT CM Tool] VoLTE/IMS HD Voice settings Implementation.</t>
  </si>
  <si>
    <t>F119BFDAA76478498C2C5D9BC982B4E600000000598B0000</t>
  </si>
  <si>
    <t>[OEMPRI-6971]-[proj#5378]-[TDN-013469]-svt spkg and approve</t>
  </si>
  <si>
    <t>3D68EC023EC934408492A941A20053800000000034A90000</t>
  </si>
  <si>
    <t>[OEMPRI-7368]-ar759x-WP16.4B3-SWI9X40A_01.16.07.04</t>
  </si>
  <si>
    <t>[Configuration][AR758x] Update PRI baseline with for [WP12.14B4][SWI9X28A_00.16.02.00]</t>
  </si>
  <si>
    <t>Samuel Sun(7)</t>
  </si>
  <si>
    <t>F119BFDAA76478498C2C5D9BC982B4E60000000059B00000</t>
  </si>
  <si>
    <t>[OEMPRI-7204]-[proj#5341]-[TDN-013460]-update</t>
  </si>
  <si>
    <t>F119BFDAA76478498C2C5D9BC982B4E60000000059B30000</t>
  </si>
  <si>
    <t>[OEMPRI-7216]-[proj#5343]-[TDN-013462]-update</t>
  </si>
  <si>
    <t>Bing Huang(59)</t>
  </si>
  <si>
    <t>AR7552 SPKG for PASA MY19 SOP1 (Non-secureboot) with MR3, New TAC and SKU 1103493</t>
  </si>
  <si>
    <t>1F8063A03FF2CB49A90656195695F9FB0000000037000000</t>
  </si>
  <si>
    <t>[FWTOOLS-269][KT CM Tool] VoLTE/IMS P-CSCF Port Editor Implementation.</t>
  </si>
  <si>
    <t>F119BFDAA76478498C2C5D9BC982B4E60000000059AE0000</t>
  </si>
  <si>
    <t>[OEMPRI-7316]-[proj#5342]-[TDN-013461]-svt spkg and approve</t>
  </si>
  <si>
    <t>Rose Yang</t>
  </si>
  <si>
    <t>AR7552 SPKG for PASA MY19 SOP1 with RC3 + 1103493 + New TAC</t>
  </si>
  <si>
    <t>Bing Huang*(22)</t>
  </si>
  <si>
    <t>1F8063A03FF2CB49A90656195695F9FB0000000036FF0000</t>
  </si>
  <si>
    <t>[FWTOOLS-268][KT CM Tool] VoLTE/IMS Enable Status button Implementation.</t>
  </si>
  <si>
    <t>93B7C528E42B53479E865A53DF9698B20000BC98A3E30000</t>
  </si>
  <si>
    <t>Create NVUP Release History to revision the NVUP request.</t>
  </si>
  <si>
    <t>[AR759x] Build NVUP with size 200KB&lt;NVUP&lt;500KB</t>
  </si>
  <si>
    <t>F119BFDAA76478498C2C5D9BC982B4E60000000059AB0000</t>
  </si>
  <si>
    <t>[OEMPRI-7199]-[proj#5340]-[TDN-013459]-svt spkg and approve</t>
  </si>
  <si>
    <t>Lares Yang(8)</t>
  </si>
  <si>
    <t>Ben Zheng(9)</t>
  </si>
  <si>
    <t>3D68EC023EC934408492A941A20053800000000034960000</t>
  </si>
  <si>
    <t>[OEMPRI-7322] - SPKG</t>
  </si>
  <si>
    <t>3D68EC023EC934408492A941A20053800000000034970000</t>
  </si>
  <si>
    <t>[OEMPRI-7322] - TEST</t>
  </si>
  <si>
    <t>[AR759x] Build test package for NVUP backlist feature</t>
  </si>
  <si>
    <t>Stone Li*(1)</t>
  </si>
  <si>
    <t>3D68EC023EC934408492A941A20053800000000034980000</t>
  </si>
  <si>
    <t>[OEMPRI-7263] - SPKG</t>
  </si>
  <si>
    <t>3D68EC023EC934408492A941A20053800000000034990000</t>
  </si>
  <si>
    <t>[OEMPRI-7263] - TEST</t>
  </si>
  <si>
    <t>F119BFDAA76478498C2C5D9BC982B4E60000000059A30000</t>
  </si>
  <si>
    <t>NV FILE : enable access to GNSS 10HZ for pre testing .on BP4.4B1</t>
  </si>
  <si>
    <t>[tool] dm-logger send .txt file in async mode</t>
  </si>
  <si>
    <t>F119BFDAA76478498C2C5D9BC982B4E60000000059A50000</t>
  </si>
  <si>
    <t>[tool] dm-logger support dm port in windows</t>
  </si>
  <si>
    <t>F119BFDAA76478498C2C5D9BC982B4E60000000059A70000</t>
  </si>
  <si>
    <t>[OEMPRI-6408]-[proj#5224]-[TDN-013328]-update</t>
  </si>
  <si>
    <t>[AR759x] PRI baselines to be aligned with [WP15.6B2][BP3.0]</t>
  </si>
  <si>
    <t>F119BFDAA76478498C2C5D9BC982B4E60000000059A80000</t>
  </si>
  <si>
    <t>[OEMPRI-6408]-[proj#5224]-[TDN-013328]-svt spkg and approve</t>
  </si>
  <si>
    <t>F119BFDAA76478498C2C5D9BC982B4E60000000059AA0000</t>
  </si>
  <si>
    <t>[OEMPRI-7199]-[proj#5340]-[TDN-013459]-update</t>
  </si>
  <si>
    <t>Derrick Li</t>
  </si>
  <si>
    <t>F119BFDAA76478498C2C5D9BC982B4E60000000059AD0000</t>
  </si>
  <si>
    <t>[OEMPRI-7316]-[proj#5342]-[TDN-013461]-update</t>
  </si>
  <si>
    <t>1103964_9908156_AR7584_Eland LeadSKU_MM_BP2.1B1-SWI9X28A_01.00.28.00-Legato18.03.0.rc3</t>
  </si>
  <si>
    <t>Davy Zhang(19)</t>
  </si>
  <si>
    <t>1F8063A03FF2CB49A90656195695F9FB0000000036FE0000</t>
  </si>
  <si>
    <t>[FWTOOLS-262][KT CM Tool] VoLTE/IMS setting frame structure</t>
  </si>
  <si>
    <t>Derrick Li(21)</t>
  </si>
  <si>
    <t>Derrick Li(0)</t>
  </si>
  <si>
    <t>93B7C528E42B53479E865A53DF9698B20000BC98A3DB0000</t>
  </si>
  <si>
    <t xml:space="preserve">FWTOOLS-261:recoveryimggen tool need to update to remove unuse code </t>
  </si>
  <si>
    <t>AR8652 NVU file for WP14.1.2 SKU 1102422</t>
  </si>
  <si>
    <t>Hadhami Riahi</t>
  </si>
  <si>
    <t>93B7C528E42B53479E865A53DF9698B20000BC98A3E40000</t>
  </si>
  <si>
    <t>FWTOOLS-245 [Signature Tool] Support to sign Linux RAM recovery image</t>
  </si>
  <si>
    <t>Stone Li(11)</t>
  </si>
  <si>
    <t>F119BFDAA76478498C2C5D9BC982B4E60000000059A10000</t>
  </si>
  <si>
    <t>[tool] dm-logger convert dm file to dlf in windows</t>
  </si>
  <si>
    <t>AR8652 NVU file for WP16.2 SKU 1102626</t>
  </si>
  <si>
    <t>3D68EC023EC934408492A941A20053800000000034950000</t>
  </si>
  <si>
    <t>[OEMPRI-7288] - TEST</t>
  </si>
  <si>
    <t>3D68EC023EC934408492A941A20053800000000034940000</t>
  </si>
  <si>
    <t>[OEMPRI-7288] - SPKG</t>
  </si>
  <si>
    <t>F119BFDAA76478498C2C5D9BC982B4E60000000059A40000</t>
  </si>
  <si>
    <t>[tool] dm-logger send sqf file in sync mode</t>
  </si>
  <si>
    <t>COUGAR-2780 : NVUP File  :The customer can't disable/enable SERVICE pin through AT!CUSTOM.</t>
  </si>
  <si>
    <t>3D68EC023EC934408492A941A20053800000000034930000</t>
  </si>
  <si>
    <t>[OEMPRI-7286] - TEST</t>
  </si>
  <si>
    <t>3D68EC023EC934408492A941A20053800000000034920000</t>
  </si>
  <si>
    <t>[OEMPRI-7286] - SPKG</t>
  </si>
  <si>
    <t>CLONE - Intermediate-LeadSKU 1103223_9906693_AR7586(4G/4G)--Manufacturing MBN+ROW +FUSE  for VW SKU(AR7586)</t>
  </si>
  <si>
    <t>F119BFDAA76478498C2C5D9BC982B4E60000000059A20000</t>
  </si>
  <si>
    <t>[tool] dm-logger convert dm file to dlf in linux(pyscript convertor)</t>
  </si>
  <si>
    <t>F119BFDAA76478498C2C5D9BC982B4E600000000599C0000</t>
  </si>
  <si>
    <t>[OEMPRI-6792]-[proj#5364]-[ECO-026910]-log confirm</t>
  </si>
  <si>
    <t>F119BFDAA76478498C2C5D9BC982B4E600000000599F0000</t>
  </si>
  <si>
    <t>SwiLogUtil commit for FWTOOLS-219/FWTOOLS-220</t>
  </si>
  <si>
    <t>[Sample Preparation][One-click][Request][AR7592]Sample for VZW LE :1103210_9906623_AR7592_01.15.04.00_00_VW_001.012_000_101103210</t>
  </si>
  <si>
    <t>3D68EC023EC934408492A941A20053800000000034910000</t>
  </si>
  <si>
    <t>[OEMPRI-7265] - TEST</t>
  </si>
  <si>
    <t>1103993_9908133_AR7594_VW_EMU_BP3.0B1_lead_package</t>
  </si>
  <si>
    <t>3D68EC023EC934408492A941A20053800000000034900000</t>
  </si>
  <si>
    <t>[OEMPRI-7265] - SPKG</t>
  </si>
  <si>
    <t>1F8063A03FF2CB49A90656195695F9FB0000000036FD0000</t>
  </si>
  <si>
    <t>[FWTOOLS-239]Support basic modem status/info display</t>
  </si>
  <si>
    <t>F119BFDAA76478498C2C5D9BC982B4E60000000026BD0000</t>
  </si>
  <si>
    <t>[OEMPRI-5697]-[proj#5023]-[TDN-013110]-log confirm</t>
  </si>
  <si>
    <t>AR8652 1103794 for WP16.2 SKU with AVMS credential issue fix</t>
  </si>
  <si>
    <t>3D68EC023EC934408492A941A20053800000000034880000</t>
  </si>
  <si>
    <t>[OEMPRI-7248] - SPKG</t>
  </si>
  <si>
    <t>3D68EC023EC934408492A941A200538000000000348A0000</t>
  </si>
  <si>
    <t>[OEMPRI-7249] - SPKG</t>
  </si>
  <si>
    <t>Mary Shan(8)</t>
  </si>
  <si>
    <t>Mary Shan(16)</t>
  </si>
  <si>
    <t>[AR7594] 1103204_9906619_VW_WP15.6B2 lead package</t>
  </si>
  <si>
    <t>3D68EC023EC934408492A941A20053800000000034890000</t>
  </si>
  <si>
    <t>[OEMPRI-7248] - TEST</t>
  </si>
  <si>
    <t>3D68EC023EC934408492A941A200538000000000348B0000</t>
  </si>
  <si>
    <t>[OEMPRI-7249] - TEST</t>
  </si>
  <si>
    <t>LeadSKU 1103223_9906693_AR7586(4G/4G)--Manufacturing MBN+ROW +FUSE  for VW SKU(AR7586)</t>
  </si>
  <si>
    <t>3D68EC023EC934408492A941A200538000000000348D0000</t>
  </si>
  <si>
    <t>[OEMPRI-7262] - TEST</t>
  </si>
  <si>
    <t>3D68EC023EC934408492A941A200538000000000348C0000</t>
  </si>
  <si>
    <t>[OEMPRI-7262] - SPKG</t>
  </si>
  <si>
    <t xml:space="preserve">[Configuration] create initial Dummy MBN for  Factory </t>
  </si>
  <si>
    <t>3D68EC023EC934408492A941A200538000000000348E0000</t>
  </si>
  <si>
    <t>Bing Huang(56)</t>
  </si>
  <si>
    <t>3D68EC023EC934408492A941A200538000000000348F0000</t>
  </si>
  <si>
    <t>1F8063A03FF2CB49A90656195695F9FB0000000036FC0000</t>
  </si>
  <si>
    <t>[FWTOOLS-236Support WCDMA Channel Setting</t>
  </si>
  <si>
    <t xml:space="preserve">Intermediate-1103151_9906435_AR7584(4G/4G) -Manufacturing +RUSSIA+VDF MBN + FUSE for VW SKU(AR7584) </t>
  </si>
  <si>
    <t>F119BFDAA76478498C2C5D9BC982B4E600000000599E0000</t>
  </si>
  <si>
    <t>check license valid or not for all software</t>
  </si>
  <si>
    <t>F119BFDAA76478498C2C5D9BC982B4E60000000059A00000</t>
  </si>
  <si>
    <t>[tool] dm-logger start adb in winodws</t>
  </si>
  <si>
    <t>Perk Huang</t>
  </si>
  <si>
    <t>Bing Huang*(28)</t>
  </si>
  <si>
    <t>F119BFDAA76478498C2C5D9BC982B4E600000000599D0000</t>
  </si>
  <si>
    <t>auto build for kt-cm tool</t>
  </si>
  <si>
    <t>Update SBL1 fix to SPKG for AR7552 for PASA MY19 SOP1 (Non-secureboot) with MR3 and SKU 1103818</t>
  </si>
  <si>
    <t>Changcun Ma</t>
  </si>
  <si>
    <t>3D68EC023EC934408492A941A20053800000000034850000</t>
  </si>
  <si>
    <t>[OEMPRI-7250] - SPKG</t>
  </si>
  <si>
    <t>3D68EC023EC934408492A941A20053800000000034870000</t>
  </si>
  <si>
    <t>[OEMPRI-7250] - TEST</t>
  </si>
  <si>
    <t>1F8063A03FF2CB49A90656195695F9FB0000000036FB0000</t>
  </si>
  <si>
    <t>[FWTOOLS-231]Support to set/get Service domain</t>
  </si>
  <si>
    <t>Wilson Lin – Shenzhen</t>
  </si>
  <si>
    <t>1F8063A03FF2CB49A90656195695F9FB0000000036F80000</t>
  </si>
  <si>
    <t>[FWTOOLS-229]cm-tool develop for RAT mode</t>
  </si>
  <si>
    <t>Update - add SBL1 issue fix in SPKG for AR7552 PASA MY19 SOP1 (Non-SecureBoot) RC3 + 1103818</t>
  </si>
  <si>
    <t>1F8063A03FF2CB49A90656195695F9FB0000000036F90000</t>
  </si>
  <si>
    <t>[FWTOOLS-233]cm-tool develop for LTE CA</t>
  </si>
  <si>
    <t>1F8063A03FF2CB49A90656195695F9FB0000000036FA0000</t>
  </si>
  <si>
    <t>[FWTOOLS-232]cm-tool develop for LTE AcqDB</t>
  </si>
  <si>
    <t>F119BFDAA76478498C2C5D9BC982B4E60000000059890000</t>
  </si>
  <si>
    <t>Intermediate-1103367_9906982_AR7582(4G/4G)-Manufacturing MBN +ROW +FUSE + ATT/VzW/TMO for VW SKU(AR7582)</t>
  </si>
  <si>
    <t>[OEMPRI-7041]-[proj#5280]-[TDN-013336]-log confirm</t>
  </si>
  <si>
    <t>F119BFDAA76478498C2C5D9BC982B4E600000000599A0000</t>
  </si>
  <si>
    <t>[OEMPRI-6792]-[proj#5364]-[ECO-026910]-update</t>
  </si>
  <si>
    <t>1103494_9907253_AR7588(4G/4G)-Manufacturing MBN +ROW +FUSE  for VW SKU(AR7588)-</t>
  </si>
  <si>
    <t>F119BFDAA76478498C2C5D9BC982B4E600000000599B0000</t>
  </si>
  <si>
    <t>[OEMPRI-6792]-[proj#5364]-[ECO-026910]-svt spkg and approve</t>
  </si>
  <si>
    <t>1F8063A03FF2CB49A90656195695F9FB0000000036F70000</t>
  </si>
  <si>
    <t xml:space="preserve">[FWTOOLS-228]cm-tool develop for language changes. </t>
  </si>
  <si>
    <t>[AR7592-1] 1103210_9906623_VW_WP15.6B2</t>
  </si>
  <si>
    <t>1F8063A03FF2CB49A90656195695F9FB0000000036F60000</t>
  </si>
  <si>
    <t xml:space="preserve">Package and release for OEMPRI-7183 </t>
  </si>
  <si>
    <t>F119BFDAA76478498C2C5D9BC982B4E60000000059990000</t>
  </si>
  <si>
    <t>[issue] analys the difficult for remove the TAC from spkg</t>
  </si>
  <si>
    <t>1104059_9908316_AR7586(4G/2G)_FW(00.12.06.00)_Lanyou</t>
  </si>
  <si>
    <t>F119BFDAA76478498C2C5D9BC982B4E60000000059900000</t>
  </si>
  <si>
    <t>check out the fdt reason which not show the failure result for delta</t>
  </si>
  <si>
    <t>F119BFDAA76478498C2C5D9BC982B4E60000000059910000</t>
  </si>
  <si>
    <t>check out the failure reason for dumpdiff export file</t>
  </si>
  <si>
    <t>F119BFDAA76478498C2C5D9BC982B4E60000000059920000</t>
  </si>
  <si>
    <t>how to check parent sku is correct</t>
  </si>
  <si>
    <t>Setup customization settings, "SERVICEPINDISABLE",as protection level2 for MM</t>
  </si>
  <si>
    <t>F119BFDAA76478498C2C5D9BC982B4E60000000059850000</t>
  </si>
  <si>
    <t>Fabrice Lucien</t>
  </si>
  <si>
    <t>[OEMPRI-7039]-[proj#5293]-[TDN-013423]-svt spkg and approve</t>
  </si>
  <si>
    <t>James Wang(11)</t>
  </si>
  <si>
    <t>Golden Shen(1)</t>
  </si>
  <si>
    <t>Golden Shen(0)</t>
  </si>
  <si>
    <t>F119BFDAA76478498C2C5D9BC982B4E60000000059950000</t>
  </si>
  <si>
    <t>[tool] one-click upgrade tool support post command after upgrade</t>
  </si>
  <si>
    <t>CLONE - EEL_Beta: LeadSKU 1103831_9906998_AR7584(4G/2G)_BP4.4B1(SWI9X28A_01.00.27.00)_Ficosa</t>
  </si>
  <si>
    <t>F119BFDAA76478498C2C5D9BC982B4E60000000059960000</t>
  </si>
  <si>
    <t>[tool] one-click upgrade tool wait device online after upgrade</t>
  </si>
  <si>
    <t>F119BFDAA76478498C2C5D9BC982B4E60000000059970000</t>
  </si>
  <si>
    <t>[tool] review WCDMA failure issue(new 8 byte header)</t>
  </si>
  <si>
    <t>F119BFDAA76478498C2C5D9BC982B4E60000000059980000</t>
  </si>
  <si>
    <t>[tool] review GNSS failure issue(out of buffer)</t>
  </si>
  <si>
    <t>[Sample Preparation][Request][AR7592]Sample for T-Mobile Certification :1103210_9906623_AR7592_01.13.03.00_00_VW_001.010_000_101103210</t>
  </si>
  <si>
    <t>1F8063A03FF2CB49A90656195695F9FB0000000036F50000</t>
  </si>
  <si>
    <t>Package and test for OEMPRI-7137</t>
  </si>
  <si>
    <t>616E22C5EC93AF48B41E5A76D1E7552200011076327E0000</t>
  </si>
  <si>
    <t>SignatureTool remove UBI mounting part of code to avoid sudo issue.</t>
  </si>
  <si>
    <t>[One Click][Request][AR7592] VZW MMDR test plan</t>
  </si>
  <si>
    <t>Ben Zheng(49)</t>
  </si>
  <si>
    <t>F119BFDAA76478498C2C5D9BC982B4E60000000059880000</t>
  </si>
  <si>
    <t>[OEMPRI-7041]-[proj#5280]-[TDN-013336]-svt spkg and approve</t>
  </si>
  <si>
    <t>F119BFDAA76478498C2C5D9BC982B4E600000000598D0000</t>
  </si>
  <si>
    <t>[FWTOOLS-224] dm-logger to gerrit</t>
  </si>
  <si>
    <t>[AR759x] PRI baselines to fix issue for Rel1_Cert</t>
  </si>
  <si>
    <t>F119BFDAA76478498C2C5D9BC982B4E60000000059860000</t>
  </si>
  <si>
    <t>[OEMPRI-7039]-[proj#5293]-[TDN-013423]-log confirm</t>
  </si>
  <si>
    <t>F119BFDAA76478498C2C5D9BC982B4E60000000059840000</t>
  </si>
  <si>
    <t>[OEMPRI-7039]-[proj#5293]-[TDN-013423]-update</t>
  </si>
  <si>
    <t xml:space="preserve">COUGAR_Lab_1103367_9906982_AR7582_SWI9X28A_00.15.00.00_VW </t>
  </si>
  <si>
    <t>F119BFDAA76478498C2C5D9BC982B4E60000000059870000</t>
  </si>
  <si>
    <t>[OEMPRI-7041]-[proj#5280]-[TDN-013336]-update</t>
  </si>
  <si>
    <t>F119BFDAA76478498C2C5D9BC982B4E60000000059830000</t>
  </si>
  <si>
    <t>[OEMPRI-6334]-[proj#5360]-[TDN-013571]-log confirm</t>
  </si>
  <si>
    <t>Ethan Guan(13)</t>
  </si>
  <si>
    <t>F119BFDAA76478498C2C5D9BC982B4E60000000059800000</t>
  </si>
  <si>
    <t>[OEMPRI-6739]-[proj#4356]-[ECO-026807]-log confirm</t>
  </si>
  <si>
    <t>1103964_9908156_AR7584_Eland LeadSKU_MM_BP2.0B1-SWI9X28A_01.00.27.00-Legato18.03.0.rc2</t>
  </si>
  <si>
    <t>F119BFDAA76478498C2C5D9BC982B4E60000000059810000</t>
  </si>
  <si>
    <t>[OEMPRI-6334]-[proj#5360]-[TDN-013571]-update</t>
  </si>
  <si>
    <t>F119BFDAA76478498C2C5D9BC982B4E60000000059820000</t>
  </si>
  <si>
    <t>[OEMPRI-6334]-[proj#5360]-[TDN-013571]-svt spkg and approve</t>
  </si>
  <si>
    <t>F119BFDAA76478498C2C5D9BC982B4E600000000598F0000</t>
  </si>
  <si>
    <t>[FWTOOLS-220] SwiLogUtil support new header dmlog file</t>
  </si>
  <si>
    <t>Lares Yang(9)</t>
  </si>
  <si>
    <t>NV Patch for Cougar-2744 on top of WP11.12B4</t>
  </si>
  <si>
    <t>1F8063A03FF2CB49A90656195695F9FB0000000037250000</t>
  </si>
  <si>
    <t>Package and release for OEMPRI-7142</t>
  </si>
  <si>
    <t>Joanna Xia(34)</t>
  </si>
  <si>
    <t>F119BFDAA76478498C2C5D9BC982B4E600000000597D0000</t>
  </si>
  <si>
    <t>[OEMPRI-6728]-[proj#5479]-[ECO-026854]-log confirm</t>
  </si>
  <si>
    <t>F119BFDAA76478498C2C5D9BC982B4E600000000598E0000</t>
  </si>
  <si>
    <t>Lares Yang(13)</t>
  </si>
  <si>
    <t>[FWTOOLS-219] SwiLogUtil support wcdma and gnss log</t>
  </si>
  <si>
    <t>1103998_9908146_AR8582_Eland Alpha1_MM_BP1.3B1-SWI9X28A_01.00.25.00-Legato18.02.0.rc3</t>
  </si>
  <si>
    <t>Joanna Xia(37)</t>
  </si>
  <si>
    <t>F119BFDAA76478498C2C5D9BC982B4E60000000059930000</t>
  </si>
  <si>
    <t>strict the user to execute sign.sh only</t>
  </si>
  <si>
    <t>F119BFDAA76478498C2C5D9BC982B4E60000000059940000</t>
  </si>
  <si>
    <t>debug the process in signing server with RA server</t>
  </si>
  <si>
    <t>Update SKPG for SKU 1103545 (AR755x 2017 PCN) with correct TAC</t>
  </si>
  <si>
    <t>F119BFDAA76478498C2C5D9BC982B4E600000000597B0000</t>
  </si>
  <si>
    <t>[OEMPRI-6728]-[proj#5479]-[ECO-026854]-update</t>
  </si>
  <si>
    <t>F119BFDAA76478498C2C5D9BC982B4E600000000597C0000</t>
  </si>
  <si>
    <t>[OEMPRI-6728]-[proj#5479]-[ECO-026854]-svt spkg and approve</t>
  </si>
  <si>
    <t>Rain Xie(1)</t>
  </si>
  <si>
    <t>F119BFDAA76478498C2C5D9BC982B4E600000000597E0000</t>
  </si>
  <si>
    <t>[OEMPRI-6739]-[proj#4356]-[ECO-026807]-update</t>
  </si>
  <si>
    <t>1103992_9908132_AR7592_EMU_Alpha2_VW</t>
  </si>
  <si>
    <t>F119BFDAA76478498C2C5D9BC982B4E600000000597F0000</t>
  </si>
  <si>
    <t>[OEMPRI-6739]-[proj#4356]-[ECO-026807]-svt spkg and approve</t>
  </si>
  <si>
    <t>Stone Li(20)</t>
  </si>
  <si>
    <t>3D68EC023EC934408492A941A20053800000000034830000</t>
  </si>
  <si>
    <t>[OEMPRI-7056] - SPKG</t>
  </si>
  <si>
    <t>CLONE - Add Updated MTU Size of 2000bytes to Cisco SKU 1102037</t>
  </si>
  <si>
    <t>3D68EC023EC934408492A941A20053800000000034840000</t>
  </si>
  <si>
    <t>[OEMPRI-7056] - TEST</t>
  </si>
  <si>
    <t>Gondava Hilz</t>
  </si>
  <si>
    <t>3D68EC023EC934408492A941A20053800000000034770000</t>
  </si>
  <si>
    <t>[OEMPRI-6951] - SPKG</t>
  </si>
  <si>
    <t>3D68EC023EC934408492A941A20053800000000034800000</t>
  </si>
  <si>
    <t>[OEMPRI-6922] - SPKG</t>
  </si>
  <si>
    <t>Roger Wang(4)</t>
  </si>
  <si>
    <t>CLONE - Add Updated MTU Size of 2000bytes to Cisco SKU 1102036</t>
  </si>
  <si>
    <t>3D68EC023EC934408492A941A200538000000000347F0000</t>
  </si>
  <si>
    <t>[OEMPRI-6924] - SPKG</t>
  </si>
  <si>
    <t>Bing Huang(37)</t>
  </si>
  <si>
    <t>3D68EC023EC934408492A941A20053800000000034820000</t>
  </si>
  <si>
    <t>[OEMPRI-6924] - TEST</t>
  </si>
  <si>
    <t>Build two nvu files so that customer can change mapuart values (to disable UART2)</t>
  </si>
  <si>
    <t>3D68EC023EC934408492A941A20053800000000034810000</t>
  </si>
  <si>
    <t>[OEMPRI-6922] - TEST</t>
  </si>
  <si>
    <t>1F8063A03FF2CB49A90656195695F9FB0000000037240000</t>
  </si>
  <si>
    <t>Package and release for OEMPRI-7039</t>
  </si>
  <si>
    <t>1F8063A03FF2CB49A90656195695F9FB0000000037230000</t>
  </si>
  <si>
    <t>[Configuration][AR758x] Update PRI baseline with for BP4.xB1</t>
  </si>
  <si>
    <t>Package and release for OEMPRI-7041</t>
  </si>
  <si>
    <t>3D68EC023EC934408492A941A200538000000000347D0000</t>
  </si>
  <si>
    <t>[OEMPRI-6980] - SPKG</t>
  </si>
  <si>
    <t>3D68EC023EC934408492A941A200538000000000347E0000</t>
  </si>
  <si>
    <t>[OEMPRI-6980] - TEST</t>
  </si>
  <si>
    <t>Create SPKG for AR7552 PASA MY19 SOP1 (Non-SecureBoot) RC3 + 1103818</t>
  </si>
  <si>
    <t>F119BFDAA76478498C2C5D9BC982B4E60000000059780000</t>
  </si>
  <si>
    <t>set up ssh server with public key</t>
  </si>
  <si>
    <t>1F8063A03FF2CB49A90656195695F9FB0000000037220000</t>
  </si>
  <si>
    <t>Package and release for OEMPRI-7010</t>
  </si>
  <si>
    <t>Bing Huang*(29)</t>
  </si>
  <si>
    <t>3D68EC023EC934408492A941A20053800000000034760000</t>
  </si>
  <si>
    <t>[OEMPRI-6923] - SPKG</t>
  </si>
  <si>
    <t>3D68EC023EC934408492A941A20053800000000034780000</t>
  </si>
  <si>
    <t>[OEMPRI-7011] - SPKG</t>
  </si>
  <si>
    <t>Ailsa Pi</t>
  </si>
  <si>
    <t>Bing Huang(29)</t>
  </si>
  <si>
    <t>Ailsa Pi(3)</t>
  </si>
  <si>
    <t>3D68EC023EC934408492A941A200538000000000347A0000</t>
  </si>
  <si>
    <t>[OEMPRI-6923] - TEST</t>
  </si>
  <si>
    <t>Ailsa Pi(0)</t>
  </si>
  <si>
    <t>3D68EC023EC934408492A941A20053800000000034790000</t>
  </si>
  <si>
    <t>AR7598 Sample prepare</t>
  </si>
  <si>
    <t>Create SPKG for AR7552 for PASA MY19 SOP1 (Non-secureboot) with MR3 and SKU 1103818</t>
  </si>
  <si>
    <t>3D68EC023EC934408492A941A200538000000000347C0000</t>
  </si>
  <si>
    <t>[OEMPRI-7011] - TEST</t>
  </si>
  <si>
    <t>Roger Wang(13)</t>
  </si>
  <si>
    <t>CLONE - 1103993_9908133_AR7594_VW_EMU_BP2.3B1_lead_package</t>
  </si>
  <si>
    <t>3D68EC023EC934408492A941A200538000000000347B0000</t>
  </si>
  <si>
    <t>[OEMPRI-6951] - TEST</t>
  </si>
  <si>
    <t>Roger Wang(18)</t>
  </si>
  <si>
    <t>F119BFDAA76478498C2C5D9BC982B4E60000000059770000</t>
  </si>
  <si>
    <t>set up ssh server with 2FA</t>
  </si>
  <si>
    <t>F119BFDAA76478498C2C5D9BC982B4E60000000059790000</t>
  </si>
  <si>
    <t>user guide for how to set up ssh server</t>
  </si>
  <si>
    <t>Xin Wang</t>
  </si>
  <si>
    <t>F119BFDAA76478498C2C5D9BC982B4E600000000597A0000</t>
  </si>
  <si>
    <t>user guide for how to push code to gerrit</t>
  </si>
  <si>
    <t>Lolly Cao(65)</t>
  </si>
  <si>
    <t>1F8063A03FF2CB49A90656195695F9FB0000000037210000</t>
  </si>
  <si>
    <t>Package and release for OEMPRI-6739</t>
  </si>
  <si>
    <t>F119BFDAA76478498C2C5D9BC982B4E60000000059730000</t>
  </si>
  <si>
    <t>[OEMPRI-6728]-[proj#5315]-[TDN-013545]-log confirm</t>
  </si>
  <si>
    <t>F119BFDAA76478498C2C5D9BC982B4E60000000059750000</t>
  </si>
  <si>
    <t>[OEMPRI-6562]-[proj#5195]-[ECO-026751]-svt spkg and approve</t>
  </si>
  <si>
    <t>F119BFDAA76478498C2C5D9BC982B4E60000000059760000</t>
  </si>
  <si>
    <t>[OEMPRI-6562]-[proj#5195]-[ECO-026751]-log confirm</t>
  </si>
  <si>
    <t xml:space="preserve">1103151_9906435_AR7584(4G/4G)_WP12.10(SWI9X28A_00.15.03.00)_VW </t>
  </si>
  <si>
    <t>Lolly Cao</t>
  </si>
  <si>
    <t>F119BFDAA76478498C2C5D9BC982B4E60000000059610000</t>
  </si>
  <si>
    <t>[OEMPRI-6728]-[proj#5315]-[TDN-013466]-update</t>
  </si>
  <si>
    <t>Samuel Sun(10)</t>
  </si>
  <si>
    <t>F119BFDAA76478498C2C5D9BC982B4E60000000059620000</t>
  </si>
  <si>
    <t>[OEMPRI-6728]-[proj#5315]-[TDN-013466]-svt spkg and approve</t>
  </si>
  <si>
    <t>F119BFDAA76478498C2C5D9BC982B4E60000000059710000</t>
  </si>
  <si>
    <t>[OEMPRI-6728]-[proj#5315]-[TDN-013545]-update</t>
  </si>
  <si>
    <t>[SL8082BT]SKU#1104029,QUALIFIED,GENERIC,S4.1.0.25,SWIR IMEI,UART=115200 BDS,SL8 RD</t>
  </si>
  <si>
    <t>F119BFDAA76478498C2C5D9BC982B4E60000000059720000</t>
  </si>
  <si>
    <t>[OEMPRI-6728]-[proj#5315]-[TDN-013545]-svt spkg and approve</t>
  </si>
  <si>
    <t>Joe Liu(11)</t>
  </si>
  <si>
    <t>F119BFDAA76478498C2C5D9BC982B4E60000000059740000</t>
  </si>
  <si>
    <t>[OEMPRI-6562]-[proj#5195]-[ECO-026751]-update</t>
  </si>
  <si>
    <t>F119BFDAA76478498C2C5D9BC982B4E60000000059640000</t>
  </si>
  <si>
    <t>record the dulplicate work for AR8652 cause by MFT</t>
  </si>
  <si>
    <t>F119BFDAA76478498C2C5D9BC982B4E600000000596D0000</t>
  </si>
  <si>
    <t>plan for the signning server check list</t>
  </si>
  <si>
    <t>Update PRI for HL3450 SKU1103744 and release to In-production</t>
  </si>
  <si>
    <t>HL34xx</t>
  </si>
  <si>
    <t>Ryan Lei</t>
  </si>
  <si>
    <t>09AECFC0C4A5BB458BA64C192A624EB80000000029620000</t>
  </si>
  <si>
    <t>[one-click][Request][AR7592]Sample for T-Mobile Certification :1103210_9906623_AR7592_01.13.03.00_00_VW_001.010_000_101103210</t>
  </si>
  <si>
    <t>daily</t>
  </si>
  <si>
    <t>09AECFC0C4A5BB458BA64C192A624EB80000000029630000</t>
  </si>
  <si>
    <t>[one-click][Request][AR7582]Sample for T-Mobile Certification :1103367_9906982_AR7582_00.15.00.00_00_VW_001.015_001_101103367</t>
  </si>
  <si>
    <t>EEL_Beta: LeadSKU 1103831_9906998_AR7584(4G/2G)_BP4.3B1(SWI9X28A_01.00.27.00)_Ficosa</t>
  </si>
  <si>
    <t>F119BFDAA76478498C2C5D9BC982B4E60000000059660000</t>
  </si>
  <si>
    <t>release signature tool for V9.22.0.0</t>
  </si>
  <si>
    <t>3D68EC023EC934408492A941A20053800000000034730000</t>
  </si>
  <si>
    <t>[OEMPRI-6843] - SPKG</t>
  </si>
  <si>
    <t>Ben Zheng(6)</t>
  </si>
  <si>
    <t>Joe Liu(5)</t>
  </si>
  <si>
    <t>Create PRI package for AR8652 returned units rework</t>
  </si>
  <si>
    <t>3D68EC023EC934408492A941A20053800000000034740000</t>
  </si>
  <si>
    <t>[OEMPRI-6843] - TEST</t>
  </si>
  <si>
    <t>1F8063A03FF2CB49A90656195695F9FB0000000036F40000</t>
  </si>
  <si>
    <t>Package and release for OEMPRI-6496</t>
  </si>
  <si>
    <t>1F8063A03FF2CB49A90656195695F9FB0000000037200000</t>
  </si>
  <si>
    <t>Package and release for OEMPRI-6498</t>
  </si>
  <si>
    <t>[Package Build Script] add Hash Header generate with new FW</t>
  </si>
  <si>
    <t>AR755x,AR758x,AR759x</t>
  </si>
  <si>
    <t>3D68EC023EC934408492A941A20053800000000034720000</t>
  </si>
  <si>
    <t>[OEMPRI-6794] - TEST</t>
  </si>
  <si>
    <t>3D68EC023EC934408492A941A20053800000000034710000</t>
  </si>
  <si>
    <t>[OEMPRI-6794] - SPKG</t>
  </si>
  <si>
    <t>[AR759x] PRI baselines to be aligned with [WP15.5B2]</t>
  </si>
  <si>
    <t>F119BFDAA76478498C2C5D9BC982B4E60000000059680000</t>
  </si>
  <si>
    <t>auto release signature tool with 64bit binary</t>
  </si>
  <si>
    <t>F119BFDAA76478498C2C5D9BC982B4E60000000059630000</t>
  </si>
  <si>
    <t>[OEMPRI-6728]-[proj#5315]-[TDN-013466]-log confirm</t>
  </si>
  <si>
    <t>09AECFC0C4A5BB458BA64C192A624EB80000000029610000</t>
  </si>
  <si>
    <t>1103964_9908156_AR7584_Eland Alpha1_MM_BP1.3B1-SWI9X28A_01.00.25.00-Legato18.02.0.rc3</t>
  </si>
  <si>
    <t>[One Click][Request][AR7582]VZW LE : 1103367_9906982_AR7582_00.17.01.01_00_VW_001.020_000_101103367</t>
  </si>
  <si>
    <t>3D68EC023EC934408492A941A200538000000000346F0000</t>
  </si>
  <si>
    <t>[OEMPRI-6854] - SPKG</t>
  </si>
  <si>
    <t>3D68EC023EC934408492A941A20053800000000034700000</t>
  </si>
  <si>
    <t>[OEMPRI-6854] - TEST</t>
  </si>
  <si>
    <t>[AR7594] 1103204_9906619_VW_WP15.5B2 lead package creation</t>
  </si>
  <si>
    <t>F119BFDAA76478498C2C5D9BC982B4E60000000059650000</t>
  </si>
  <si>
    <t>apply write access for signature tool release folder</t>
  </si>
  <si>
    <t>Bing Huang(10)</t>
  </si>
  <si>
    <t>F119BFDAA76478498C2C5D9BC982B4E60000000059690000</t>
  </si>
  <si>
    <t>auto release signature tool with 32bit binary</t>
  </si>
  <si>
    <t>1103993_9908133_AR7594_VW_EMU_BP2.2B1_lead_package</t>
  </si>
  <si>
    <t>3D68EC023EC934408492A941A200538000000000346B0000</t>
  </si>
  <si>
    <t>[OEMPRI-6817] - SPKG</t>
  </si>
  <si>
    <t>3D68EC023EC934408492A941A200538000000000346C0000</t>
  </si>
  <si>
    <t>[OEMPRI-6853] - SPKG</t>
  </si>
  <si>
    <t>3D68EC023EC934408492A941A200538000000000346D0000</t>
  </si>
  <si>
    <t>[OEMPRI-6817] - TEST</t>
  </si>
  <si>
    <t>3D68EC023EC934408492A941A200538000000000346E0000</t>
  </si>
  <si>
    <t>[OEMPRI-6853] - TEST</t>
  </si>
  <si>
    <t>Stone Li(12)</t>
  </si>
  <si>
    <t>F119BFDAA76478498C2C5D9BC982B4E60000000059670000</t>
  </si>
  <si>
    <t>auto release signature tool with souce code</t>
  </si>
  <si>
    <t>Create PRI file for WP14.1.2 SKU 1104060 with mecallopmode set to 2</t>
  </si>
  <si>
    <t>F119BFDAA76478498C2C5D9BC982B4E600000000596A0000</t>
  </si>
  <si>
    <t>auto test for signature in 32bit ubuntu</t>
  </si>
  <si>
    <t>Stone Li(19)</t>
  </si>
  <si>
    <t>F119BFDAA76478498C2C5D9BC982B4E600000000596B0000</t>
  </si>
  <si>
    <t>auto test for signature in 64bit ubuntu</t>
  </si>
  <si>
    <t>F119BFDAA76478498C2C5D9BC982B4E600000000596F0000</t>
  </si>
  <si>
    <t xml:space="preserve">new jenkins job for 32bit signature tool </t>
  </si>
  <si>
    <t>F119BFDAA76478498C2C5D9BC982B4E60000000059700000</t>
  </si>
  <si>
    <t xml:space="preserve">new jenkins job for 64bit signature tool </t>
  </si>
  <si>
    <t>F119BFDAA76478498C2C5D9BC982B4E600000000596E0000</t>
  </si>
  <si>
    <t>set up 32bit ubuntu as jenkins slave</t>
  </si>
  <si>
    <t>1F8063A03FF2CB49A90656195695F9FB0000000036F20000</t>
  </si>
  <si>
    <t>Package and release for OEMPRI-6726</t>
  </si>
  <si>
    <t>Roger Wang(11)</t>
  </si>
  <si>
    <t>Tiejun Fu(0)</t>
  </si>
  <si>
    <t>F119BFDAA76478498C2C5D9BC982B4E600000000596C0000</t>
  </si>
  <si>
    <t>check the signing server with Alexis</t>
  </si>
  <si>
    <t>F119BFDAA76478498C2C5D9BC982B4E600000000595B0000</t>
  </si>
  <si>
    <t>[OEMPRI-6487]-[proj#4939]-[TDN-013296]-log confirm</t>
  </si>
  <si>
    <t>Lolly Cao(3)</t>
  </si>
  <si>
    <t>F119BFDAA76478498C2C5D9BC982B4E60000000059420000</t>
  </si>
  <si>
    <t>[OEMPRI-6301]-[proj#5083]-[TDN-013100]-log confirm</t>
  </si>
  <si>
    <t>OEMPRI-6325</t>
  </si>
  <si>
    <t>3D68EC023EC934408492A941A200538000000000345F0000</t>
  </si>
  <si>
    <t>[OEMPRI-6795] -SPKG</t>
  </si>
  <si>
    <t>Roger Wang(10)</t>
  </si>
  <si>
    <t>3D68EC023EC934408492A941A20053800000000034600000</t>
  </si>
  <si>
    <t>[OEMPRI-6796] -SPKG</t>
  </si>
  <si>
    <t>1103371_9906986_AR7586(4G/2G)_RC1(00.12.06.00)_MM_China Unicom</t>
  </si>
  <si>
    <t>3D68EC023EC934408492A941A20053800000000034620000</t>
  </si>
  <si>
    <t>[OEMPRI-6799] -SPKG</t>
  </si>
  <si>
    <t>3D68EC023EC934408492A941A20053800000000034610000</t>
  </si>
  <si>
    <t>[OEMPRI-6798] -SPKG</t>
  </si>
  <si>
    <t>3D68EC023EC934408492A941A20053800000000034630000</t>
  </si>
  <si>
    <t>[OEMPRI-6842] - SPKG</t>
  </si>
  <si>
    <t>3D68EC023EC934408492A941A20053800000000034650000</t>
  </si>
  <si>
    <t>Bing Huang(16)</t>
  </si>
  <si>
    <t>3D68EC023EC934408492A941A20053800000000034640000</t>
  </si>
  <si>
    <t>[OEMPRI-6793] - TEST</t>
  </si>
  <si>
    <t>3D68EC023EC934408492A941A20053800000000034660000</t>
  </si>
  <si>
    <t>[OEMPRI-6795] - TEST</t>
  </si>
  <si>
    <t>3D68EC023EC934408492A941A20053800000000034680000</t>
  </si>
  <si>
    <t>[OEMPRI-6798] - TEST</t>
  </si>
  <si>
    <t>3D68EC023EC934408492A941A20053800000000034670000</t>
  </si>
  <si>
    <t>[OEMPRI-6796] - TEST</t>
  </si>
  <si>
    <t>Bing Huang(41)</t>
  </si>
  <si>
    <t>3D68EC023EC934408492A941A200538000000000346A0000</t>
  </si>
  <si>
    <t>[OEMPRI-6842] - TEST</t>
  </si>
  <si>
    <t>[Configuration][AR758x][ELand] Update PRI baseline with for BP1.2B1</t>
  </si>
  <si>
    <t>3D68EC023EC934408492A941A20053800000000034690000</t>
  </si>
  <si>
    <t>[OEMPRI-6799] - TEST</t>
  </si>
  <si>
    <t>1F8063A03FF2CB49A90656195695F9FB0000000036F10000</t>
  </si>
  <si>
    <t>Package and release for OEMPRI-6792</t>
  </si>
  <si>
    <t>Lares Yang(6)</t>
  </si>
  <si>
    <t>F119BFDAA76478498C2C5D9BC982B4E60000000026490000</t>
  </si>
  <si>
    <t>[OEMPRI-5166]-[proj#3820]-[ECO-025604]-log confirm</t>
  </si>
  <si>
    <t xml:space="preserve">COUGAR_Lab_1103367_9906982_AR7582_SWI9X28A_00.15.02.00_VW </t>
  </si>
  <si>
    <t>F119BFDAA76478498C2C5D9BC982B4E600000000595E0000</t>
  </si>
  <si>
    <t>[OEMPRI-6427]-[proj#5206]-[ECO-024840]-update</t>
  </si>
  <si>
    <t>build 3 times</t>
  </si>
  <si>
    <t>1F8063A03FF2CB49A90656195695F9FB0000000036F30000</t>
  </si>
  <si>
    <t>DM log Code analysis and transformation</t>
  </si>
  <si>
    <t>09AECFC0C4A5BB458BA64C192A624EB80000000029600000</t>
  </si>
  <si>
    <t>Translate swilogplus filter c code to python</t>
  </si>
  <si>
    <t>3D68EC023EC934408492A941A200538000000000345D0000</t>
  </si>
  <si>
    <t>[OEMPRI-6793] -SPKG</t>
  </si>
  <si>
    <t>Glenn Mei(14)</t>
  </si>
  <si>
    <t>Glenn Mei(0)</t>
  </si>
  <si>
    <t>Sara Liu(54)</t>
  </si>
  <si>
    <t>3D68EC023EC934408492A941A200538000000000345E0000</t>
  </si>
  <si>
    <t>[OEMPRI-6794] -SPKG</t>
  </si>
  <si>
    <t>F119BFDAA76478498C2C5D9BC982B4E60000000059450000</t>
  </si>
  <si>
    <t>[OEMPRI-6402]-[proj#4823]-[TDN-013156]-log confirm</t>
  </si>
  <si>
    <t>09AECFC0C4A5BB458BA64C192A624EB800000000295E0000</t>
  </si>
  <si>
    <t>[One-click][Request][AR7592]VZW LE :1103210_9906623_AR7592_01.16.00.00_00_VW_001.013_000_101103210</t>
  </si>
  <si>
    <t>09AECFC0C4A5BB458BA64C192A624EB800000000295F0000</t>
  </si>
  <si>
    <t>Please generate new PRI for SKU 1102626 WP14.1.2 007-009 with secure command correction</t>
  </si>
  <si>
    <t xml:space="preserve">build 9x40 9x28 boot one click </t>
  </si>
  <si>
    <t>1F8063A03FF2CB49A90656195695F9FB0000000036EE0000</t>
  </si>
  <si>
    <t>Bing Huang(14)</t>
  </si>
  <si>
    <t>1103965_9908157_AR7586_Eland Alpha1_China Unicom_MM_BP1.3B1-SWI9X28A_01.00.25.00-Legato18.02.0.rc3</t>
  </si>
  <si>
    <t>Package and release for OEMPRI-6728</t>
  </si>
  <si>
    <t>1F8063A03FF2CB49A90656195695F9FB0000000036F00000</t>
  </si>
  <si>
    <t>Package and release for OEMPRI-6770</t>
  </si>
  <si>
    <t>Samuel Sun(12)</t>
  </si>
  <si>
    <t>F119BFDAA76478498C2C5D9BC982B4E60000000059480000</t>
  </si>
  <si>
    <t>[OEMPRI-6299]-[proj#4824]-[TDN-013155]-log confirm</t>
  </si>
  <si>
    <t>Davy Zhang(17)</t>
  </si>
  <si>
    <t>1103964_9908156_AR7584_Eland Alpha1_MM</t>
  </si>
  <si>
    <t>09AECFC0C4A5BB458BA64C192A624EB800000000295D0000</t>
  </si>
  <si>
    <t>[Sample Preparation][Request][AR7582]Sample for T-Mobile Certification :1103367_9906982_AR7582_00.15.00.00_00_VW_001.015_001_101103367</t>
  </si>
  <si>
    <t>F119BFDAA76478498C2C5D9BC982B4E600000000272E0000</t>
  </si>
  <si>
    <t>1103963_9908155_AR7582_Eland Alpha-1_AT&amp;T_MM_BP1.3B1-SWI9X28A_01.00.25.00-Legato18.02.0.rc3</t>
  </si>
  <si>
    <t>[OEMPRI-6004]-[proj#4961]-[TDN-013127]-log confirm</t>
  </si>
  <si>
    <t>09AECFC0C4A5BB458BA64C192A624EB800000000295C0000</t>
  </si>
  <si>
    <t>[One Click][Request][AR7582]VZW LE : 1103367_9906982_AR7582_00.15.04.00_00_VW_001.018_000_101103367</t>
  </si>
  <si>
    <t xml:space="preserve">Create PASA 1103493 (MY18) SKU with WP 21.4 - MR4 RC4 </t>
  </si>
  <si>
    <t>Joanna Xia(66)</t>
  </si>
  <si>
    <t>1F8063A03FF2CB49A90656195695F9FB0000000036EF0000</t>
  </si>
  <si>
    <t>Package and release for OEMPRI-6312</t>
  </si>
  <si>
    <t>1F8063A03FF2CB49A90656195695F9FB0000000036EB0000</t>
  </si>
  <si>
    <t>Package and release for OEMPRI-6334</t>
  </si>
  <si>
    <t>Create PASA 1102493 (EOL) SKU with WP 21.x - MR4 RC4</t>
  </si>
  <si>
    <t>Joanna Xia(68)</t>
  </si>
  <si>
    <t>Create PASA 1103093 (MY17) SKU with WP 21.x - MR4 RC4</t>
  </si>
  <si>
    <t>1F8063A03FF2CB49A90656195695F9FB0000000036EC0000</t>
  </si>
  <si>
    <t>Package and release for OEMPRI-6670</t>
  </si>
  <si>
    <t>Joanna Xia(32)</t>
  </si>
  <si>
    <t>OEMPRI-6211</t>
  </si>
  <si>
    <t>1103372_9906987_AR7584(4G/4G)_RC1(00.12.06.00)_Generic</t>
  </si>
  <si>
    <t>1F8063A03FF2CB49A90656195695F9FB0000000036ED0000</t>
  </si>
  <si>
    <t>Package and release for OEMPRI-6671</t>
  </si>
  <si>
    <t>Lares Yang(32)</t>
  </si>
  <si>
    <t>F119BFDAA76478498C2C5D9BC982B4E600000000595D0000</t>
  </si>
  <si>
    <t>fact test for field (make sure the result is success)</t>
  </si>
  <si>
    <t>F119BFDAA76478498C2C5D9BC982B4E600000000595A0000</t>
  </si>
  <si>
    <t>[OEMPRI-6487]-[proj#4939]-[TDN-013296]-svt spkg and approve</t>
  </si>
  <si>
    <t>F119BFDAA76478498C2C5D9BC982B4E60000000027250000</t>
  </si>
  <si>
    <t>[OEMPRI-6036]-[proj#4869]-[TDN-013064]-log confirm</t>
  </si>
  <si>
    <t>PRI Framework</t>
  </si>
  <si>
    <t>Bing Huang(71)</t>
  </si>
  <si>
    <t>1F8063A03FF2CB49A90656195695F9FB0000000036EA0000</t>
  </si>
  <si>
    <t>Package and release for OEMPRI-5431</t>
  </si>
  <si>
    <t>F119BFDAA76478498C2C5D9BC982B4E600000000595C0000</t>
  </si>
  <si>
    <t>signature tool struct doc share</t>
  </si>
  <si>
    <t>[Configuration][AR758x] Update PRI baseline with for WP12.8B4</t>
  </si>
  <si>
    <t>1F8063A03FF2CB49A90656195695F9FB0000000036E90000</t>
  </si>
  <si>
    <t>Package and release for OEMPRI-6629</t>
  </si>
  <si>
    <t>[Sample Preparation][Request][AR7592]Sample for Qualcomm : AR7592-1_01.13.03.00_00_VW_001.009_000</t>
  </si>
  <si>
    <t>F119BFDAA76478498C2C5D9BC982B4E60000000059570000</t>
  </si>
  <si>
    <t>Rock Li-Zhi Quan</t>
  </si>
  <si>
    <t>support generate secureboot test_script</t>
  </si>
  <si>
    <t>[Sample Preparation][Request][AR7582]Sample for Qualcomm :1103367_9906982_AR7582_00.13.03.00_00_VW_001.013_000_101103367</t>
  </si>
  <si>
    <t>F119BFDAA76478498C2C5D9BC982B4E60000000059580000</t>
  </si>
  <si>
    <t>Update the PRI Process for MOL Product in the next 2 weeks with when/how to check the requirement</t>
  </si>
  <si>
    <t>F119BFDAA76478498C2C5D9BC982B4E60000000059560000</t>
  </si>
  <si>
    <t>support secureboot build for ar8652</t>
  </si>
  <si>
    <t>1103359_9906968_AR7586(4G/2G)_RC1(00.12.06.00)_Ficosa</t>
  </si>
  <si>
    <t>F119BFDAA76478498C2C5D9BC982B4E60000000059590000</t>
  </si>
  <si>
    <t>[OEMPRI-6487]-[proj#4939]-[TDN-013296]-update</t>
  </si>
  <si>
    <t>09AECFC0C4A5BB458BA64C192A624EB80000000029570000</t>
  </si>
  <si>
    <t>print label logo</t>
  </si>
  <si>
    <t>Ethan Guan(12)</t>
  </si>
  <si>
    <t>F119BFDAA76478498C2C5D9BC982B4E60000000059370000</t>
  </si>
  <si>
    <t>[OEMPRI-5927]-[proj#4962]-[TDN-013118]-log confirm</t>
  </si>
  <si>
    <t>F119BFDAA76478498C2C5D9BC982B4E60000000059410000</t>
  </si>
  <si>
    <t>[OEMPRI-6301]-[proj#5083]-[TDN-013100]-svt spkg and approve</t>
  </si>
  <si>
    <t>[One Click][Request][AR7582]ATT FFW : AR7582-1_00.13.03.00_00_VW_xxx</t>
  </si>
  <si>
    <t>F119BFDAA76478498C2C5D9BC982B4E60000000059440000</t>
  </si>
  <si>
    <t>[OEMPRI-6402]-[proj#4823]-[TDN-013156]-svt spkg and approve</t>
  </si>
  <si>
    <t>F119BFDAA76478498C2C5D9BC982B4E60000000059470000</t>
  </si>
  <si>
    <t xml:space="preserve">Internal Full Test :1103223_9906693_AR7586(4G/4G)_WP12.8B4(SWI9X28A_00.13.04.00)_VW	</t>
  </si>
  <si>
    <t>[OEMPRI-6299]-[proj#4824]-[TDN-013155]-svt spkg and approve</t>
  </si>
  <si>
    <t>F119BFDAA76478498C2C5D9BC982B4E60000000059530000</t>
  </si>
  <si>
    <t>Stone Li(8)</t>
  </si>
  <si>
    <t>add AR8652 server in connect script</t>
  </si>
  <si>
    <t>[Configuration] items need to be remove from Common baseline to Carrier MBN</t>
  </si>
  <si>
    <t>F119BFDAA76478498C2C5D9BC982B4E60000000059540000</t>
  </si>
  <si>
    <t>add fwpackagecreator 1.46 for AR8652</t>
  </si>
  <si>
    <t>F119BFDAA76478498C2C5D9BC982B4E60000000059550000</t>
  </si>
  <si>
    <t>build_machine support AR8652 with fwpackagecreator 1.46</t>
  </si>
  <si>
    <t>[One Click][Request][AR7594]Vodafone TA : AR7594_01.14.02.00_00_VW_001.017</t>
  </si>
  <si>
    <t>F119BFDAA76478498C2C5D9BC982B4E60000000059500000</t>
  </si>
  <si>
    <t xml:space="preserve">plan and prepare signature tool issue </t>
  </si>
  <si>
    <t>Stone Li(30)</t>
  </si>
  <si>
    <t>09AECFC0C4A5BB458BA64C192A624EB80000000029580000</t>
  </si>
  <si>
    <t>[One-click][Request][AR7592]Sample for VZW LE :1103210_9906623_AR7592_01.15.04.00_00_VW_001.012_000_101103210</t>
  </si>
  <si>
    <t>[Configuration] create initial ROW(Reset Of World) Carrier PRI</t>
  </si>
  <si>
    <t>OEMPRI-6128</t>
  </si>
  <si>
    <t>09AECFC0C4A5BB458BA64C192A624EB80000000029590000</t>
  </si>
  <si>
    <t>[SL08082BTA] [1103823] TAC number update for all SKUs - Proj #5079</t>
  </si>
  <si>
    <t>[Sample Preparation][Request][AR7592]Sample for VZW LE :1103210_9906623_AR7592_01.15.04.00_00_VW_001.012_000_101103210 18</t>
  </si>
  <si>
    <t>SL808xBTAR</t>
  </si>
  <si>
    <t>93B7C528E42B53479E865A53DF9698B20000BC98A3E10000</t>
  </si>
  <si>
    <t xml:space="preserve">FWTOOLs when there are more than one cert.def </t>
  </si>
  <si>
    <t>Wilson Lin – Shenzhen(8)</t>
  </si>
  <si>
    <t xml:space="preserve">COUGAR_Lab_1103367_9906982_AR7582_SWI9X28A_00.13.03.00_VW </t>
  </si>
  <si>
    <t>3D68EC023EC934408492A941A200538000000000345B0000</t>
  </si>
  <si>
    <t>[OEMPRI-6611] - SPKG</t>
  </si>
  <si>
    <t>Bing Huang(31)</t>
  </si>
  <si>
    <t>3D68EC023EC934408492A941A200538000000000345C0000</t>
  </si>
  <si>
    <t>[OEMPRI-6611] - TEST</t>
  </si>
  <si>
    <t>F119BFDAA76478498C2C5D9BC982B4E600000000263F0000</t>
  </si>
  <si>
    <t xml:space="preserve">COUGAR_Lab_1103367_9906982_AR7582_SWI9X28A_00.13.05.00_VW </t>
  </si>
  <si>
    <t>[OEMPRI-5169]-[proj#3823]-[ECO-025607]-log confirm</t>
  </si>
  <si>
    <t>1F8063A03FF2CB49A90656195695F9FB0000000036E70000</t>
  </si>
  <si>
    <t>Package and release for OEMPRI-6604</t>
  </si>
  <si>
    <t>Roger Wang(15)</t>
  </si>
  <si>
    <t>[AR7594] 1103204_9906619_VW_WP15.2B2 Update for Vodafone TA</t>
  </si>
  <si>
    <t>1F8063A03FF2CB49A90656195695F9FB0000000036E80000</t>
  </si>
  <si>
    <t>Package and release for OEMPRI-6610</t>
  </si>
  <si>
    <t xml:space="preserve">[One Click][Request][AR7582-1]VZW Test Build  for CDMA Less Type3 TC2.2.11.3 and TC 2.2.3.3 OptB  </t>
  </si>
  <si>
    <t>F119BFDAA76478498C2C5D9BC982B4E600000000594E0000</t>
  </si>
  <si>
    <t>excel base valid check</t>
  </si>
  <si>
    <t>F119BFDAA76478498C2C5D9BC982B4E60000000059510000</t>
  </si>
  <si>
    <t>backup qcn data for new model</t>
  </si>
  <si>
    <t xml:space="preserve">Gerry Yang </t>
  </si>
  <si>
    <t>F119BFDAA76478498C2C5D9BC982B4E600000000594C0000</t>
  </si>
  <si>
    <t>update sku and parent sku table in google sheet</t>
  </si>
  <si>
    <t>F119BFDAA76478498C2C5D9BC982B4E600000000594D0000</t>
  </si>
  <si>
    <t xml:space="preserve"> [One Click][Request][AR7582-1]PTCRB Final FW SWI9X28A_00.13.03.00</t>
  </si>
  <si>
    <t>django server prepare</t>
  </si>
  <si>
    <t>F119BFDAA76478498C2C5D9BC982B4E600000000594F0000</t>
  </si>
  <si>
    <t>pri cross check or review template</t>
  </si>
  <si>
    <t>Bing Huang(54)</t>
  </si>
  <si>
    <t xml:space="preserve">[One Click][Request][AR7582-1]VZW Test Build  for CDMA Less Type3 TC2.2.11.3 and TC 2.2.3.3 OptB </t>
  </si>
  <si>
    <t>F119BFDAA76478498C2C5D9BC982B4E60000000059520000</t>
  </si>
  <si>
    <t>device hand up when sync data to google sheet(should start with thread)</t>
  </si>
  <si>
    <t>3D68EC023EC934408492A941A20053800000000034590000</t>
  </si>
  <si>
    <t>[OEMPRI-6597] - SPKG</t>
  </si>
  <si>
    <t>Bing Huang(43)</t>
  </si>
  <si>
    <t>[One Click][Request][AR7582-1]VZW Test Build</t>
  </si>
  <si>
    <t>3D68EC023EC934408492A941A200538000000000345A0000</t>
  </si>
  <si>
    <t>[OEMPRI-6597] - TEST</t>
  </si>
  <si>
    <t>93B7C528E42B53479E865A53DF9698B20000BC98A3E00000</t>
  </si>
  <si>
    <t>FWTOOLS-177 Magneti Marelli | ATB4G Secure Boot RSA2048 Support</t>
  </si>
  <si>
    <t>1103368_9906983_AR7584(4G/2G)_Eel-Alpha 3_MM with parent SKU#</t>
  </si>
  <si>
    <t>1F8063A03FF2CB49A90656195695F9FB0000000036E60000</t>
  </si>
  <si>
    <t>Familiarity with the code and architecture of the signature tool.</t>
  </si>
  <si>
    <t>Office</t>
  </si>
  <si>
    <t>1F8063A03FF2CB49A90656195695F9FB0000000036E40000</t>
  </si>
  <si>
    <t>sumary about the HL3450 FACT test</t>
  </si>
  <si>
    <t>[AR758x][2.x Baseline] Update Carrier MBN baseline to aligned with QC baseliine JO2.0.2</t>
  </si>
  <si>
    <t>3D68EC023EC934408492A941A20053800000000034570000</t>
  </si>
  <si>
    <t>[OEMPRI-6487] - SPKG</t>
  </si>
  <si>
    <t>3D68EC023EC934408492A941A20053800000000034580000</t>
  </si>
  <si>
    <t>[OEMPRI-6487] - TEST</t>
  </si>
  <si>
    <t xml:space="preserve">1103371_9906986_AR7586(4G/2G)_Eel-Alpha3_MM with Parent SKU </t>
  </si>
  <si>
    <t>616E22C5EC93AF48B41E5A76D1E755220001107632830000</t>
  </si>
  <si>
    <t>OEMPRI-6563 Setup customization settings, "SERVICEPINDISABLE",as protection level2 for MM</t>
  </si>
  <si>
    <t>Test, NVUP</t>
  </si>
  <si>
    <t>1F8063A03FF2CB49A90656195695F9FB0000000036E50000</t>
  </si>
  <si>
    <t>sumary about the Flash-break problem with AR7552</t>
  </si>
  <si>
    <t xml:space="preserve">1103368_9906983_AR7584(4G/2G)_create NV up file with parent SKU and upgrade NVs to match 2.x FW	</t>
  </si>
  <si>
    <t>3D68EC023EC934408492A941A20053800000000034520000</t>
  </si>
  <si>
    <t>[OEMPRI-6504] - TEST</t>
  </si>
  <si>
    <t>F119BFDAA76478498C2C5D9BC982B4E600000000593A0000</t>
  </si>
  <si>
    <t>[OEMPRI-6444]-[proj#5219]-[ECO-026638]-log confirm</t>
  </si>
  <si>
    <t>1103371_9906986_AR7586(4G/2G)_create NV up file with parent SKU and upgrade NVs to match 2.x FW</t>
  </si>
  <si>
    <t>Bing Huang*(31)</t>
  </si>
  <si>
    <t>F119BFDAA76478498C2C5D9BC982B4E600000000594A0000</t>
  </si>
  <si>
    <t>right click tool to sync long path file to destination with beyond comare</t>
  </si>
  <si>
    <t>F119BFDAA76478498C2C5D9BC982B4E600000000594B0000</t>
  </si>
  <si>
    <t>right click tool to sync long path file to destination with robocopy</t>
  </si>
  <si>
    <t>[AR7594] 1103204_9906619_VW_WP15.4B2 lead package creation</t>
  </si>
  <si>
    <t>616E22C5EC93AF48B41E5A76D1E755220001107632810000</t>
  </si>
  <si>
    <t>OEMPRI-6551 CLONE - EEL_Beta: LeadSKU 1103831_9906998_AR7584(4G/2G)_BP4.4B1(SWI9X28A_01.00.27.00)_Ficosa</t>
  </si>
  <si>
    <t>OEMPRI-6041</t>
  </si>
  <si>
    <t>09AECFC0C4A5BB458BA64C192A624EB80000000029540000</t>
  </si>
  <si>
    <t>1103996_9908136_AR7596_RC1_EMU_VW package request</t>
  </si>
  <si>
    <t>OEMPRI-6036</t>
  </si>
  <si>
    <t>3D68EC023EC934408492A941A20053800000000034510000</t>
  </si>
  <si>
    <t>[OEMPRI-6504] - SKPG</t>
  </si>
  <si>
    <t>1103992_9908132_AR7592(EMU_VW)_RC1 for factory shipment</t>
  </si>
  <si>
    <t>Bing Huang(24)</t>
  </si>
  <si>
    <t>3D68EC023EC934408492A941A20053800000000034540000</t>
  </si>
  <si>
    <t>[OEMPRI-6551] - TEST</t>
  </si>
  <si>
    <t>Cassie Sheng(25)</t>
  </si>
  <si>
    <t>3D68EC023EC934408492A941A20053800000000034530000</t>
  </si>
  <si>
    <t>[OEMPRI-6551] - SKPG</t>
  </si>
  <si>
    <t>3D68EC023EC934408492A941A20053800000000034560000</t>
  </si>
  <si>
    <t>[OEMPRI-6534] - NVU file TEST</t>
  </si>
  <si>
    <t>1103964_9908156_AR7584_With Eel Alpha 3(BP3.8B1-SWI9X28A_01.00.19.00-Legato17.11.0.m1.rc1)_MM</t>
  </si>
  <si>
    <t>3D68EC023EC934408492A941A20053800000000034550000</t>
  </si>
  <si>
    <t>[OEMPRI-6534] - NVU file generate</t>
  </si>
  <si>
    <t>09AECFC0C4A5BB458BA64C192A624EB80000000029560000</t>
  </si>
  <si>
    <t>1103965_9908157_AR7586_With Eel Alpha 3 (BP3.8B1-SWI9X28A_01.00.19.00-Legato17.11.0.m1.rc1)_China Unicom_MM</t>
  </si>
  <si>
    <t>616E22C5EC93AF48B41E5A76D1E755220001107632850000</t>
  </si>
  <si>
    <t>OEMPRI-6486 NV Patch for Cougar-2744 on top of WP11.12B4</t>
  </si>
  <si>
    <t>1103963_9908155_AR7582_With Eel Alpha 3 (BP3.8B1-SWI9X28A_01.00.19.00-Legato17.11.0.m1.rc1)_AT&amp;T</t>
  </si>
  <si>
    <t>616E22C5EC93AF48B41E5A76D1E755220001107632860000</t>
  </si>
  <si>
    <t>COUGAR-2744 Create patch for COUGAR-2684 on top of RC1</t>
  </si>
  <si>
    <t>Bing Huang(68)</t>
  </si>
  <si>
    <t>616E22C5EC93AF48B41E5A76D1E755220001107632800000</t>
  </si>
  <si>
    <t>delta package download fail jenkins log anylize.</t>
  </si>
  <si>
    <t>Tool, Test, Improvement</t>
  </si>
  <si>
    <t>[AR7592-1] 1103210_9906623_VW_WP14.5B1-Update for ATT TA</t>
  </si>
  <si>
    <t>CABC13619704C6418CD791C82D7CDF1C00CCE3A3A0800000</t>
  </si>
  <si>
    <t xml:space="preserve">AR7582 -Ficosa Baseline </t>
  </si>
  <si>
    <t>Lares Yang,Bing Huang</t>
  </si>
  <si>
    <t>Ben Zheng(2)</t>
  </si>
  <si>
    <t>1103102_9906297_AR7592(Generic)_RC1 for factory shipment</t>
  </si>
  <si>
    <t>616E22C5EC93AF48B41E5A76D1E755220001107632870000</t>
  </si>
  <si>
    <t>OEMPRI-6494 1103992_9908132_AR7592_EMU_Alpha2_VW</t>
  </si>
  <si>
    <t>616E22C5EC93AF48B41E5A76D1E755220001107632880000</t>
  </si>
  <si>
    <t>[One Click][Request][AR7582]VZW LE : AR7582_00.13.02.00_00_VW_001.012</t>
  </si>
  <si>
    <t>616E22C5EC93AF48B41E5A76D1E7552200011076327F0000</t>
  </si>
  <si>
    <t>OEMPRI-6487 1103998_9908146_AR8582_Eland Alpha1_MM_BP1.3B1-SWI9X28A_01.00.25.00-Legato18.02.0.rc3</t>
  </si>
  <si>
    <t>616E22C5EC93AF48B41E5A76D1E755220001107632890000</t>
  </si>
  <si>
    <t>priority</t>
  </si>
  <si>
    <t>AR7586-Ficosa-Baseline</t>
  </si>
  <si>
    <t>Olivier Pasco</t>
  </si>
  <si>
    <t>Harris Pang(1)</t>
  </si>
  <si>
    <t>F119BFDAA76478498C2C5D9BC982B4E60000000059490000</t>
  </si>
  <si>
    <t xml:space="preserve">signature tool entry for .py/32/64 </t>
  </si>
  <si>
    <t>[AR7594] Create VW PRI for RC1 release(01.13.03.00)</t>
  </si>
  <si>
    <t>F119BFDAA76478498C2C5D9BC982B4E60000000059430000</t>
  </si>
  <si>
    <t>[OEMPRI-6402]-[proj#4823]-[TDN-013156]-update</t>
  </si>
  <si>
    <t>OEMPRI-5978</t>
  </si>
  <si>
    <t>[SL08082BTA] [1103344] TAC number update for all SKUs - Proj #5079</t>
  </si>
  <si>
    <t>F119BFDAA76478498C2C5D9BC982B4E60000000059460000</t>
  </si>
  <si>
    <t>[OEMPRI-6299]-[proj#4824]-[TDN-013155]-update</t>
  </si>
  <si>
    <t>OEMPRI-5970</t>
  </si>
  <si>
    <t>[SL08082BTA] [1102780] TAC number update for all SKUs - Proj #5079</t>
  </si>
  <si>
    <t>Stone Li(26)</t>
  </si>
  <si>
    <t>3D68EC023EC934408492A941A200538000000000344D0000</t>
  </si>
  <si>
    <t>[OEMPRI-6494] - SPKG</t>
  </si>
  <si>
    <t>OEMPRI-5973</t>
  </si>
  <si>
    <t>[SL08082BTA] [1103092] TAC number update for all SKUs - Proj #5079</t>
  </si>
  <si>
    <t>3D68EC023EC934408492A941A200538000000000344E0000</t>
  </si>
  <si>
    <t>[OEMPRI-6494] - TEST</t>
  </si>
  <si>
    <t>OEMPRI-5972</t>
  </si>
  <si>
    <t>[SL08082BTA] [1103087] TAC number update for all SKUs - Proj #5079</t>
  </si>
  <si>
    <t>09AECFC0C4A5BB458BA64C192A624EB80000000029530000</t>
  </si>
  <si>
    <t xml:space="preserve">[One Click][Request][AR7584]Vodafone FFW :1103151_9906435_AR7584_00.15.03.00_00_VW_001.012_000_101103151 </t>
  </si>
  <si>
    <t>Rain Xie(21)</t>
  </si>
  <si>
    <t>Rain Xie(0)</t>
  </si>
  <si>
    <t>Stone Li(16)</t>
  </si>
  <si>
    <t>OEMPRI-5974</t>
  </si>
  <si>
    <t>F119BFDAA76478498C2C5D9BC982B4E60000000026430000</t>
  </si>
  <si>
    <t>[OEMPRI-5168]-[proj#3822]-[ECO-025605]-svt spkg and approve</t>
  </si>
  <si>
    <t>[SL08082BTA] [1103132] TAC number update for all SKUs - Proj #5079</t>
  </si>
  <si>
    <t>F119BFDAA76478498C2C5D9BC982B4E600000000593D0000</t>
  </si>
  <si>
    <t>build signature tool to binary file in ubuntu32</t>
  </si>
  <si>
    <t>F119BFDAA76478498C2C5D9BC982B4E600000000593E0000</t>
  </si>
  <si>
    <t>build signature tool to binary file in ubuntu64</t>
  </si>
  <si>
    <t>[SL08082BTA] [1103376] TAC number update for all SKUs - Proj #4942</t>
  </si>
  <si>
    <t>F119BFDAA76478498C2C5D9BC982B4E600000000593F0000</t>
  </si>
  <si>
    <t>one-Click build signature tool in ubuntu32/64</t>
  </si>
  <si>
    <t>Traving Chen(27)</t>
  </si>
  <si>
    <t>OEMPRI-5968</t>
  </si>
  <si>
    <t>Traving Chen(0)</t>
  </si>
  <si>
    <t>Lolly Cao(6)</t>
  </si>
  <si>
    <t>09AECFC0C4A5BB458BA64C192A624EB80000000029550000</t>
  </si>
  <si>
    <t>[SL08082BTA] [1102655] TAC number update for all SKUs - Proj #5079</t>
  </si>
  <si>
    <t>prepare 9 Power Modules for AR755x and test</t>
  </si>
  <si>
    <t>616E22C5EC93AF48B41E5A76D1E755220001107632840000</t>
  </si>
  <si>
    <t>ROW MBN for AR759x</t>
  </si>
  <si>
    <t>Test, PRI Template, Package, NVUP</t>
  </si>
  <si>
    <t>[SL08082BTA] [1103066] TAC number update for all SKUs - Proj #4942</t>
  </si>
  <si>
    <t>F119BFDAA76478498C2C5D9BC982B4E600000000593B0000</t>
  </si>
  <si>
    <t>Samuel Sun(1)</t>
  </si>
  <si>
    <t>dumpdiff run failed when run 6442</t>
  </si>
  <si>
    <t>F119BFDAA76478498C2C5D9BC982B4E60000000059400000</t>
  </si>
  <si>
    <t>OEMPRI-5969</t>
  </si>
  <si>
    <t>[OEMPRI-6301]-[proj#5083]-[TDN-013100]-update</t>
  </si>
  <si>
    <t>[SL08082BTA] [1102760] TAC number update for all SKUs - Proj #5079</t>
  </si>
  <si>
    <t>3D68EC023EC934408492A941A20053800000000034500000</t>
  </si>
  <si>
    <t>[OEMPRI-6407] - TEST</t>
  </si>
  <si>
    <t>OEMPRI-5967</t>
  </si>
  <si>
    <t>[SL08082BTA] [1102345] TAC number update for all SKUs - Proj #5079</t>
  </si>
  <si>
    <t>3D68EC023EC934408492A941A200538000000000344F0000</t>
  </si>
  <si>
    <t>[OEMPRI-6407] - SPKG</t>
  </si>
  <si>
    <t>F119BFDAA76478498C2C5D9BC982B4E600000000263E0000</t>
  </si>
  <si>
    <t>[OEMPRI-5169]-[proj#3823]-[ECO-025607]-svt spkg and approve</t>
  </si>
  <si>
    <t>[SL08082BTA] [1103143] TAC number update for all SKUs - Proj #4942</t>
  </si>
  <si>
    <t>F119BFDAA76478498C2C5D9BC982B4E60000000026370000</t>
  </si>
  <si>
    <t>[OEMPRI-5165]-[proj#3821]-[ECO-025602]-log confirm</t>
  </si>
  <si>
    <t>[SL08082BTA] [1103238] TAC number update for all SKUs - Proj #4942</t>
  </si>
  <si>
    <t>F119BFDAA76478498C2C5D9BC982B4E60000000027220000</t>
  </si>
  <si>
    <t>[OEMPRI-6041]-[proj#4871]-[TDN-013065]-log confirm</t>
  </si>
  <si>
    <t>Stone Li(27)</t>
  </si>
  <si>
    <t>F119BFDAA76478498C2C5D9BC982B4E600000000263A0000</t>
  </si>
  <si>
    <t>[OEMPRI-5164]-[proj#4169]-[ECO-025608]-log confirm</t>
  </si>
  <si>
    <t>[SL08082BTA] [1103321] TAC number update for all SKUs - Proj #4942</t>
  </si>
  <si>
    <t>1F8063A03FF2CB49A90656195695F9FB0000000036E30000</t>
  </si>
  <si>
    <t>Package and release for OEMPRI-6457</t>
  </si>
  <si>
    <t>F119BFDAA76478498C2C5D9BC982B4E60000000059390000</t>
  </si>
  <si>
    <t>[OEMPRI-6444]-[proj#5219]-[ECO-026638]-svt spkg and approve</t>
  </si>
  <si>
    <t>09AECFC0C4A5BB458BA64C192A624EB80000000029510000</t>
  </si>
  <si>
    <t>fota AR8652_AR755x and AR759X_AR758X detla spkg</t>
  </si>
  <si>
    <t>[Test Script] COM Error when restore QCN sometims.</t>
  </si>
  <si>
    <t>F119BFDAA76478498C2C5D9BC982B4E60000000059380000</t>
  </si>
  <si>
    <t>[OEMPRI-6444]-[proj#5219]-[ECO-026638]-update</t>
  </si>
  <si>
    <t>Bing Huang(18)</t>
  </si>
  <si>
    <t>09AECFC0C4A5BB458BA64C192A624EB80000000029520000</t>
  </si>
  <si>
    <t>LeadSKU 1103378_9906998_AR7584(4G/2G)_Release2-EEL_Alpha3_BP3.8B1(SWI9X28A_01.00.19.00)_Ficosa</t>
  </si>
  <si>
    <t>[One Click][Request][AR7582]VZW LE : 1103367_9906982_AR7582_00.15.04.00_00_VW_001.017_000_101103367</t>
  </si>
  <si>
    <t>F119BFDAA76478498C2C5D9BC982B4E600000000593C0000</t>
  </si>
  <si>
    <t xml:space="preserve">Package and release for OEMPRI-6458 </t>
  </si>
  <si>
    <t>MC7354,1103925,Proj#4356 new SKU to support Verizon 3G/4G SUPL</t>
  </si>
  <si>
    <t>F119BFDAA76478498C2C5D9BC982B4E60000000027230000</t>
  </si>
  <si>
    <t>[OEMPRI-6036]-[proj#4869]-[TDN-013064]-update</t>
  </si>
  <si>
    <t>F119BFDAA76478498C2C5D9BC982B4E60000000027240000</t>
  </si>
  <si>
    <t>[OEMPRI-6036]-[proj#4869]-[TDN-013064]-svt spkg and approve</t>
  </si>
  <si>
    <t>[Sample Preparation][Request][AR7592]VZW Pre-LE : AR7592-1_01.13.03.00_00_VW_001.009_000</t>
  </si>
  <si>
    <t>616E22C5EC93AF48B41E5A76D1E7552200011076327D0000</t>
  </si>
  <si>
    <t xml:space="preserve">ROW MBN for AR758x </t>
  </si>
  <si>
    <t>Test, PRI Template, Package</t>
  </si>
  <si>
    <t>F119BFDAA76478498C2C5D9BC982B4E60000000059360000</t>
  </si>
  <si>
    <t>[SL08082BTA] [1103821] TAC number update for all SKUs - Proj #4942</t>
  </si>
  <si>
    <t>[OEMPRI-5927]-[proj#4962]-[TDN-013118]-svt spkg and approve</t>
  </si>
  <si>
    <t>Bing Huang(73)</t>
  </si>
  <si>
    <t>F119BFDAA76478498C2C5D9BC982B4E60000000027210000</t>
  </si>
  <si>
    <t>OEMPRI-5381</t>
  </si>
  <si>
    <t>[OEMPRI-6041]-[proj#4871]-[TDN-013065]-svt spkg and approve</t>
  </si>
  <si>
    <t>[One Click][Request][AR7582-1]VZW Test Build : AR7584_00.12.13.00_00_VW_001.011_000_101103151</t>
  </si>
  <si>
    <t>1F8063A03FF2CB49A90656195695F9FB0000000036E10000</t>
  </si>
  <si>
    <t>test for HL3450 OEMPRI-6427</t>
  </si>
  <si>
    <t>OEMPRI-5377</t>
  </si>
  <si>
    <t>F119BFDAA76478498C2C5D9BC982B4E60000000027320000</t>
  </si>
  <si>
    <t>could restore qcn for ar755x or not</t>
  </si>
  <si>
    <t>1103049_9906093_AR7594(4g4g_Generic)</t>
  </si>
  <si>
    <t>OEMPRI-5376</t>
  </si>
  <si>
    <t>F119BFDAA76478498C2C5D9BC982B4E600000000271F0000</t>
  </si>
  <si>
    <t>[OEMPRI-6211]-[proj#5086]-[TDN-013121]-log confirm</t>
  </si>
  <si>
    <t>F119BFDAA76478498C2C5D9BC982B4E60000000027200000</t>
  </si>
  <si>
    <t>[OEMPRI-6041]-[proj#4871]-[TDN-013065]-update</t>
  </si>
  <si>
    <t>OEMPRI-5375</t>
  </si>
  <si>
    <t>1F8063A03FF2CB49A90656195695F9FB0000000036E20000</t>
  </si>
  <si>
    <t>FACT test for OEMPRI-6272 6274 6275</t>
  </si>
  <si>
    <t>OEMPRI-5374</t>
  </si>
  <si>
    <t>F119BFDAA76478498C2C5D9BC982B4E60000000027330000</t>
  </si>
  <si>
    <t>disccuss secure boot new process with spm/pm</t>
  </si>
  <si>
    <t>[One Click][Request][AR7592]VZW Pre-LE : AR7592-1_01.13.03.00_00_VW_001.009_000</t>
  </si>
  <si>
    <t>Davy Zhang(18)</t>
  </si>
  <si>
    <t>OEMPRI-5370</t>
  </si>
  <si>
    <t>F119BFDAA76478498C2C5D9BC982B4E60000000059350000</t>
  </si>
  <si>
    <t>[OEMPRI-5927]-[proj#4962]-[TDN-013118]-update</t>
  </si>
  <si>
    <t>[One Click][Request][AR7592]ATT FFW : AR7592-1_01.13.03.00_00_VW_001.009_000</t>
  </si>
  <si>
    <t>3D68EC023EC934408492A941A200538000000000344C0000</t>
  </si>
  <si>
    <t>[OEMPRI-6401] - AR759X Baseline Upgrate</t>
  </si>
  <si>
    <t>OEMPRI-5369</t>
  </si>
  <si>
    <t>09AECFC0C4A5BB458BA64C192A624EB80000000029500000</t>
  </si>
  <si>
    <t>Cassie Sheng(29)</t>
  </si>
  <si>
    <t>[One Click][Request][AR7582]VZW LE : 1103367_9906982_AR7582_00.15.02.00_00_VW_001.016_000_101103367</t>
  </si>
  <si>
    <t>[One Click][Request][AR7584]VDF LE : AR7584_00.12.13.00_00_VW_001.011_000_101103151</t>
  </si>
  <si>
    <t>F119BFDAA76478498C2C5D9BC982B4E600000000272D0000</t>
  </si>
  <si>
    <t>[OEMPRI-6004]-[proj#4961]-[TDN-013127]-svt spkg and approve</t>
  </si>
  <si>
    <t>Bing Huang*(36)</t>
  </si>
  <si>
    <t>F119BFDAA76478498C2C5D9BC982B4E60000000026360000</t>
  </si>
  <si>
    <t>[OEMPRI-5165]-[proj#3821]-[ECO-025602]--svt spkg and approve</t>
  </si>
  <si>
    <t>[One Click][Request][AR7582]ATT FFW : AR7582-1_00.12.06.00_00_VW_001.010_000</t>
  </si>
  <si>
    <t>OEMTP-1370</t>
  </si>
  <si>
    <t>Jason Liu</t>
  </si>
  <si>
    <t>F119BFDAA76478498C2C5D9BC982B4E60000000027010000</t>
  </si>
  <si>
    <t>[OEMPRI-6055]-[proj#4822]-[TDN-013032]-log confirm</t>
  </si>
  <si>
    <t>Documentation</t>
  </si>
  <si>
    <t>Adam L DeMarco(3)</t>
  </si>
  <si>
    <t>Adam L DeMarco(0)</t>
  </si>
  <si>
    <t>Jason Liu(75)</t>
  </si>
  <si>
    <t>None(0)</t>
  </si>
  <si>
    <t>[AR759x] PRI baselines to be aligned with [WP15.4B2]</t>
  </si>
  <si>
    <t>OEMPRI-5367</t>
  </si>
  <si>
    <t>F119BFDAA76478498C2C5D9BC982B4E600000000272B0000</t>
  </si>
  <si>
    <t>[OEMPRI-6325]-[proj#4667]-[TDN-013084]-log confirm</t>
  </si>
  <si>
    <t>Roger Wang(28)</t>
  </si>
  <si>
    <t>Cassie Sheng(5)</t>
  </si>
  <si>
    <t>F119BFDAA76478498C2C5D9BC982B4E60000000027300000</t>
  </si>
  <si>
    <t>OEMPRI-5368</t>
  </si>
  <si>
    <t>auto commit jenkins job to svn weh changed</t>
  </si>
  <si>
    <t>[Configuration][AR758x] Update PRI baseline with for BP3.8B1</t>
  </si>
  <si>
    <t>Bing Huang(82)</t>
  </si>
  <si>
    <t>F119BFDAA76478498C2C5D9BC982B4E60000000027310000</t>
  </si>
  <si>
    <t>restore jobs to jenkins from svn</t>
  </si>
  <si>
    <t>OEMPRI-5365</t>
  </si>
  <si>
    <t>Initial create  MBN Repository for 9x40</t>
  </si>
  <si>
    <t>F119BFDAA76478498C2C5D9BC982B4E600000000272F0000</t>
  </si>
  <si>
    <t>export jenkins job to svn</t>
  </si>
  <si>
    <t>Samuel Sun(9)</t>
  </si>
  <si>
    <t>F119BFDAA76478498C2C5D9BC982B4E600000000272A0000</t>
  </si>
  <si>
    <t>[OEMPRI-6325]-[proj#4667]-[TDN-013084]-svt spkg and approve</t>
  </si>
  <si>
    <t>OEMPRI-5364</t>
  </si>
  <si>
    <t>MC7354,1102016,Proj#4921 SKU update with new TAC</t>
  </si>
  <si>
    <t>F119BFDAA76478498C2C5D9BC982B4E600000000271D0000</t>
  </si>
  <si>
    <t>[OEMPRI-6211]-[proj#5086]-[TDN-013121]-update</t>
  </si>
  <si>
    <t>OEMPRI-5363</t>
  </si>
  <si>
    <t>F119BFDAA76478498C2C5D9BC982B4E600000000271E0000</t>
  </si>
  <si>
    <t>[OEMPRI-6211]-[proj#5086]-[TDN-013121]-svt spkg and approve</t>
  </si>
  <si>
    <t xml:space="preserve">COUGAR_Lab_1103367_9906982_AR7582_SWI9X28A_00.13.02.00_VW </t>
  </si>
  <si>
    <t>OEMPRI-5350</t>
  </si>
  <si>
    <t>09AECFC0C4A5BB458BA64C192A624EB800000000294F0000</t>
  </si>
  <si>
    <t>revise one-click tool：1、add version。2、print os informations.3、print port informations.</t>
  </si>
  <si>
    <t>OEMPRI-5349</t>
  </si>
  <si>
    <t>F119BFDAA76478498C2C5D9BC982B4E60000000027340000</t>
  </si>
  <si>
    <t>make AR7582-1 as AR7582 in test script</t>
  </si>
  <si>
    <t>[AR7594] 1103204_9906619_VW_WP15.2B2</t>
  </si>
  <si>
    <t>Bing Huang(32)</t>
  </si>
  <si>
    <t>Rain Xie(6)</t>
  </si>
  <si>
    <t>09AECFC0C4A5BB458BA64C192A624EB800000000294E0000</t>
  </si>
  <si>
    <t>OEMPRI-5348</t>
  </si>
  <si>
    <t>[One Click][Request][AR7582]ATT FFW : AR7582-1_00.15.00.00_00_VW_xxx</t>
  </si>
  <si>
    <t>build  script need support to generate .cfg file INFO:MODEMTYPE=AR7582-1, AR7592-1</t>
  </si>
  <si>
    <t>F119BFDAA76478498C2C5D9BC982B4E600000000272C0000</t>
  </si>
  <si>
    <t>[OEMPRI-6004]-[proj#4961]-[TDN-013127]-update</t>
  </si>
  <si>
    <t>OEMPRI-5336</t>
  </si>
  <si>
    <t>Stone Li(32)</t>
  </si>
  <si>
    <t>F119BFDAA76478498C2C5D9BC982B4E60000000027270000</t>
  </si>
  <si>
    <t>fix bug --cfg does not contain TAC</t>
  </si>
  <si>
    <t>OEMPRI-5333</t>
  </si>
  <si>
    <t>Update PASA 1103818 SKU with WP 21.x - MR4 RC3(Secure Boot with MOLAR755XRD-128)</t>
  </si>
  <si>
    <t>F119BFDAA76478498C2C5D9BC982B4E60000000027280000</t>
  </si>
  <si>
    <t>fix after QCN restore shold be wait device online</t>
  </si>
  <si>
    <t>Stone Li(50)</t>
  </si>
  <si>
    <t>616E22C5EC93AF48B41E5A76D1E7552200011076328A0000</t>
  </si>
  <si>
    <t>OEMPRI-6151 [Configuration] create initial ROW(Reset Of World) Carrier PRI</t>
  </si>
  <si>
    <t>[AR7586] nvup file bugfix--Test Case failure of SRRC certification</t>
  </si>
  <si>
    <t>F119BFDAA76478498C2C5D9BC982B4E60000000027260000</t>
  </si>
  <si>
    <t>gereral MBN carrier discuss</t>
  </si>
  <si>
    <t>Bing Huang(42)</t>
  </si>
  <si>
    <t>F119BFDAA76478498C2C5D9BC982B4E60000000027290000</t>
  </si>
  <si>
    <t>[OEMPRI-6325]-[proj#4667]-[TDN-013084]-update</t>
  </si>
  <si>
    <t>OEMPRI-5334</t>
  </si>
  <si>
    <t>Create PASA 1102493 (EOL) SKU with WP 21.x - MR4 RC3 (Secure Boot with MOLAR755XRD-128 fix)</t>
  </si>
  <si>
    <t>Bing Huang(55)</t>
  </si>
  <si>
    <t>93B7C528E42B53479E865A53DF9698B20000BC98A3DC0000</t>
  </si>
  <si>
    <t>OEMPRI-6299 OEMPRI-6299 1103965_9908157_AR7586_With Eland Alpha1_China Unicom_MM</t>
  </si>
  <si>
    <t>PRI Template, Package</t>
  </si>
  <si>
    <t>OEMPRI-5330</t>
  </si>
  <si>
    <t>93B7C528E42B53479E865A53DF9698B20000BC98A3E20000</t>
  </si>
  <si>
    <t>ELAN-380 [NVUP] nvup file for Eland Alpha 1 AR7586 SKU update</t>
  </si>
  <si>
    <t xml:space="preserve"> Create PASA 1103093 (MY17) SKU with WP 21.2 - MR4 RC3 (Secure Boot with MOLAR755XRD-128)</t>
  </si>
  <si>
    <t>93B7C528E42B53479E865A53DF9698B20000BC98A3DF0000</t>
  </si>
  <si>
    <t>OEMPRI-5331</t>
  </si>
  <si>
    <t>FWTOOLS-161 nvu file not updated when concatenated with a delta package</t>
  </si>
  <si>
    <t>Stone Li(40)</t>
  </si>
  <si>
    <t>3D68EC023EC934408492A941A20053800000000034490000</t>
  </si>
  <si>
    <t>[OEMPRI-6300] - TEST</t>
  </si>
  <si>
    <t>Create PASA 1103493 (MY18) SKU with WP 21.2 - MR4 RC3 (Secure Boot with MOLAR755XRD-128)</t>
  </si>
  <si>
    <t>OEMPRI-5329</t>
  </si>
  <si>
    <t>3D68EC023EC934408492A941A20053800000000034480000</t>
  </si>
  <si>
    <t>[OEMPRI-6300] - SPKG</t>
  </si>
  <si>
    <t>Bing Huang(58)</t>
  </si>
  <si>
    <t>3D68EC023EC934408492A941A200538000000000344A0000</t>
  </si>
  <si>
    <t>OEMPRI-5320</t>
  </si>
  <si>
    <t>[OEMPRI-6210] - TEST</t>
  </si>
  <si>
    <t>[AR7594] 1103049_9906093_Generic_WP14.5B1</t>
  </si>
  <si>
    <t>3D68EC023EC934408492A941A20053800000000034440000</t>
  </si>
  <si>
    <t>[OEMPRI-6210] - SPKG</t>
  </si>
  <si>
    <t>OEMPRI-5318</t>
  </si>
  <si>
    <t>[Configuration][AR758x] Update PRI baseline with for COUGAR-RC2</t>
  </si>
  <si>
    <t>3D68EC023EC934408492A941A20053800000000034450000</t>
  </si>
  <si>
    <t>[OEMPRI-6272] - SPKG</t>
  </si>
  <si>
    <t>OEMPRI-5319</t>
  </si>
  <si>
    <t>3D68EC023EC934408492A941A20053800000000034460000</t>
  </si>
  <si>
    <t>[OEMPRI-6274] - SPKG</t>
  </si>
  <si>
    <t>[AR7594]1103993_9908133 EMU_Create VW PRI for RC1 release</t>
  </si>
  <si>
    <t>3D68EC023EC934408492A941A20053800000000034470000</t>
  </si>
  <si>
    <t>[OEMPRI-6275] - SPKG</t>
  </si>
  <si>
    <t>OEMPRI-5323</t>
  </si>
  <si>
    <t>F119BFDAA76478498C2C5D9BC982B4E60000000026F10000</t>
  </si>
  <si>
    <t>CLONE - [AR7594] 1103204_9906619_VW_WP15.1B2</t>
  </si>
  <si>
    <t>OEMPRI-5322</t>
  </si>
  <si>
    <t>[OEMPRI-5704]-[proj#4937]-[TDN-012945]-svt spkg and approve</t>
  </si>
  <si>
    <t>F119BFDAA76478498C2C5D9BC982B4E60000000026FF0000</t>
  </si>
  <si>
    <t>[OEMPRI-6055]-[proj#4822]-[TDN-013032]-update</t>
  </si>
  <si>
    <t>OEMPRI-5321</t>
  </si>
  <si>
    <t xml:space="preserve">COUGAR RC1.1 :1103223_9906693_AR7586(4G/4G)_WP12.5B4(SWI9X28A_00.12.13.00)_VW </t>
  </si>
  <si>
    <t>Stone Li(36)</t>
  </si>
  <si>
    <t>F119BFDAA76478498C2C5D9BC982B4E60000000027000000</t>
  </si>
  <si>
    <t>[OEMPRI-6055]-[proj#4822]-[TDN-013032]-svt spkg and approve</t>
  </si>
  <si>
    <t>OEMPRI-5302</t>
  </si>
  <si>
    <t>5101000_9906830_AR7592-1_PTCRB_Final FW package</t>
  </si>
  <si>
    <t>3D68EC023EC934408492A941A20053800000000034420000</t>
  </si>
  <si>
    <t>[OEMPRI-6211] - SPKG</t>
  </si>
  <si>
    <t>OEMPRI-5310</t>
  </si>
  <si>
    <t>3D68EC023EC934408492A941A20053800000000034430000</t>
  </si>
  <si>
    <t>[OEMPRI-6211] - TEST</t>
  </si>
  <si>
    <t xml:space="preserve">1103151_9906435_AR7584(4G/4G)_WP12.5B4(SWI9X28A_00.12.13.00)_VW </t>
  </si>
  <si>
    <t>OEMPRI-5300</t>
  </si>
  <si>
    <t>F119BFDAA76478498C2C5D9BC982B4E60000000027040000</t>
  </si>
  <si>
    <t>[OEMPRI-6128]-[proj#5079]-[ECO-026391]-log confirm</t>
  </si>
  <si>
    <t>Stone Li(15)</t>
  </si>
  <si>
    <t>Golden Shen(18)</t>
  </si>
  <si>
    <t>Golden Shen(78)</t>
  </si>
  <si>
    <t>F119BFDAA76478498C2C5D9BC982B4E60000000027070000</t>
  </si>
  <si>
    <t>[OEMPRI-5967]-[proj#5079]-[ECO-026391]-log confirm</t>
  </si>
  <si>
    <t>1103997_AR7598(4g4gwGF_VW_OCU4/EMU)_RC1 for facotry</t>
  </si>
  <si>
    <t>F119BFDAA76478498C2C5D9BC982B4E600000000270A0000</t>
  </si>
  <si>
    <t>[OEMPRI-5969]-[proj#5079]-[ECO-026391]-log confirm</t>
  </si>
  <si>
    <t>F119BFDAA76478498C2C5D9BC982B4E600000000270D0000</t>
  </si>
  <si>
    <t>[OEMPRI-5968]-[proj#5079]-[ECO-026391]-log confirm</t>
  </si>
  <si>
    <t>F119BFDAA76478498C2C5D9BC982B4E60000000027100000</t>
  </si>
  <si>
    <t>Hugh Yao(53)</t>
  </si>
  <si>
    <t>[OEMPRI-5974]-[proj#5079]-[ECO-026391]-log confirm</t>
  </si>
  <si>
    <t>F119BFDAA76478498C2C5D9BC982B4E60000000027130000</t>
  </si>
  <si>
    <t>[OEMPRI-5972]-[proj#5079]-[ECO-026391]-log confirm</t>
  </si>
  <si>
    <t>HL3450 PRI update for FACT1.2.4.2</t>
  </si>
  <si>
    <t>F119BFDAA76478498C2C5D9BC982B4E60000000027160000</t>
  </si>
  <si>
    <t>[OEMPRI-5973]-[proj#5079]-[ECO-026391]-log confirm</t>
  </si>
  <si>
    <t>F119BFDAA76478498C2C5D9BC982B4E60000000027190000</t>
  </si>
  <si>
    <t>[OEMPRI-5970]-[proj#5079]-[ECO-026391]-log confirm</t>
  </si>
  <si>
    <t>[AR7594] Create VW PRI for RC1 release</t>
  </si>
  <si>
    <t>F119BFDAA76478498C2C5D9BC982B4E600000000271C0000</t>
  </si>
  <si>
    <t>[OEMPRI-5978]-[proj#5079]-[ECO-026391]-log confirm</t>
  </si>
  <si>
    <t>F119BFDAA76478498C2C5D9BC982B4E60000000026F00000</t>
  </si>
  <si>
    <t>[OEMPRI-5704]-[proj#4937]-[TDN-012945]-update</t>
  </si>
  <si>
    <t>Bing Huang(69)</t>
  </si>
  <si>
    <t>F119BFDAA76478498C2C5D9BC982B4E60000000027020000</t>
  </si>
  <si>
    <t>1103207_9906620_AR7596_RC1_VW package request</t>
  </si>
  <si>
    <t>[OEMPRI-6128]-[proj#5079]-[ECO-026391]-update</t>
  </si>
  <si>
    <t>OEMPRI-5287</t>
  </si>
  <si>
    <t>Stone Li(38)</t>
  </si>
  <si>
    <t>F119BFDAA76478498C2C5D9BC982B4E60000000027030000</t>
  </si>
  <si>
    <t>[OEMPRI-6128]-[proj#5079]-[ECO-026391]-svt spkg and approve</t>
  </si>
  <si>
    <t>OEMPRI-5280</t>
  </si>
  <si>
    <t>1103210_9906623_AR7592(4g4gwGF_VW)_RC1 for factory shipment</t>
  </si>
  <si>
    <t>F119BFDAA76478498C2C5D9BC982B4E60000000027050000</t>
  </si>
  <si>
    <t>[OEMPRI-5967]-[proj#5079]-[ECO-026391]-update</t>
  </si>
  <si>
    <t>James Wang(2)</t>
  </si>
  <si>
    <t>OEMPRI-5284</t>
  </si>
  <si>
    <t>F119BFDAA76478498C2C5D9BC982B4E60000000027060000</t>
  </si>
  <si>
    <t>[OEMPRI-5967]-[proj#5079]-[ECO-026391]-svt spkg and approve</t>
  </si>
  <si>
    <t>1103211_9906625_AR7598(4g4gwGF_VW)_RC1 for facotry</t>
  </si>
  <si>
    <t>Hugh Yao(62)</t>
  </si>
  <si>
    <t>F119BFDAA76478498C2C5D9BC982B4E60000000027080000</t>
  </si>
  <si>
    <t>OEMPRI-5277</t>
  </si>
  <si>
    <t>[OEMPRI-5969]-[proj#5079]-[ECO-026391]-update</t>
  </si>
  <si>
    <t>[SL8082BTA] Update PRI to add new memory test</t>
  </si>
  <si>
    <t>Ben Zheng(70)</t>
  </si>
  <si>
    <t>F119BFDAA76478498C2C5D9BC982B4E60000000027090000</t>
  </si>
  <si>
    <t>[OEMPRI-5969]-[proj#5079]-[ECO-026391]-svt spkg and approve</t>
  </si>
  <si>
    <t>F119BFDAA76478498C2C5D9BC982B4E600000000270B0000</t>
  </si>
  <si>
    <t>[OEMPRI-5968]-[proj#5079]-[ECO-026391]-update</t>
  </si>
  <si>
    <t>Please provide instruction on how to respond to OEMPRI automated review email</t>
  </si>
  <si>
    <t>Hugh Yao(72)</t>
  </si>
  <si>
    <t>F119BFDAA76478498C2C5D9BC982B4E600000000270C0000</t>
  </si>
  <si>
    <t>[OEMPRI-5968]-[proj#5079]-[ECO-026391]-svt spkg and approve</t>
  </si>
  <si>
    <t>[AR759x] PRI baselines to be aligned with [WP15.0B2]</t>
  </si>
  <si>
    <t>F119BFDAA76478498C2C5D9BC982B4E600000000270E0000</t>
  </si>
  <si>
    <t>[OEMPRI-5974]-[proj#5079]-[ECO-026391]-update</t>
  </si>
  <si>
    <t>OEMPRI-5276</t>
  </si>
  <si>
    <t>F119BFDAA76478498C2C5D9BC982B4E600000000270F0000</t>
  </si>
  <si>
    <t>Lares Yang(27)</t>
  </si>
  <si>
    <t>[OEMPRI-5974]-[proj#5079]-[ECO-026391]-svt spkg and approve</t>
  </si>
  <si>
    <t>CLONE - Deliver NVUP File of WP11.12B2 for Lanyou AR7586/PRI</t>
  </si>
  <si>
    <t>Wilson Lin – Shenzhen(98)</t>
  </si>
  <si>
    <t>OEMPRI-5270</t>
  </si>
  <si>
    <t>F119BFDAA76478498C2C5D9BC982B4E60000000027110000</t>
  </si>
  <si>
    <t>[OEMPRI-5972]-[proj#5079]-[ECO-026391]-update</t>
  </si>
  <si>
    <t>1103367_9906982_AR7582(4G/4G)_RC1(00.12.06.00)_VW</t>
  </si>
  <si>
    <t>OEMTP-1352</t>
  </si>
  <si>
    <t>F119BFDAA76478498C2C5D9BC982B4E60000000027120000</t>
  </si>
  <si>
    <t>[OEMPRI-5972]-[proj#5079]-[ECO-026391]-svt spkg and approve</t>
  </si>
  <si>
    <t>Jason Liu(0)</t>
  </si>
  <si>
    <t>[AR7594] 1103204_9906619_VW_WP15.0B2</t>
  </si>
  <si>
    <t>Jason Liu(92)</t>
  </si>
  <si>
    <t>F119BFDAA76478498C2C5D9BC982B4E60000000027140000</t>
  </si>
  <si>
    <t>[OEMPRI-5973]-[proj#5079]-[ECO-026391]-update</t>
  </si>
  <si>
    <t>F119BFDAA76478498C2C5D9BC982B4E60000000027150000</t>
  </si>
  <si>
    <t>[OEMPRI-5973]-[proj#5079]-[ECO-026391]-svt spkg and approve</t>
  </si>
  <si>
    <t>1103362_9906977_AR7586(4G/2G)_FW(00.07.05.00)_Lanyou</t>
  </si>
  <si>
    <t>OEMPRI-5269</t>
  </si>
  <si>
    <t>F119BFDAA76478498C2C5D9BC982B4E60000000027170000</t>
  </si>
  <si>
    <t>[OEMPRI-5970]-[proj#5079]-[ECO-026391]-update</t>
  </si>
  <si>
    <t>Joanna Xia(118)</t>
  </si>
  <si>
    <t>1103494_9907253_AR7588(4G/4G)_RC1(00.12.06.00)_VW</t>
  </si>
  <si>
    <t>F119BFDAA76478498C2C5D9BC982B4E60000000027180000</t>
  </si>
  <si>
    <t>[OEMPRI-5970]-[proj#5079]-[ECO-026391]-svt spkg and approve</t>
  </si>
  <si>
    <t>OEMPRI-5268</t>
  </si>
  <si>
    <t>F119BFDAA76478498C2C5D9BC982B4E600000000271A0000</t>
  </si>
  <si>
    <t>[OEMPRI-5978]-[proj#5079]-[ECO-026391]-update</t>
  </si>
  <si>
    <t>OEMPRI-5267</t>
  </si>
  <si>
    <t xml:space="preserve">  NV 20868 should be manually changed from 2178 to 21780 for QC2.X</t>
  </si>
  <si>
    <t>F119BFDAA76478498C2C5D9BC982B4E600000000271B0000</t>
  </si>
  <si>
    <t>[OEMPRI-5978]-[proj#5079]-[ECO-026391]-svt spkg and approve</t>
  </si>
  <si>
    <t>OEMPRI-5247</t>
  </si>
  <si>
    <t>Derrick Li(7)</t>
  </si>
  <si>
    <t>F119BFDAA76478498C2C5D9BC982B4E60000000026D10000</t>
  </si>
  <si>
    <t>OEMPRI-5244</t>
  </si>
  <si>
    <t>[OEMPRI-5671]-[proj#4770]-[TDN-012951]-log confirm</t>
  </si>
  <si>
    <t>F119BFDAA76478498C2C5D9BC982B4E60000000026BA0000</t>
  </si>
  <si>
    <t>[OEMPRI-5693]-[proj#4750]-[TDN-012799]-log confirm</t>
  </si>
  <si>
    <t>OEMPRI-5240</t>
  </si>
  <si>
    <t>F119BFDAA76478498C2C5D9BC982B4E60000000026FE0000</t>
  </si>
  <si>
    <t>[OEMPRI-5688]-[proj#4749]-[TDN-012800]-log confirm</t>
  </si>
  <si>
    <t>Create PASA 1103093 (MY17) SKU with WP 21.1 - MR4 RC2 (Secure Boot)</t>
  </si>
  <si>
    <t>F119BFDAA76478498C2C5D9BC982B4E60000000026FB0000</t>
  </si>
  <si>
    <t>[OEMPRI-5756]-[proj#4870]-[TDN-012941]-log confirm</t>
  </si>
  <si>
    <t>Bing Huang*(39)</t>
  </si>
  <si>
    <t>3D68EC023EC934408492A941A200538000000000343E0000</t>
  </si>
  <si>
    <t>[OEMPRI-6036] - SPKG</t>
  </si>
  <si>
    <t>OEMPRI-5224</t>
  </si>
  <si>
    <t>Lolly Cao(4)</t>
  </si>
  <si>
    <t>3D68EC023EC934408492A941A200538000000000343F0000</t>
  </si>
  <si>
    <t>[OEMPRI-6036] - TEST</t>
  </si>
  <si>
    <t>OEMPRI-5223</t>
  </si>
  <si>
    <t>3D68EC023EC934408492A941A20053800000000034400000</t>
  </si>
  <si>
    <t>[OEMPRI-6041] - SPKG</t>
  </si>
  <si>
    <t>OEMPRI-5222</t>
  </si>
  <si>
    <t>3D68EC023EC934408492A941A20053800000000034410000</t>
  </si>
  <si>
    <t>[OEMPRI-6041] - TEST</t>
  </si>
  <si>
    <t xml:space="preserve"> Create PASA 1103493 (MY18) SKU with WP 21.1 - MR4 RC2 (Secure Boot)</t>
  </si>
  <si>
    <t>Davy Zhang(3)</t>
  </si>
  <si>
    <t>OEMPRI-5221</t>
  </si>
  <si>
    <t>Davy Zhang(10)</t>
  </si>
  <si>
    <t>F119BFDAA76478498C2C5D9BC982B4E60000000026EF0000</t>
  </si>
  <si>
    <t>[OEMPRI-6012]-[proj#5044]-[ECO-026307]-log confirm</t>
  </si>
  <si>
    <t>OEMPRI-5220</t>
  </si>
  <si>
    <t>Create PASA 1102493 (EOL) SKU with WP 21.1 - MR4 RC2 (Secure Boot)</t>
  </si>
  <si>
    <t>CABC13619704C6418CD791C82D7CDF1C00CCE3A3A07C0000</t>
  </si>
  <si>
    <t>ROW MBN prepare for those customers not speical request what carrier they nee.</t>
  </si>
  <si>
    <t>NVUP, Package, PRI Template</t>
  </si>
  <si>
    <t>1103379_9907000_AR7582(4G/2G)_RC1(00.012.06.00)_Ficosa</t>
  </si>
  <si>
    <t>F119BFDAA76478498C2C5D9BC982B4E60000000026F50000</t>
  </si>
  <si>
    <t>[OEMPRI-6157]-[proj#4807]-[TDN-013113]-log confirm</t>
  </si>
  <si>
    <t>Sub-task</t>
  </si>
  <si>
    <t>Colin Lin(16)</t>
  </si>
  <si>
    <t>Colin Lin(3)</t>
  </si>
  <si>
    <t>Colin Lin(90)</t>
  </si>
  <si>
    <t>F119BFDAA76478498C2C5D9BC982B4E60000000026FD0000</t>
  </si>
  <si>
    <t>Gerry Yang(90)</t>
  </si>
  <si>
    <t>[OEMPRI-5688]-[proj#4749]-[TDN-012800]-svt spkg and approve</t>
  </si>
  <si>
    <t>1103378_9906998_AR7584(4G/2G)_RC1(00.12.06.00)_Ficosa</t>
  </si>
  <si>
    <t>OEMPRI-5219</t>
  </si>
  <si>
    <t>F119BFDAA76478498C2C5D9BC982B4E60000000026F30000</t>
  </si>
  <si>
    <t>Lares Yang(28)</t>
  </si>
  <si>
    <t>OEMPRI-5624</t>
  </si>
  <si>
    <t>[OEMPRI-6157]-[proj#4807]-[TDN-013113]-update</t>
  </si>
  <si>
    <t>Lolly Cao(14)</t>
  </si>
  <si>
    <t>[PRI Framework][MBN] Build NVUP txt file from Qualcomm MBN file for Dumpdiff verify.</t>
  </si>
  <si>
    <t>OEMPRI-5218</t>
  </si>
  <si>
    <t>F119BFDAA76478498C2C5D9BC982B4E60000000026F40000</t>
  </si>
  <si>
    <t>[OEMPRI-6157]-[proj#4807]-[TDN-013113]-svt spkg and approve</t>
  </si>
  <si>
    <t>Lares Yang(20)</t>
  </si>
  <si>
    <t>OEMPRI-5217</t>
  </si>
  <si>
    <t>F119BFDAA76478498C2C5D9BC982B4E60000000026CB0000</t>
  </si>
  <si>
    <t>[OEMPRI-5836]-[proj#4921]-[ECO-026098]-log confirm</t>
  </si>
  <si>
    <t>Lares Yang(16)</t>
  </si>
  <si>
    <t>Samuel Sun(14)</t>
  </si>
  <si>
    <t>F119BFDAA76478498C2C5D9BC982B4E60000000026CE0000</t>
  </si>
  <si>
    <t>[OEMPRI-5672]-[proj#4733]-[TDN-012795]-log confirm</t>
  </si>
  <si>
    <t>OEMPRI-5216</t>
  </si>
  <si>
    <t>Deliver NVUP File of WP11.12B2 for Lanyou AR7586/PRI</t>
  </si>
  <si>
    <t>F119BFDAA76478498C2C5D9BC982B4E60000000026DD0000</t>
  </si>
  <si>
    <t>[OEMPRI-5958]-[proj#4942]-[ECO-026136]-svt spkg and approve</t>
  </si>
  <si>
    <t>OEMPRI-5215</t>
  </si>
  <si>
    <t>F119BFDAA76478498C2C5D9BC982B4E60000000026DF0000</t>
  </si>
  <si>
    <t>[OEMPRI-5979]-[proj#4942]-[ECO-026136]-svt spkg and approve</t>
  </si>
  <si>
    <t>Davy Zhang(5)</t>
  </si>
  <si>
    <t>OEMPRI-5230</t>
  </si>
  <si>
    <t>F119BFDAA76478498C2C5D9BC982B4E60000000026E20000</t>
  </si>
  <si>
    <t>[OEMPRI-5971]-[proj#4942]-[ECO-026136]-svt spkg and approve</t>
  </si>
  <si>
    <t>F119BFDAA76478498C2C5D9BC982B4E60000000026E50000</t>
  </si>
  <si>
    <t>[OEMPRI-5975]-[proj#4942]-[ECO-026136]-svt spkg and approve</t>
  </si>
  <si>
    <t>OEMPRI-5227</t>
  </si>
  <si>
    <t>Release a test SKU with debug information for AR8652 yield issue - 1102422 PRI</t>
  </si>
  <si>
    <t>F119BFDAA76478498C2C5D9BC982B4E60000000026E80000</t>
  </si>
  <si>
    <t>[OEMPRI-5976]-[proj#4942]-[ECO-026136]-svt spkg and approve</t>
  </si>
  <si>
    <t>James Wang(6)</t>
  </si>
  <si>
    <t>Rain Xie</t>
  </si>
  <si>
    <t>F119BFDAA76478498C2C5D9BC982B4E60000000026EB0000</t>
  </si>
  <si>
    <t>[OEMPRI-5977]-[proj#4942]-[ECO-026136]-svt spkg and approve</t>
  </si>
  <si>
    <t>F119BFDAA76478498C2C5D9BC982B4E60000000026F70000</t>
  </si>
  <si>
    <t>[OEMPRI-5737]-[proj#4872]-[TDN-012963]-svt spkg and approve</t>
  </si>
  <si>
    <t>OEMPRI-5209</t>
  </si>
  <si>
    <t>F119BFDAA76478498C2C5D9BC982B4E60000000026FA0000</t>
  </si>
  <si>
    <t>[OEMPRI-5756]-[proj#4870]-[TDN-012941]-svt spkg and approve</t>
  </si>
  <si>
    <t>Roger Wang(6)</t>
  </si>
  <si>
    <t>Change Agile Description of Airlink 1103748 MC7354 SKU to prevent inclusion in external product catalog</t>
  </si>
  <si>
    <t>OEMPRI-5229</t>
  </si>
  <si>
    <t>F119BFDAA76478498C2C5D9BC982B4E60000000026FC0000</t>
  </si>
  <si>
    <t>[OEMPRI-5688]-[proj#4749]-[TDN-012800]-update</t>
  </si>
  <si>
    <t>OEMPRI-5225</t>
  </si>
  <si>
    <t>[AR759x] NVUP to delete ecall settings before apply full spkg.</t>
  </si>
  <si>
    <t>F119BFDAA76478498C2C5D9BC982B4E60000000026B90000</t>
  </si>
  <si>
    <t>[OEMPRI-5693]-[proj#4750]-[TDN-012799]-svt spkg and approve</t>
  </si>
  <si>
    <t>James Wang(5)</t>
  </si>
  <si>
    <t>OEMPRI-5214</t>
  </si>
  <si>
    <t>F119BFDAA76478498C2C5D9BC982B4E60000000026EE0000</t>
  </si>
  <si>
    <t>[OEMPRI-6012]-[proj#5044]-[ECO-026307]-svt spkg and approve</t>
  </si>
  <si>
    <t>9102009_5502009_AR7582-1_00.12.09.00_00_VZW_001.006_000</t>
  </si>
  <si>
    <t>OEMPRI-5213</t>
  </si>
  <si>
    <t>F119BFDAA76478498C2C5D9BC982B4E60000000026DB0000</t>
  </si>
  <si>
    <t>[OEMPRI-5958]-[proj#4942]-[ECO-026136]-update</t>
  </si>
  <si>
    <t>OEMPRI-5226</t>
  </si>
  <si>
    <t>F119BFDAA76478498C2C5D9BC982B4E60000000026DC0000</t>
  </si>
  <si>
    <t>[OEMPRI-5979]-[proj#4942]-[ECO-026136]-update</t>
  </si>
  <si>
    <t>James Wang(1)</t>
  </si>
  <si>
    <t>[PRI-Tool]  create MBN cover to NVUP generate script</t>
  </si>
  <si>
    <t>F119BFDAA76478498C2C5D9BC982B4E60000000026E10000</t>
  </si>
  <si>
    <t>[OEMPRI-5971]-[proj#4942]-[ECO-026136]-update</t>
  </si>
  <si>
    <t>OEMPRI-5212</t>
  </si>
  <si>
    <t>F119BFDAA76478498C2C5D9BC982B4E60000000026E40000</t>
  </si>
  <si>
    <t>[OEMPRI-5975]-[proj#4942]-[ECO-026136]-update</t>
  </si>
  <si>
    <t>OEMPRI-5211</t>
  </si>
  <si>
    <t>F119BFDAA76478498C2C5D9BC982B4E60000000026E70000</t>
  </si>
  <si>
    <t>[OEMPRI-5976]-[proj#4942]-[ECO-026136]-update</t>
  </si>
  <si>
    <t>[AR7598] 1103211_9906625_VW_WP14.5B1</t>
  </si>
  <si>
    <t>F119BFDAA76478498C2C5D9BC982B4E60000000026EA0000</t>
  </si>
  <si>
    <t>OEMPRI-5210</t>
  </si>
  <si>
    <t>[OEMPRI-5977]-[proj#4942]-[ECO-026136]-update</t>
  </si>
  <si>
    <t>F119BFDAA76478498C2C5D9BC982B4E60000000026ED0000</t>
  </si>
  <si>
    <t>[OEMPRI-6012]-[proj#5044]-[ECO-026307]-update</t>
  </si>
  <si>
    <t>[AR7596]1103207_9906620_VW_WP14.5B1</t>
  </si>
  <si>
    <t>F119BFDAA76478498C2C5D9BC982B4E60000000026F90000</t>
  </si>
  <si>
    <t>[OEMPRI-5756]-[proj#4870]-[TDN-012941]-update</t>
  </si>
  <si>
    <t>F119BFDAA76478498C2C5D9BC982B4E60000000026DE0000</t>
  </si>
  <si>
    <t>[OEMPRI-5958]-[proj#4942]-[ECO-026136]-log confirm</t>
  </si>
  <si>
    <t>Samuel Sun(19)</t>
  </si>
  <si>
    <t>OEMPRI-5196</t>
  </si>
  <si>
    <t>F119BFDAA76478498C2C5D9BC982B4E60000000026E00000</t>
  </si>
  <si>
    <t>[OEMPRI-5979]-[proj#4942]-[ECO-026136]-log confirm</t>
  </si>
  <si>
    <t>1103964_9906983_AR7584(4G/2G)_Release2-EEL_Alpha3_BP3.8B1(SWI9X28A_01.00.19.00)_MM</t>
  </si>
  <si>
    <t>F119BFDAA76478498C2C5D9BC982B4E60000000026E30000</t>
  </si>
  <si>
    <t>[OEMPRI-5971]-[proj#4942]-[ECO-026136]-log confirm</t>
  </si>
  <si>
    <t>OEMPRI-5195</t>
  </si>
  <si>
    <t>F119BFDAA76478498C2C5D9BC982B4E60000000026E60000</t>
  </si>
  <si>
    <t>[OEMPRI-5975]-[proj#4942]-[ECO-026136]-log confirm</t>
  </si>
  <si>
    <t>F119BFDAA76478498C2C5D9BC982B4E60000000026E90000</t>
  </si>
  <si>
    <t>[OEMPRI-5976]-[proj#4942]-[ECO-026136]-log confirm</t>
  </si>
  <si>
    <t>1103378_9906998_AR7584(4G/2G)_Release2-EEL_Alpha3_BP3.7B1(SWI9X28A_01.00.15.00)_Ficosa</t>
  </si>
  <si>
    <t>F119BFDAA76478498C2C5D9BC982B4E60000000026EC0000</t>
  </si>
  <si>
    <t>[OEMPRI-5977]-[proj#4942]-[ECO-026136]-log confirm</t>
  </si>
  <si>
    <t>F119BFDAA76478498C2C5D9BC982B4E60000000026F80000</t>
  </si>
  <si>
    <t>[OEMPRI-5737]-[proj#4872]-[TDN-012963]-log confirm</t>
  </si>
  <si>
    <t>F119BFDAA76478498C2C5D9BC982B4E60000000026BC0000</t>
  </si>
  <si>
    <t>1103359_9906968_AR7586(4G/2G)_Release2-EEL_Alpha3_BP3.1B1(00.13.0x.00)_Ficosa</t>
  </si>
  <si>
    <t>[OEMPRI-5697]-[proj#5023]-[TDN-013110]-svt spkg and approve</t>
  </si>
  <si>
    <t>OEMPRI-5177</t>
  </si>
  <si>
    <t>F119BFDAA76478498C2C5D9BC982B4E60000000026F60000</t>
  </si>
  <si>
    <t>[OEMPRI-5737]-[proj#4872]-[TDN-012963]-update</t>
  </si>
  <si>
    <t>1103965_9906986_AR7586(4G/2G)_EEL_Alpha3_BP3.8B1(SWI9X28A_01.00.19.00)_MM</t>
  </si>
  <si>
    <t>OEMPRI-5173</t>
  </si>
  <si>
    <t>F119BFDAA76478498C2C5D9BC982B4E60000000026D40000</t>
  </si>
  <si>
    <t xml:space="preserve">check ar755x sanity check is ready or not </t>
  </si>
  <si>
    <t>[SL8RD] SL8082BT,ZIV,GENERIC,R7.54.14.A1/EXT AT,OPEN AT,AVMS,,SWIR IMEI,UART+USB=115200 BDS,SL8RD</t>
  </si>
  <si>
    <t>F119BFDAA76478498C2C5D9BC982B4E60000000026D50000</t>
  </si>
  <si>
    <t>OEMPRI-5163</t>
  </si>
  <si>
    <t>prepare ar755x check in input template</t>
  </si>
  <si>
    <t>CABC13619704C6418CD791C82D7CDF1C00CCE3A3A07F0000</t>
  </si>
  <si>
    <t>one ticket fixed in two baseline need to be confirmed and review.</t>
  </si>
  <si>
    <t>[SL8RD] SL8084BT,ZIV,GENERIC,R7.54.14.A1/EXT AT,OPEN AT,AVMS,,SWIR IMEI,UART+USB=115200 BDS,SL8RD</t>
  </si>
  <si>
    <t>OEMPRI-5162</t>
  </si>
  <si>
    <t>CABC13619704C6418CD791C82D7CDF1C00CCE3A3A07E0000</t>
  </si>
  <si>
    <t>Customer PRI template to support for Secure Boot Option.</t>
  </si>
  <si>
    <t>Davy Zhang(42)</t>
  </si>
  <si>
    <t>OEMPRI-5179</t>
  </si>
  <si>
    <t>F119BFDAA76478498C2C5D9BC982B4E60000000026BB0000</t>
  </si>
  <si>
    <t>[OEMPRI-5697]-[proj#5023]-[TDN-013110]-update</t>
  </si>
  <si>
    <t>Joanna Xia(2)</t>
  </si>
  <si>
    <t>F119BFDAA76478498C2C5D9BC982B4E60000000026D70000</t>
  </si>
  <si>
    <t>download tool for download fw from agile by fw file name</t>
  </si>
  <si>
    <t>OEMPRI-5178</t>
  </si>
  <si>
    <t>[AR7592-1] 1103210_9906623_VW_WP14.5B1</t>
  </si>
  <si>
    <t>F119BFDAA76478498C2C5D9BC982B4E60000000026D80000</t>
  </si>
  <si>
    <t>download tool for download tool from agile by partnumber</t>
  </si>
  <si>
    <t>OEMPRI-5176</t>
  </si>
  <si>
    <t>F119BFDAA76478498C2C5D9BC982B4E60000000026D90000</t>
  </si>
  <si>
    <t>download tool for download fw from agile by pri/cfg file</t>
  </si>
  <si>
    <t>OEMPRI-5175</t>
  </si>
  <si>
    <t>F119BFDAA76478498C2C5D9BC982B4E60000000026DA0000</t>
  </si>
  <si>
    <t>download tool for download fw and tools from agile by OEMPRI ticket</t>
  </si>
  <si>
    <t>OEMPRI-5174</t>
  </si>
  <si>
    <t xml:space="preserve">[PRI-Test] script update avoid AT!BAND=0 error after load Factory version </t>
  </si>
  <si>
    <t>F119BFDAA76478498C2C5D9BC982B4E60000000026D60000</t>
  </si>
  <si>
    <t>ecall not merge in other sku</t>
  </si>
  <si>
    <t>CABC13619704C6418CD791C82D7CDF1C00CCE3A3A07A0000</t>
  </si>
  <si>
    <t>OEMPRI-5770: [Configuration][AR758x] Update PRI baseline with for COUGAR-RC2</t>
  </si>
  <si>
    <t>OEMPRI-5172</t>
  </si>
  <si>
    <t>[PRI-Tool] Update spkg release note generate script</t>
  </si>
  <si>
    <t>CABC13619704C6418CD791C82D7CDF1C00CCE3A3A07D0000</t>
  </si>
  <si>
    <t>2.x baseline MBN creation for 9x28 all Carriers</t>
  </si>
  <si>
    <t>Package, PRI Template</t>
  </si>
  <si>
    <t>OEMPRI-5171</t>
  </si>
  <si>
    <t>[AR759x] PRI baselines to be aligned with [WP14.5B1]</t>
  </si>
  <si>
    <t>F119BFDAA76478498C2C5D9BC982B4E60000000026D20000</t>
  </si>
  <si>
    <t>signature tool test env in ubantu(int-18/19)</t>
  </si>
  <si>
    <t xml:space="preserve">Correct NVUP value in PASA 1103818 SKU with WP 21.0 - MR4 RC1 (Secure Boot) </t>
  </si>
  <si>
    <t>3D68EC023EC934408492A941A200538000000000343D0000</t>
  </si>
  <si>
    <t>[OEMPRI-6004] - TEST</t>
  </si>
  <si>
    <t>[Hangsheng][AR7586] Generate NVUP file to enable eCall on generic AR7586</t>
  </si>
  <si>
    <t>09AECFC0C4A5BB458BA64C192A624EB800000000294A0000</t>
  </si>
  <si>
    <t xml:space="preserve">[One Click][Request][AR7582-1]VZW Test Build for CDMA Less Type3 TC2.2.11.3 and TC 2.2.3.3 OptB </t>
  </si>
  <si>
    <t>Stone Li(18)</t>
  </si>
  <si>
    <t>AR8652 1103794-007.002 PRI for WP20.2 SKU 1103794</t>
  </si>
  <si>
    <t>F119BFDAA76478498C2C5D9BC982B4E60000000026CA0000</t>
  </si>
  <si>
    <t>[OEMPRI-5836]-[proj#4921]-[ECO-026098]-svt spkg and approve</t>
  </si>
  <si>
    <t>Xavier Le Roy</t>
  </si>
  <si>
    <t>F119BFDAA76478498C2C5D9BC982B4E60000000026CD0000</t>
  </si>
  <si>
    <t>[OEMPRI-5672]-[proj#4733]-[TDN-012795]-svt spkg and approve</t>
  </si>
  <si>
    <t>[SL8082BT] SKU#1103813, GENERIC,GENERIC,S4.1.0.21,,,,SWIR IMEI,USB,SL8 RD, for Teldat</t>
  </si>
  <si>
    <t>Wilson Lin – Shenzhen(5)</t>
  </si>
  <si>
    <t>Hugh Yao(91)</t>
  </si>
  <si>
    <t>F119BFDAA76478498C2C5D9BC982B4E60000000026D00000</t>
  </si>
  <si>
    <t>[OEMPRI-5671]-[proj#4770]-[TDN-012951]-svt spkg and approve</t>
  </si>
  <si>
    <t>[SL8082BTA] SKU#1103823, CONTINENTAL,GENERIC, R7.54.10.A1,OPEN AT,AVMS,,SWIR IMEI,UART+USB=115200 BDS,TCU 2.5 R-N 2016 PCN</t>
  </si>
  <si>
    <t>Mary Shan(4)</t>
  </si>
  <si>
    <t>F119BFDAA76478498C2C5D9BC982B4E60000000026CC0000</t>
  </si>
  <si>
    <t>[OEMPRI-5672]-[proj#4733]-[TDN-012795]-update</t>
  </si>
  <si>
    <t>OEMPRI-5402</t>
  </si>
  <si>
    <t>F119BFDAA76478498C2C5D9BC982B4E60000000026CF0000</t>
  </si>
  <si>
    <t>[OEMPRI-5671]-[proj#4770]-[TDN-012951]-update</t>
  </si>
  <si>
    <t>Mary Shan(3)</t>
  </si>
  <si>
    <t>[AR7594] 1103204_9906619_VW_WP14.5B1</t>
  </si>
  <si>
    <t>Mary Shan*(0)</t>
  </si>
  <si>
    <t>3D68EC023EC934408492A941A20053800000000034370000</t>
  </si>
  <si>
    <t>[OEMPRI-5956] - TEST</t>
  </si>
  <si>
    <t>3D68EC023EC934408492A941A20053800000000034360000</t>
  </si>
  <si>
    <t>[OEMPRI-5956] - SPKG</t>
  </si>
  <si>
    <t>1103151_9906435_AR7584(4G/4G)_RC1(00.12.06.00)_VW</t>
  </si>
  <si>
    <t>3D68EC023EC934408492A941A20053800000000034390000</t>
  </si>
  <si>
    <t>OEMPRI-5285</t>
  </si>
  <si>
    <t>[OEMPRI-5954] - TEST</t>
  </si>
  <si>
    <t>3D68EC023EC934408492A941A20053800000000034380000</t>
  </si>
  <si>
    <t>[OEMPRI-5954] - SPKG</t>
  </si>
  <si>
    <t>Wilson Lin – Shenzhen(16)</t>
  </si>
  <si>
    <t>Hugh Yao(108)</t>
  </si>
  <si>
    <t>1103223_9906693_AR7586(4G/4G)_RC1(00.12.06.00)_VW_CMCC_CU</t>
  </si>
  <si>
    <t>OEMPRI-5278</t>
  </si>
  <si>
    <t>Hugh Yao(116)</t>
  </si>
  <si>
    <t>F119BFDAA76478498C2C5D9BC982B4E60000000026D30000</t>
  </si>
  <si>
    <t>support remote call for signature tool</t>
  </si>
  <si>
    <t>OEMPRI-5156</t>
  </si>
  <si>
    <t>Ben Zheng(8)</t>
  </si>
  <si>
    <t>F119BFDAA76478498C2C5D9BC982B4E60000000026C70000</t>
  </si>
  <si>
    <t>ubantu linux 64bit for signature</t>
  </si>
  <si>
    <t>Stone Li(23)</t>
  </si>
  <si>
    <t xml:space="preserve">Modify IMEI PASA 1103818 SKU with WP 21.0 - MR4 RC1 (Secure Boot) </t>
  </si>
  <si>
    <t>OEMPRI-5157</t>
  </si>
  <si>
    <t>F119BFDAA76478498C2C5D9BC982B4E60000000026C80000</t>
  </si>
  <si>
    <t>arbuild reset pwd and update the connect server script</t>
  </si>
  <si>
    <t>OEMPRI-5160</t>
  </si>
  <si>
    <t>F119BFDAA76478498C2C5D9BC982B4E60000000026C90000</t>
  </si>
  <si>
    <t>[OEMPRI-5836]-[proj#4921]-[ECO-026098]-update</t>
  </si>
  <si>
    <t>OEMPRI-5159</t>
  </si>
  <si>
    <t>3D68EC023EC934408492A941A20053800000000034320000</t>
  </si>
  <si>
    <t>[OEMPRI-6074] -SPKG</t>
  </si>
  <si>
    <t>OEMPRI-5158</t>
  </si>
  <si>
    <t>3D68EC023EC934408492A941A20053800000000034330000</t>
  </si>
  <si>
    <t>[OEMPRI-6074] - TEST</t>
  </si>
  <si>
    <t>OEMPRI-5151</t>
  </si>
  <si>
    <t>3D68EC023EC934408492A941A20053800000000034340000</t>
  </si>
  <si>
    <t>[OEMPRI-6076] -SPKG</t>
  </si>
  <si>
    <t>OEMPRI-5152</t>
  </si>
  <si>
    <t>OEMPRI-5153</t>
  </si>
  <si>
    <t>3D68EC023EC934408492A941A20053800000000034350000</t>
  </si>
  <si>
    <t>[OEMPRI-6076] - TEST</t>
  </si>
  <si>
    <t>Joanna Xia(129)</t>
  </si>
  <si>
    <t>OEMPRI-5138</t>
  </si>
  <si>
    <t>09AECFC0C4A5BB458BA64C192A624EB800000000294B0000</t>
  </si>
  <si>
    <t>Samuel Sun(13)</t>
  </si>
  <si>
    <t>9101000_9906809_AR7592-1_ATT FFW package</t>
  </si>
  <si>
    <t>OEMPRI-5140</t>
  </si>
  <si>
    <t>[One Click][Request][AR7582-1]PTCRB Final FW SWI9X28A_00.13.03.00</t>
  </si>
  <si>
    <t>OEMPRI-5142</t>
  </si>
  <si>
    <t>09AECFC0C4A5BB458BA64C192A624EB800000000294C0000</t>
  </si>
  <si>
    <t>OEMPRI-5141</t>
  </si>
  <si>
    <t>OEMPRI-5139</t>
  </si>
  <si>
    <t>F119BFDAA76478498C2C5D9BC982B4E60000000026C60000</t>
  </si>
  <si>
    <t>ubantu linux 32bit for signature</t>
  </si>
  <si>
    <t>OEMPRI-5135</t>
  </si>
  <si>
    <t>09AECFC0C4A5BB458BA64C192A624EB800000000294D0000</t>
  </si>
  <si>
    <t xml:space="preserve">[One Click][Request][AR7582-1]VZW Test Build </t>
  </si>
  <si>
    <t>OEMPRI-5216 PRI Cross Check</t>
  </si>
  <si>
    <t>F119BFDAA76478498C2C5D9BC982B4E60000000026670000</t>
  </si>
  <si>
    <t>[OEMPRI-5401]-[proj#4506]-[ECO-025472]-log confirm</t>
  </si>
  <si>
    <t>Hugh Yao(6)</t>
  </si>
  <si>
    <t>Hugh Yao*(1)</t>
  </si>
  <si>
    <t>F119BFDAA76478498C2C5D9BC982B4E60000000026C30000</t>
  </si>
  <si>
    <t>spkg released report with checklist</t>
  </si>
  <si>
    <t>OEMPRI-5131</t>
  </si>
  <si>
    <t>PRI Cross Check</t>
  </si>
  <si>
    <t>F119BFDAA76478498C2C5D9BC982B4E60000000026C50000</t>
  </si>
  <si>
    <t>summary report for secureboot to discuss</t>
  </si>
  <si>
    <t>OEMPRI-5127</t>
  </si>
  <si>
    <t>OEMPRI-5364 PRI Cross Check</t>
  </si>
  <si>
    <t>CABC13619704C6418CD791C82D7CDF1C00CCE3A3A0700000</t>
  </si>
  <si>
    <t>[FWpackagecreator.py] support Signed tool to signed image.</t>
  </si>
  <si>
    <t>Bing Huang,Gerry Yang</t>
  </si>
  <si>
    <t>OEMPRI-5094</t>
  </si>
  <si>
    <t>PRI review</t>
  </si>
  <si>
    <t>Bing Huang(28)</t>
  </si>
  <si>
    <t>CABC13619704C6418CD791C82D7CDF1C00CCE3A3A0730000</t>
  </si>
  <si>
    <t>Signed Server and Signed Tool and FWpackagecreator Integration</t>
  </si>
  <si>
    <t>Bing Huang,Gerry Yang,Stone Li,Lares Yang</t>
  </si>
  <si>
    <t>OEMPRI-5092</t>
  </si>
  <si>
    <t>Delta Image WP11.12B2 &lt;-&gt; WP10.3B2, WP11.12B2&lt;-&gt; WP11.3B2</t>
  </si>
  <si>
    <t>F119BFDAA76478498C2C5D9BC982B4E60000000026C20000</t>
  </si>
  <si>
    <t>released note auto comment released path to OEMPRI ticket</t>
  </si>
  <si>
    <t>OEMPRI-5100</t>
  </si>
  <si>
    <t>CABC13619704C6418CD791C82D7CDF1C00CCE3A3A0710000</t>
  </si>
  <si>
    <t>AR7592-1 QCN restore cause AT!BAND=00 fail issue anlyze</t>
  </si>
  <si>
    <t>Package, Important</t>
  </si>
  <si>
    <t>OEMPRI-5091</t>
  </si>
  <si>
    <t>CABC13619704C6418CD791C82D7CDF1C00CCE3A3A0720000</t>
  </si>
  <si>
    <t>[PRI_Template] Need to update to support SecureBoot Options contronl</t>
  </si>
  <si>
    <t>Samuel Sun(21)</t>
  </si>
  <si>
    <t>PRI Template, Tool</t>
  </si>
  <si>
    <t>OEMPRI-5090</t>
  </si>
  <si>
    <t>F119BFDAA76478498C2C5D9BC982B4E60000000026C40000</t>
  </si>
  <si>
    <t>generate a new sheet to record the question in google sheet</t>
  </si>
  <si>
    <t>OEMPRI-5095</t>
  </si>
  <si>
    <t>OEMPRI-5217 PKG Cross Check</t>
  </si>
  <si>
    <t>F119BFDAA76478498C2C5D9BC982B4E60000000026C10000</t>
  </si>
  <si>
    <t>to compare work package with released path in daily check</t>
  </si>
  <si>
    <t>OEMPRI-5102</t>
  </si>
  <si>
    <t>[AR7596] 1103207_9906620_VW_WP14.3B1</t>
  </si>
  <si>
    <t>3D68EC023EC934408492A941A200538000000000343A0000</t>
  </si>
  <si>
    <t>[OEMPRI-5821] - SPKG</t>
  </si>
  <si>
    <t>OEMPRI-5096</t>
  </si>
  <si>
    <t>OEMPRI-5104</t>
  </si>
  <si>
    <t>3D68EC023EC934408492A941A200538000000000343B0000</t>
  </si>
  <si>
    <t>[OEMPRI-5821] - TEST</t>
  </si>
  <si>
    <t>3D68EC023EC934408492A941A200538000000000343C0000</t>
  </si>
  <si>
    <t>OEMPRI-5101</t>
  </si>
  <si>
    <t>Update PRI Baseline to SVN for AR7586, AR7588</t>
  </si>
  <si>
    <t>[Configuration][AR758x] Update PRI baseline with WP11.12B4/WP11.12B2  for COUGAR-RC1</t>
  </si>
  <si>
    <t>CABC13619704C6418CD791C82D7CDF1C00CCE3A3A07B0000</t>
  </si>
  <si>
    <t xml:space="preserve">AR8652 process preparing and transfer </t>
  </si>
  <si>
    <t>OEMPRI-5093</t>
  </si>
  <si>
    <t>Bing Huang,Lares Yang,Stone Li,Gerry Yang</t>
  </si>
  <si>
    <t>[AR7594] 1103204_9906619_VW_WP14.3B1</t>
  </si>
  <si>
    <t>93B7C528E42B53479E865A53DF9698B20000BC98A3DD0000</t>
  </si>
  <si>
    <t>Samuel Sun(44)</t>
  </si>
  <si>
    <t>Improvement, Package, PRI Template, Tool, Test</t>
  </si>
  <si>
    <t>OEMPRI-5089</t>
  </si>
  <si>
    <t>Hemant Deokar</t>
  </si>
  <si>
    <t>09AECFC0C4A5BB458BA64C192A624EB80000000029490000</t>
  </si>
  <si>
    <t>[JIRA] (OEMPRI-6049) provide One-Click upgrade spkg</t>
  </si>
  <si>
    <t>OEMPRI-5082</t>
  </si>
  <si>
    <t>COUGAR_RC1_NonLeadSKU_1103367_9906982_AR7582(4G/4G)_WP11.12B4(SWI9X28A_00.12.06.00)_VW</t>
  </si>
  <si>
    <t>CABC13619704C6418CD791C82D7CDF1C00CCE3A3A0740000</t>
  </si>
  <si>
    <t>QTI_MCFG_1.x_2.x_Diff_Report</t>
  </si>
  <si>
    <t>Important</t>
  </si>
  <si>
    <t>COUGAR_RC1_LeadSKU_1103223_9906693_AR7586(4G/4G)_WP11.12B4(SWI9X28A_00.12.06.00)_VW</t>
  </si>
  <si>
    <t>OEMPRI-5083</t>
  </si>
  <si>
    <t>CABC13619704C6418CD791C82D7CDF1C00CCE3A3A0790000</t>
  </si>
  <si>
    <t>[OEMPRI-5704 ] SL8 FACT fails anlyze and report to MFT</t>
  </si>
  <si>
    <t>F119BFDAA76478498C2C5D9BC982B4E60000000026C00000</t>
  </si>
  <si>
    <t>COUGAR_RC1_LeadSku_1103151_9906435_AR7584(4G/4G)_WP11.12B4(SWI9X28A_00.12.06.00)_VW</t>
  </si>
  <si>
    <t>[OEMPRI-6014]-[proj#4748]-[TDN-013044]-log confirm</t>
  </si>
  <si>
    <t>OEMPRI-5073</t>
  </si>
  <si>
    <t>F119BFDAA76478498C2C5D9BC982B4E60000000026BE0000</t>
  </si>
  <si>
    <t>[OEMPRI-6014]-[proj#4748]-[TDN-013044]-update</t>
  </si>
  <si>
    <t>OEMPRI-5081</t>
  </si>
  <si>
    <t>F119BFDAA76478498C2C5D9BC982B4E60000000026BF0000</t>
  </si>
  <si>
    <t>[OEMPRI-6014]-[proj#4748]-[TDN-013044]-svt spkg and approve</t>
  </si>
  <si>
    <t>OEMPRI-5077</t>
  </si>
  <si>
    <t>OEMPRI-5076</t>
  </si>
  <si>
    <t>Create PASA 1103818 SKU with WP 21.1 - MR4 RC2 (Secure Boot)</t>
  </si>
  <si>
    <t>09AECFC0C4A5BB458BA64C192A624EB80000000029470000</t>
  </si>
  <si>
    <t>PKG Cross Check</t>
  </si>
  <si>
    <t>OEMPRI-5074</t>
  </si>
  <si>
    <t>CABC13619704C6418CD791C82D7CDF1C00CCE3A3A0780000</t>
  </si>
  <si>
    <t>AR758x Carrier Pri,Cricket for 9x28 platform</t>
  </si>
  <si>
    <t>[AR759x] PRI baselines to be aligned with [WP14.3B1]</t>
  </si>
  <si>
    <t>F119BFDAA76478498C2C5D9BC982B4E60000000026B80000</t>
  </si>
  <si>
    <t>OEMPRI-5075</t>
  </si>
  <si>
    <t>[OEMPRI-5693]-[proj#4750]-[TDN-012799]-update</t>
  </si>
  <si>
    <t>09AECFC0C4A5BB458BA64C192A624EB80000000029480000</t>
  </si>
  <si>
    <t>OEMPRI-5072</t>
  </si>
  <si>
    <t>improve one click tool</t>
  </si>
  <si>
    <t>Bing Huang(140)</t>
  </si>
  <si>
    <t>OEMPRI-5310 PKG Crose Check</t>
  </si>
  <si>
    <t>CABC13619704C6418CD791C82D7CDF1C00CCE3A3A0760000</t>
  </si>
  <si>
    <t xml:space="preserve">Accepted: MBN topics Discussion </t>
  </si>
  <si>
    <t>OEMPRI-5062</t>
  </si>
  <si>
    <t>09AECFC0C4A5BB458BA64C192A624EB80000000029460000</t>
  </si>
  <si>
    <t>[Configuration][AR758x] Update PRI baseline with WP11.11B4  for COUGAR-RC1</t>
  </si>
  <si>
    <t xml:space="preserve">PRI review </t>
  </si>
  <si>
    <t>OEMPRI-5037</t>
  </si>
  <si>
    <t>CABC13619704C6418CD791C82D7CDF1C00CCE3A3A0770000</t>
  </si>
  <si>
    <t>OEMPRI-5166 PKG Cross Check</t>
  </si>
  <si>
    <t>JO2.0.2 MCFG Basline for AR758x CMCC</t>
  </si>
  <si>
    <t>Wilson Lin – Shenzhen(46)</t>
  </si>
  <si>
    <t>OEMPRI-5164 Package Cross Check</t>
  </si>
  <si>
    <t>OEMPRI-5036</t>
  </si>
  <si>
    <t>CABC13619704C6418CD791C82D7CDF1C00CCE3A3A06E0000</t>
  </si>
  <si>
    <t>SZAM-129: [Tool] To support SecureBoot signed Delta Package generate</t>
  </si>
  <si>
    <t>OEMPRI-5165 PKG Cross Check</t>
  </si>
  <si>
    <t>F119BFDAA76478498C2C5D9BC982B4E600000000264C0000</t>
  </si>
  <si>
    <t>OEMPRI-5035</t>
  </si>
  <si>
    <t>[OEMPRI-4650]-[proj#4370]-[ECO-025123]-log confirm</t>
  </si>
  <si>
    <t>09AECFC0C4A5BB458BA64C192A624EB80000000029450000</t>
  </si>
  <si>
    <t>release Jira tickets</t>
  </si>
  <si>
    <t>OEMPRI-5038</t>
  </si>
  <si>
    <t>3D68EC023EC934408492A941A20053800000000034300000</t>
  </si>
  <si>
    <t>[OEMPRI-5783] - SPKG</t>
  </si>
  <si>
    <t>Rock Li-Zhi Quan(10)</t>
  </si>
  <si>
    <t>Rock Li-Zhi Quan(0)</t>
  </si>
  <si>
    <t>OEMPRI-5300 CLONE - CLONE - PRI Package Cross check</t>
  </si>
  <si>
    <t>OEMPRI-5033</t>
  </si>
  <si>
    <t>3D68EC023EC934408492A941A20053800000000034310000</t>
  </si>
  <si>
    <t>[OEMPRI-5783] - TEST</t>
  </si>
  <si>
    <t>MC7354B,1102602, PRI versioning</t>
  </si>
  <si>
    <t>F119BFDAA76478498C2C5D9BC982B4E60000000026630000</t>
  </si>
  <si>
    <t>[OEMPRI-5401]-[proj#4506]-[ECO-025472]-svt spkg and approve</t>
  </si>
  <si>
    <t>OEMPRI-5018</t>
  </si>
  <si>
    <t>Stone Li(25)</t>
  </si>
  <si>
    <t>CABC13619704C6418CD791C82D7CDF1C00CCE3A3A06F0000</t>
  </si>
  <si>
    <t>OEMPRI-5020</t>
  </si>
  <si>
    <t>EEL-258 [EEL] AT!LESTATUS return incorrect info when load BP3.7</t>
  </si>
  <si>
    <t>1103371_9906986_AR7586(4G/2G)_BP2.0B1_EEL-Alpha2(SWI9X28A_00.09.02.00)_MM</t>
  </si>
  <si>
    <t>09AECFC0C4A5BB458BA64C192A624EB80000000029420000</t>
  </si>
  <si>
    <t>OEMPRI-5019</t>
  </si>
  <si>
    <t xml:space="preserve">[Sample Preparation][Request][AR7592]VZW Pre-LE : AR7592-1_01.13.03.00_00_VW_001.009_000 and prepare 5pcs more AR7592-1 samples for VZW pre-LE test. </t>
  </si>
  <si>
    <t>Harris Pang(0)</t>
  </si>
  <si>
    <t>09AECFC0C4A5BB458BA64C192A624EB80000000029430000</t>
  </si>
  <si>
    <t>OEMPRI-5014</t>
  </si>
  <si>
    <t xml:space="preserve">[One Click][Request][AR7582-1]VZW Test Build : AR7584_00.12.13.00_00_VW_001.011_000_101103151 </t>
  </si>
  <si>
    <t>09AECFC0C4A5BB458BA64C192A624EB80000000029440000</t>
  </si>
  <si>
    <t>OEMPRI-5010</t>
  </si>
  <si>
    <t>Optimizing Sample Tool and add sampleconfig.xml</t>
  </si>
  <si>
    <t>OEMPRI-5305</t>
  </si>
  <si>
    <t>PRI diff review</t>
  </si>
  <si>
    <t>3D68EC023EC934408492A941A200538000000000342E0000</t>
  </si>
  <si>
    <t>Pending Review</t>
  </si>
  <si>
    <t>[OEMPRI-5826] - SPKG</t>
  </si>
  <si>
    <t>OEMPRI-5017</t>
  </si>
  <si>
    <t>OEMPRI-5301</t>
  </si>
  <si>
    <t>CLONE - CLONE - MC7354B,1102602,Proj#4270,Disable TE Follow Control For Production,ECO-02886</t>
  </si>
  <si>
    <t>3D68EC023EC934408492A941A200538000000000342D0000</t>
  </si>
  <si>
    <t>[OEMPRI-5826] - CONFIG</t>
  </si>
  <si>
    <t>OEMPRI-5011</t>
  </si>
  <si>
    <t xml:space="preserve">9101000_9906809_AR7592-1_01.12.05.00_00_ATTLab_001.004_000 </t>
  </si>
  <si>
    <t>3D68EC023EC934408492A941A200538000000000342F0000</t>
  </si>
  <si>
    <t>[OEMPRI-5826] - TEST</t>
  </si>
  <si>
    <t>F119BFDAA76478498C2C5D9BC982B4E600000000269B0000</t>
  </si>
  <si>
    <t>[OEMPRI-5656]-[proj#4673]-[TDN-012752]-log confirm</t>
  </si>
  <si>
    <t>09AECFC0C4A5BB458BA64C192A624EB800000000293B0000</t>
  </si>
  <si>
    <t>9102008_5502008_AR7582-1_Update package for ATT IFW candidate</t>
  </si>
  <si>
    <t>09AECFC0C4A5BB458BA64C192A624EB800000000293C0000</t>
  </si>
  <si>
    <t>9102009_5502009_AR7582-1_00.12.06.00_00_VZW_001.005_000</t>
  </si>
  <si>
    <t>Roger Wang(21)</t>
  </si>
  <si>
    <t>OEMPRI-5000</t>
  </si>
  <si>
    <t>09AECFC0C4A5BB458BA64C192A624EB800000000293D0000</t>
  </si>
  <si>
    <t xml:space="preserve">9101000_5502010_AR7592-1_01.13.00.00_00_ATTVZWTMOLab_001.005_000 </t>
  </si>
  <si>
    <t>Ben Zheng(14)</t>
  </si>
  <si>
    <t>OEMPRI-4998</t>
  </si>
  <si>
    <t>09AECFC0C4A5BB458BA64C192A624EB800000000293E0000</t>
  </si>
  <si>
    <t>Hugh Yao(1)</t>
  </si>
  <si>
    <t>Wilson Lin – Shenzhen(6)</t>
  </si>
  <si>
    <t>09AECFC0C4A5BB458BA64C192A624EB800000000293F0000</t>
  </si>
  <si>
    <t>OEMPRI-4995</t>
  </si>
  <si>
    <t>OEMPRI-5230 loop test for MFT</t>
  </si>
  <si>
    <t>1103049_9906093_AR7594_Generic Beta filed package</t>
  </si>
  <si>
    <t>OEMPRI-4980</t>
  </si>
  <si>
    <t>One-Click upgrate tool support upgrade with Same spkg</t>
  </si>
  <si>
    <t>2017/11/7 add</t>
  </si>
  <si>
    <t>Davy Zhang(1)</t>
  </si>
  <si>
    <t>OEMPRI-4978</t>
  </si>
  <si>
    <t>3D68EC023EC934408492A941A200538000000000342B0000</t>
  </si>
  <si>
    <t>[OEMPRI-5836] - SPKG</t>
  </si>
  <si>
    <t>OEMPRI-5230 Package Cross Check</t>
  </si>
  <si>
    <t>OEMPRI-4963</t>
  </si>
  <si>
    <t>3D68EC023EC934408492A941A200538000000000342C0000</t>
  </si>
  <si>
    <t>[OEMPRI-5836] - TEST</t>
  </si>
  <si>
    <t>Create SKPG for AR855x MR - AR8550 (1103185)  AT&amp;T SKU</t>
  </si>
  <si>
    <t>AR855x</t>
  </si>
  <si>
    <t>OEMPRI-4962</t>
  </si>
  <si>
    <t>CABC13619704C6418CD791C82D7CDF1C00CCE3A3A0750000</t>
  </si>
  <si>
    <t>Create SKPG for AR855x MR - AR8550 (1103186)  Rogers SKU</t>
  </si>
  <si>
    <t>[Meeting] 4 topic about MBN need to be discuss</t>
  </si>
  <si>
    <t>Daily, Office</t>
  </si>
  <si>
    <t>Samuel Sun(8)</t>
  </si>
  <si>
    <t>Create SKPG for AR855x MR - AR8552 (1102756) Generic  SKU</t>
  </si>
  <si>
    <t>OEMPRI-4960</t>
  </si>
  <si>
    <t>CABC13619704C6418CD791C82D7CDF1C00CCE3A3A0660000</t>
  </si>
  <si>
    <t>Delta Image WP10.3B2 &lt;-&gt; WP10.5B3</t>
  </si>
  <si>
    <t>OEMPRI-5829: [BuildScript] build script need support to generate .cfg file INFO:MODEMTYPE=AR7582-1, AR7592-1</t>
  </si>
  <si>
    <t>OEMPRI-4959</t>
  </si>
  <si>
    <t>Derrick Li(13)</t>
  </si>
  <si>
    <t>F119BFDAA76478498C2C5D9BC982B4E60000000026B50000</t>
  </si>
  <si>
    <t>prepare 3 critical failure root cause doc for victor</t>
  </si>
  <si>
    <t>OEMPRI-5156 Package Cross Check</t>
  </si>
  <si>
    <t>OEMPRI-4961</t>
  </si>
  <si>
    <t>OEMPRI-5230 Provide MFT driver and tools</t>
  </si>
  <si>
    <t>F119BFDAA76478498C2C5D9BC982B4E60000000026B60000</t>
  </si>
  <si>
    <t>provide One-click for 1103151_9906435_AR7584_00.12.13.00_00_VW_001.011_000_101103151</t>
  </si>
  <si>
    <t>F119BFDAA76478498C2C5D9BC982B4E60000000026B70000</t>
  </si>
  <si>
    <t>debug upgrade failure for OneClick-AR7582-1-ATT-FW-00120600</t>
  </si>
  <si>
    <t>OEMPRI-4967</t>
  </si>
  <si>
    <t>COUGAR_RC1_NonLeadSKU_1103360_9906969_AR7588(4G/2G)_WP11.12B2(SWI9X28G_00.12.06.00)_Ficosa</t>
  </si>
  <si>
    <t>3D68EC023EC934408492A941A20053800000000034290000</t>
  </si>
  <si>
    <t>OEMPRI-4957</t>
  </si>
  <si>
    <t>COUGAR_RC1_NonLeadSKU_1103494_9907253_AR7588(4G/4G)_WP11.12B4(SWI9X28A_00.12.06.00)_VW</t>
  </si>
  <si>
    <t>3D68EC023EC934408492A941A200538000000000342A0000</t>
  </si>
  <si>
    <t>[OEMPRI-5774] - TEST</t>
  </si>
  <si>
    <t>OEMPRI-5008</t>
  </si>
  <si>
    <t>William Delage</t>
  </si>
  <si>
    <t>COUGAR_RC1_NonLeadSKU_1103379_9907000_WP11.12B2(SWI9X28G_00.12.06.00)_AR7582(4G/2G)_Ficosa</t>
  </si>
  <si>
    <t>Davy Zhang(6)</t>
  </si>
  <si>
    <t>F119BFDAA76478498C2C5D9BC982B4E60000000026980000</t>
  </si>
  <si>
    <t>[OEMPRI-5652]-[proj#4820]-[TDN-012882]-log confirm</t>
  </si>
  <si>
    <t>COUGAR_RC1_LeadSKU_1103223_9906693_AR7586(4G/4G)_WP11.11B4(SWI9X28A_00.12.04.00)_VW</t>
  </si>
  <si>
    <t>OEMPRI-4936</t>
  </si>
  <si>
    <t>F119BFDAA76478498C2C5D9BC982B4E60000000026AA0000</t>
  </si>
  <si>
    <t>new weekly report contain with tools status</t>
  </si>
  <si>
    <t>COUGAR_RC1_NonLeadSKU_1103367_9906982_AR7582(4G/4G)_WP11.11B4(SWI9X28A_00.12.04.00)_VW</t>
  </si>
  <si>
    <t>F119BFDAA76478498C2C5D9BC982B4E60000000026970000</t>
  </si>
  <si>
    <t>OEMPRI-4935</t>
  </si>
  <si>
    <t>[OEMPRI-5652]-[proj#4820]-[TDN-012882]-svt spkg and approve</t>
  </si>
  <si>
    <t>COUGAR_RC1_NonLeadSKU_1103378_9906998_AR7584(4G/2G)_WP11.12B2(SWI9X28G_00.12.06.00)_Ficosa</t>
  </si>
  <si>
    <t>F119BFDAA76478498C2C5D9BC982B4E60000000026AF0000</t>
  </si>
  <si>
    <t>Fwpackagecreator support generate nvup file in jenkins(add 2 xml files)</t>
  </si>
  <si>
    <t>OEMPRI-4934</t>
  </si>
  <si>
    <t>COUGAR_RC1_LeadSku_1103362_9906977_AR7586(4G/2G)_WP11.12B2(SWI9X28G_00.12.06.00)_Lanyou</t>
  </si>
  <si>
    <t>F119BFDAA76478498C2C5D9BC982B4E60000000026B30000</t>
  </si>
  <si>
    <t>provide 9 ar7592-1 samples(upgrade to 1103151_9906435_AR7584_00.12.06.00_00_VW_001.010_000)</t>
  </si>
  <si>
    <t>OEMPRI-4933</t>
  </si>
  <si>
    <t>COUGAR_RC1_LeadSku_1103359_9906968_AR7586(4G/2G)_WP11.12B2(SWI9X28G_00.12.06.00)_Ficosa</t>
  </si>
  <si>
    <t>2017/11/16 perf</t>
  </si>
  <si>
    <t>F119BFDAA76478498C2C5D9BC982B4E60000000026B40000</t>
  </si>
  <si>
    <t>PCS sample tool approvement(del sample index +add nvbackup=1)</t>
  </si>
  <si>
    <t>COUGAR_RC1_LeadSku_1103371_9906986_AR7586(4G/2G)_WP11.12B2(SWI9X28G_00.12.06.00)_MM</t>
  </si>
  <si>
    <t>CABC13619704C6418CD791C82D7CDF1C00CCE3A3A0670000</t>
  </si>
  <si>
    <t>COUGAR_RC1_LeadSku_1103151_9906435_AR7584(4G/4G)_WP11.11B4(SWI9X28A_00.12.04.00)_VW</t>
  </si>
  <si>
    <t>OEMPRI-5756 baseline update and Tags</t>
  </si>
  <si>
    <t>OEMPRI-5228</t>
  </si>
  <si>
    <t>OEMPRI-4930</t>
  </si>
  <si>
    <t>Create SKPG for AR855x MR - AR8552 (1102757) NTT SKU</t>
  </si>
  <si>
    <t>CABC13619704C6418CD791C82D7CDF1C00CCE3A3A0680000</t>
  </si>
  <si>
    <t>OEMPRI-5774 [AR7594] 1103049_9906093_Generic_WP14.5B1 baseline update ant tag</t>
  </si>
  <si>
    <t>1103371_9906986_AR7586(4G/2G)_WP11.3B2(00.08.09.00)_MM_China Unicom</t>
  </si>
  <si>
    <t>OEMPRI-4926</t>
  </si>
  <si>
    <t>CABC13619704C6418CD791C82D7CDF1C00CCE3A3A06A0000</t>
  </si>
  <si>
    <t>OEMPRI-5836 MC7354 Update and Tag.</t>
  </si>
  <si>
    <t>OEMPRI-5209 loop test for FACT</t>
  </si>
  <si>
    <t>CABC13619704C6418CD791C82D7CDF1C00CCE3A3A06B0000</t>
  </si>
  <si>
    <t>OEMPRI-5774: Update baseline and Tag.</t>
  </si>
  <si>
    <t>Ethan Guan</t>
  </si>
  <si>
    <t>[AR7594] Create VW PRI for Beta release</t>
  </si>
  <si>
    <t>Bing Huang*(42)</t>
  </si>
  <si>
    <t>CABC13619704C6418CD791C82D7CDF1C00CCE3A3A06C0000</t>
  </si>
  <si>
    <t>OEMPRI-4867</t>
  </si>
  <si>
    <t xml:space="preserve">OEMPRI-5756 Reviwe and Release Note </t>
  </si>
  <si>
    <t>Lares Yang(22)</t>
  </si>
  <si>
    <t>OEMPRI-4866</t>
  </si>
  <si>
    <t>CABC13619704C6418CD791C82D7CDF1C00CCE3A3A06D0000</t>
  </si>
  <si>
    <t>OEMPRI-5836 Need to update PRI template for support new FACT and ParserTool and Dumpdiff check.</t>
  </si>
  <si>
    <t>OEMPRI-5092 Package Cross Check</t>
  </si>
  <si>
    <t>OEMPRI-4873</t>
  </si>
  <si>
    <t>3D68EC023EC934408492A941A20053800000000034230000</t>
  </si>
  <si>
    <t>[OEMPRI-5756] - SPKG</t>
  </si>
  <si>
    <t>Lares Yang(23)</t>
  </si>
  <si>
    <t>OEMPRI-4761 loop test for FACT</t>
  </si>
  <si>
    <t>3D68EC023EC934408492A941A20053800000000034260000</t>
  </si>
  <si>
    <t>OEMPRI-4872</t>
  </si>
  <si>
    <t>[OEMPRI-5756] - TEST</t>
  </si>
  <si>
    <t>Afsha Sethna</t>
  </si>
  <si>
    <t>OEMPRI-5142 Package Cross Check</t>
  </si>
  <si>
    <t>3D68EC023EC934408492A941A20053800000000034250000</t>
  </si>
  <si>
    <t>OEMPRI-4865</t>
  </si>
  <si>
    <t>OEMPRI-5140 PRI Package Cross Check</t>
  </si>
  <si>
    <t>3D68EC023EC934408492A941A20053800000000034280000</t>
  </si>
  <si>
    <t>OEMPRI-4761 provide MFT tools</t>
  </si>
  <si>
    <t>OEMPRI-4874</t>
  </si>
  <si>
    <t>OEMPRI-5209 CLONE - CLONE - REVIEW OEMPRI-3381 - [AR7594] Create VW PRI for Beta release</t>
  </si>
  <si>
    <t>3D68EC023EC934408492A941A20053800000000034270000</t>
  </si>
  <si>
    <t>OEMPRI-5209 CLONE - CLONE - CLONE - Please provide MFT Tool info</t>
  </si>
  <si>
    <t>OEMPRI-4871</t>
  </si>
  <si>
    <t>09AECFC0C4A5BB458BA64C192A624EB80000000029410000</t>
  </si>
  <si>
    <t>pkg_automation support xml and xlsm files meanwhile</t>
  </si>
  <si>
    <t>OEMPRI-5209 CLONE - CLONE - CLONE - Please provide FW &amp; PRI change request</t>
  </si>
  <si>
    <t>OEMPRI-5194</t>
  </si>
  <si>
    <t>OEMPRI-4870</t>
  </si>
  <si>
    <t>1103247_SL3010T, new SKU with RUIM enable</t>
  </si>
  <si>
    <t>CABC13619704C6418CD791C82D7CDF1C00CCE3A3A0690000</t>
  </si>
  <si>
    <t>OEMPRI-5821 AR7582-1 Lab Package baseline prepare and Tag.</t>
  </si>
  <si>
    <t>SL3010T</t>
  </si>
  <si>
    <t>2017/11/10 fw download fail, handup</t>
  </si>
  <si>
    <t>OEMPRI-4869</t>
  </si>
  <si>
    <t>COUGAR-2185 :enable +CSIM for MM RC1 SKU by default</t>
  </si>
  <si>
    <t>F119BFDAA76478498C2C5D9BC982B4E60000000026B20000</t>
  </si>
  <si>
    <t>[OEMPRI-5683]-[proj#4748]-[TDN-012946]-log confirm</t>
  </si>
  <si>
    <t>F119BFDAA76478498C2C5D9BC982B4E60000000026960000</t>
  </si>
  <si>
    <t>[OEMPRI-5652]-[proj#4820]-[TDN-012882]-update</t>
  </si>
  <si>
    <t>OEMPRI-4868</t>
  </si>
  <si>
    <t>OEMPRI-5194 1103247_SL3010 new SKU release</t>
  </si>
  <si>
    <t>F119BFDAA76478498C2C5D9BC982B4E60000000026B00000</t>
  </si>
  <si>
    <t>[OEMPRI-5683]-[proj#4748]-[TDN-012946]-update</t>
  </si>
  <si>
    <t>[AR7594] 1103204_9906619_VW_WP14.2B1</t>
  </si>
  <si>
    <t>OEMPRI-4863</t>
  </si>
  <si>
    <t>F119BFDAA76478498C2C5D9BC982B4E60000000026B10000</t>
  </si>
  <si>
    <t>[OEMPRI-5683]-[proj#4748]-[TDN-012946]-svt spkg and approve</t>
  </si>
  <si>
    <t>Henry Huang</t>
  </si>
  <si>
    <t>[Configuration][AR758x][Ficosa] Update FW to WP10.5B3 for SOP</t>
  </si>
  <si>
    <t>OEMPRI-5170</t>
  </si>
  <si>
    <t>09AECFC0C4A5BB458BA64C192A624EB80000000029400000</t>
  </si>
  <si>
    <t>Collect QTI requirements table tool solve URL disply problem and add fon color to "yes",perfect doc</t>
  </si>
  <si>
    <t>Create Variant SKPG for 1103544 Ficosa _EU with AR855x USB PID for AR755x 2017 PCN</t>
  </si>
  <si>
    <t>OEMPRI-4862</t>
  </si>
  <si>
    <t>OEMPRI-5169</t>
  </si>
  <si>
    <t>create SKPG for SKU 1103545 (AR755x 2017 PCN)</t>
  </si>
  <si>
    <t>OEMPRI-4864</t>
  </si>
  <si>
    <t>F119BFDAA76478498C2C5D9BC982B4E60000000026A60000</t>
  </si>
  <si>
    <t>[OEMPRI-5723]-[proj#4780]-[TDN-012950]-log confirm</t>
  </si>
  <si>
    <t>2017/11/20 TAC update, reopen</t>
  </si>
  <si>
    <t>F119BFDAA76478498C2C5D9BC982B4E60000000026A90000</t>
  </si>
  <si>
    <t>OEMPRI-4971</t>
  </si>
  <si>
    <t>[OEMPRI-5674]-[proj#4926]-[TDN-012924]-log confirm</t>
  </si>
  <si>
    <t>Davy Zhang(13)</t>
  </si>
  <si>
    <t>F119BFDAA76478498C2C5D9BC982B4E60000000026AD0000</t>
  </si>
  <si>
    <t>OEMPRI-5168</t>
  </si>
  <si>
    <t>provide 7 samples(upgrade to 1103151_9906435_AR7584_00.12.06.00_00_VW_001.010_000)</t>
  </si>
  <si>
    <t>OEMPRI-4854</t>
  </si>
  <si>
    <t>create SKPG for SKU 1103544 (AR755x 2017 PCN)</t>
  </si>
  <si>
    <t>OEMPRI-5167</t>
  </si>
  <si>
    <t>F119BFDAA76478498C2C5D9BC982B4E60000000026AE0000</t>
  </si>
  <si>
    <t>create SKPG for SKU 1103546 (AR755x 2017 PCN)</t>
  </si>
  <si>
    <t>One-Click upgrade spkg for 1103151_9906435_AR7584_00.12.06.00_00_VW_001.010_000</t>
  </si>
  <si>
    <t>OEMPRI-4855</t>
  </si>
  <si>
    <t>F119BFDAA76478498C2C5D9BC982B4E60000000026AC0000</t>
  </si>
  <si>
    <t xml:space="preserve">collect RC1 fields package with release factory </t>
  </si>
  <si>
    <t>OEMPRI-5166</t>
  </si>
  <si>
    <t>F119BFDAA76478498C2C5D9BC982B4E60000000026A80000</t>
  </si>
  <si>
    <t>OEMPRI-4853</t>
  </si>
  <si>
    <t>[OEMPRI-5674]-[proj#4926]-[TDN-012924]-svt spkg and approve</t>
  </si>
  <si>
    <t>create SKPG for SKU 1103542 (AR755x 2017 PCN)</t>
  </si>
  <si>
    <t>OEMPRI-4832</t>
  </si>
  <si>
    <t>OEMPRI-5165</t>
  </si>
  <si>
    <t>09AECFC0C4A5BB458BA64C192A624EB80000000029390000</t>
  </si>
  <si>
    <t>one click upgrate tool support flash modem NON-HLOS.ubi</t>
  </si>
  <si>
    <t>create SKPG for SKU 1103543 (AR755x 2017 PCN)</t>
  </si>
  <si>
    <t>2017/11/10 TAC update, reopen</t>
  </si>
  <si>
    <t>OEMPRI-4818</t>
  </si>
  <si>
    <t>F119BFDAA76478498C2C5D9BC982B4E60000000026AB0000</t>
  </si>
  <si>
    <t>provide one-click tool for moderm file</t>
  </si>
  <si>
    <t>OEMPRI-5164</t>
  </si>
  <si>
    <t>Golden Shen(26)</t>
  </si>
  <si>
    <t>OEMPRI-4826</t>
  </si>
  <si>
    <t>F119BFDAA76478498C2C5D9BC982B4E600000000267D0000</t>
  </si>
  <si>
    <t>[OEMPRI-5521]-[proj#4130]-[ECO-024667]-log confirm</t>
  </si>
  <si>
    <t>create SKPG for SKU 1103724 (AR755x 2017 PCN)</t>
  </si>
  <si>
    <t>F119BFDAA76478498C2C5D9BC982B4E60000000026800000</t>
  </si>
  <si>
    <t>OEMPRI-5162 CLONE - PRI PKG Cross Check</t>
  </si>
  <si>
    <t>[OEMPRI-5520]-[proj#4129]-[ECO-024667]-log confirm</t>
  </si>
  <si>
    <t>OEMPRI-4820</t>
  </si>
  <si>
    <t>CLONE - COUGAR-2256 SOP PRI -1103360_9906969_AR7588_00.08.06.01_Ficosa</t>
  </si>
  <si>
    <t>F119BFDAA76478498C2C5D9BC982B4E60000000026640000</t>
  </si>
  <si>
    <t>[OEMPRI-5400]-[proj#4469]-[ECO-025331]-log confirm</t>
  </si>
  <si>
    <t>OEMPRI-4817</t>
  </si>
  <si>
    <t>F119BFDAA76478498C2C5D9BC982B4E60000000026A70000</t>
  </si>
  <si>
    <t>[OEMPRI-5674]-[proj#4926]-[TDN-012924]-update</t>
  </si>
  <si>
    <t>OEMPRI-4816</t>
  </si>
  <si>
    <t>3D68EC023EC934408492A941A20053800000000034210000</t>
  </si>
  <si>
    <t>[OEMPRI-5749] - SPKG</t>
  </si>
  <si>
    <t>2017/10/30 add 2017/11/3</t>
  </si>
  <si>
    <t>OEMPRI-5165 Please assign factory tools and drivers</t>
  </si>
  <si>
    <t>OEMPRI-4815</t>
  </si>
  <si>
    <t>3D68EC023EC934408492A941A20053800000000034200000</t>
  </si>
  <si>
    <t>[OEMPRI-5749] - Configuration</t>
  </si>
  <si>
    <t>OEMPRI-5166 Please assign factory tools and drivers</t>
  </si>
  <si>
    <t>3D68EC023EC934408492A941A20053800000000034220000</t>
  </si>
  <si>
    <t>OEMPRI-4814</t>
  </si>
  <si>
    <t>[OEMPRI-5749] - TEST</t>
  </si>
  <si>
    <t>OEMPRI-5167 Please assign factory tools and drivers</t>
  </si>
  <si>
    <t>OEMPRI-4821</t>
  </si>
  <si>
    <t>09AECFC0C4A5BB458BA64C192A624EB80000000029360000</t>
  </si>
  <si>
    <t>OEMPRI-5168 Please assign factory tools and drivers</t>
  </si>
  <si>
    <t>Collect-QTI-requirement-and-Generate-Check-request-table 9x40、9x28</t>
  </si>
  <si>
    <t>OEMPRI-5169 Please assign factory tools and drivers</t>
  </si>
  <si>
    <t>OEMPRI-4801</t>
  </si>
  <si>
    <t>3D68EC023EC934408492A941A200538000000000341E0000</t>
  </si>
  <si>
    <t>OEMPRI-5164 Please assign factory tools and drivers</t>
  </si>
  <si>
    <t>[OEMPRI-5670] - Configuration</t>
  </si>
  <si>
    <t>Bing Huang(30)</t>
  </si>
  <si>
    <t>OEMPRI-5170 Please assign factory tools and drivers</t>
  </si>
  <si>
    <t>OEMPRI-4800</t>
  </si>
  <si>
    <t>3D68EC023EC934408492A941A200538000000000341D0000</t>
  </si>
  <si>
    <t>[AR7594] 1103204_9906619_VW_WP14.1B1</t>
  </si>
  <si>
    <t>[OEMPRI-5674] - TEST</t>
  </si>
  <si>
    <t>[AR758x][AR759x] One-Click to Disable/Enable SMS over IMS</t>
  </si>
  <si>
    <t>AR758x, AR759x</t>
  </si>
  <si>
    <t>3D68EC023EC934408492A941A200538000000000341F0000</t>
  </si>
  <si>
    <t>OEMPRI-4802</t>
  </si>
  <si>
    <t>[OEMPRI-5670] - Generate</t>
  </si>
  <si>
    <t>OEMPRI-5091 PRI PKG Cross Check</t>
  </si>
  <si>
    <t>OEMPRI-5093 PRI PKG Cross Check</t>
  </si>
  <si>
    <t>OEMPRI-4779</t>
  </si>
  <si>
    <t>F119BFDAA76478498C2C5D9BC982B4E60000000026A50000</t>
  </si>
  <si>
    <t>[OEMPRI-5723]-[proj#4780]-[TDN-012950]-svt spkg and approve</t>
  </si>
  <si>
    <t>OEMPRI-5090 PRI PKG Cross Check</t>
  </si>
  <si>
    <t>OEMPRI-4775</t>
  </si>
  <si>
    <t>F119BFDAA76478498C2C5D9BC982B4E60000000026A40000</t>
  </si>
  <si>
    <t>[OEMPRI-5723]-[proj#4780]-[TDN-012950]-update</t>
  </si>
  <si>
    <t>OneClick Tool for AR7552 MR4 RC1 SKPG</t>
  </si>
  <si>
    <t>3D68EC023EC934408492A941A200538000000000341C0000</t>
  </si>
  <si>
    <t>[OEMPRI-5674] - SPKG</t>
  </si>
  <si>
    <t>OEMPRI-4998 PRI PKG Cross Check</t>
  </si>
  <si>
    <t>OEMPRI-4778</t>
  </si>
  <si>
    <t>F119BFDAA76478498C2C5D9BC982B4E60000000026A30000</t>
  </si>
  <si>
    <t>OEMPRI-5073 PRI review.</t>
  </si>
  <si>
    <t>released notes mail tool support parent sku</t>
  </si>
  <si>
    <t>OEMPRI-4777</t>
  </si>
  <si>
    <t>F119BFDAA76478498C2C5D9BC982B4E60000000026A20000</t>
  </si>
  <si>
    <t>CLONE - 1103379_9907000_AR7582(4G/2G)_WP10.3B2_RC1(SWI9x28G00.08.06.00)_Ficosa</t>
  </si>
  <si>
    <t>OEMPRI-5673 released note</t>
  </si>
  <si>
    <t>OEMPRI-4776</t>
  </si>
  <si>
    <t>09AECFC0C4A5BB458BA64C192A624EB80000000029370000</t>
  </si>
  <si>
    <t>Cougar RC1 Intermidate Version:1103151_9906435_AR7584(4G/4G)_RC1(SWI9X28A_00.11.01.00)_VW</t>
  </si>
  <si>
    <t>optimizing one-click-upgrate-tool and update "fastboot flash sierra" to "fastboot flash sierra-dual-system"</t>
  </si>
  <si>
    <t>OEMPRI-4767</t>
  </si>
  <si>
    <t>OEMPRI-5134</t>
  </si>
  <si>
    <t>3D68EC023EC934408492A941A200538000000000341B0000</t>
  </si>
  <si>
    <t>9102001_9906832_AR7582-1_00.10.02.00_00_PTCRB_001.004_000</t>
  </si>
  <si>
    <t>[OEMPRI-5674] - Configuration</t>
  </si>
  <si>
    <t>OEMPRI-4766</t>
  </si>
  <si>
    <t>Cougar RC1 Intermidate PRI:1103371_9906986_AR7586(4G/2G)_Beta(SWI9X28G_00.10.06.00)_MM</t>
  </si>
  <si>
    <t>F119BFDAA76478498C2C5D9BC982B4E600000000269F0000</t>
  </si>
  <si>
    <t>Eric Zhang</t>
  </si>
  <si>
    <t>[OEMPRI-5194]-[proj#4445]-[ECO-025324]-log confirm</t>
  </si>
  <si>
    <t>Eric Zhang(27)</t>
  </si>
  <si>
    <t>Eric Zhang(0)</t>
  </si>
  <si>
    <t>OEMPRI-4765</t>
  </si>
  <si>
    <t>F119BFDAA76478498C2C5D9BC982B4E60000000026A00000</t>
  </si>
  <si>
    <t>update the new sku list for cougar and conordo</t>
  </si>
  <si>
    <t>OEMPRI-5082 PRI PKG Cross Check</t>
  </si>
  <si>
    <t>Henry Huang(3)</t>
  </si>
  <si>
    <t>Henry Huang(0)</t>
  </si>
  <si>
    <t>OEMPRI-4764</t>
  </si>
  <si>
    <t>F119BFDAA76478498C2C5D9BC982B4E60000000026A10000</t>
  </si>
  <si>
    <t>OEMPRI-5673 check-in request</t>
  </si>
  <si>
    <t>OEMPRI-5138 PRI PKG Cross Check</t>
  </si>
  <si>
    <t>F119BFDAA76478498C2C5D9BC982B4E600000000269A0000</t>
  </si>
  <si>
    <t>[OEMPRI-5656]-[proj#4673]-[TDN-012752]-svt spkg and approve</t>
  </si>
  <si>
    <t>OEMPRI-5009 PRI PKG Cross Check</t>
  </si>
  <si>
    <t>OEMPRI-4763</t>
  </si>
  <si>
    <t>F119BFDAA76478498C2C5D9BC982B4E600000000269D0000</t>
  </si>
  <si>
    <t>[OEMPRI-5194]-[proj#4445]-[ECO-025324]-update</t>
  </si>
  <si>
    <t>OEMPRI-5018 Loop Test for SKU 1103223</t>
  </si>
  <si>
    <t>Roger Wang(16)</t>
  </si>
  <si>
    <t>Cassie Sheng(1)</t>
  </si>
  <si>
    <t>OEMPRI-4761</t>
  </si>
  <si>
    <t>OEMPRI-4963 PRI Pkg Cross check</t>
  </si>
  <si>
    <t>F119BFDAA76478498C2C5D9BC982B4E600000000269E0000</t>
  </si>
  <si>
    <t>[OEMPRI-5194]-[proj#4445]-[ECO-025324]-svt spkg and approve</t>
  </si>
  <si>
    <t>[AR759x] PRI baselines to be aligned with [WP14.0B1][WP14.1B1]</t>
  </si>
  <si>
    <t>Roger Wang(12)</t>
  </si>
  <si>
    <t>OEMPRI-4760</t>
  </si>
  <si>
    <t>COUGAR-2256 SOP PRI -1103379_9907000_AR7582_00.08.06.01_FICOSA</t>
  </si>
  <si>
    <t>2017/10/30 new fw 2017/11/3</t>
  </si>
  <si>
    <t>OEMPRI-4739</t>
  </si>
  <si>
    <t>09AECFC0C4A5BB458BA64C192A624EB80000000029380000</t>
  </si>
  <si>
    <t>Intermidate Version:1103151_9906435_AR7584(4G/4G)_RC1(SWI9X28A_00.10.03.00)_VW</t>
  </si>
  <si>
    <t>test 9x40、9x28 spkg</t>
  </si>
  <si>
    <t>Bing Huang(26)</t>
  </si>
  <si>
    <t>Joanna Xia(8)</t>
  </si>
  <si>
    <t>Joanna Xia(55)</t>
  </si>
  <si>
    <t>OEMPRI-4733</t>
  </si>
  <si>
    <t>F119BFDAA76478498C2C5D9BC982B4E600000000269C0000</t>
  </si>
  <si>
    <t>common python log module for all project</t>
  </si>
  <si>
    <t>Stone Li(29)</t>
  </si>
  <si>
    <t>COUGAR-2256 SOP PRI -1103378_9906998_AR7584_00.08.06.01_Ficosa</t>
  </si>
  <si>
    <t>3D68EC023EC934408492A941A20053800000000034180000</t>
  </si>
  <si>
    <t>OEMPRI-4740</t>
  </si>
  <si>
    <t>[OEMPRI-5673] - Configuration</t>
  </si>
  <si>
    <t>2017/10/30 new fw 2017/11/1</t>
  </si>
  <si>
    <t>COUGAR-2256 SOP PRI -1103359_9906968_AR7586_00.08.06.01_Ficosa</t>
  </si>
  <si>
    <t>2017/10/30 new fw 2017/10/30</t>
  </si>
  <si>
    <t>OEMPRI-4737</t>
  </si>
  <si>
    <t>3D68EC023EC934408492A941A200538000000000341A0000</t>
  </si>
  <si>
    <t>[OEMPRI-5673] - TEST</t>
  </si>
  <si>
    <t>Joanna Xia(165)</t>
  </si>
  <si>
    <t>3D68EC023EC934408492A941A20053800000000034190000</t>
  </si>
  <si>
    <t>[OEMPRI-5673] - SPKG</t>
  </si>
  <si>
    <t>OEMPRI-4738</t>
  </si>
  <si>
    <t>F119BFDAA76478498C2C5D9BC982B4E60000000026990000</t>
  </si>
  <si>
    <t>OEMPRI-4866 PRI Package Cross check</t>
  </si>
  <si>
    <t>[OEMPRI-5656]-[proj#4673]-[TDN-012752]-update</t>
  </si>
  <si>
    <t>OEMPRI-4726</t>
  </si>
  <si>
    <t>3D68EC023EC934408492A941A20053800000000034130000</t>
  </si>
  <si>
    <t>[OEMPRI-5498] - SPKG</t>
  </si>
  <si>
    <t>OEMPRI-4872 PRI Package cross check</t>
  </si>
  <si>
    <t>3D68EC023EC934408492A941A20053800000000034150000</t>
  </si>
  <si>
    <t>[OEMPRI-5498] - Test</t>
  </si>
  <si>
    <t>OEMPRI-4867 PRI Package Cross Check</t>
  </si>
  <si>
    <t>OEMPRI-4701</t>
  </si>
  <si>
    <t>OEMPRI-4873 PRI package cross check</t>
  </si>
  <si>
    <t>3D68EC023EC934408492A941A20053800000000034110000</t>
  </si>
  <si>
    <t>Update DoCoMo MCFG MBN generation one-click package</t>
  </si>
  <si>
    <t>OEMPRI-4865 PRI package cross check</t>
  </si>
  <si>
    <t>OEMPRI-4700</t>
  </si>
  <si>
    <t>3D68EC023EC934408492A941A20053800000000034120000</t>
  </si>
  <si>
    <t>Update CU MCFG MBN generation one-click package</t>
  </si>
  <si>
    <t>Hugh Yao(11)</t>
  </si>
  <si>
    <t>COUGAR-2256 SOP PRI -1103360_9906969_AR7588_00.08.06.01_Ficosa</t>
  </si>
  <si>
    <t>Hugh Yao(12)</t>
  </si>
  <si>
    <t>Unassigned</t>
  </si>
  <si>
    <t>2017/10/30 new fw with 5162</t>
  </si>
  <si>
    <t>OEMPRI-4699</t>
  </si>
  <si>
    <t>3D68EC023EC934408492A941A20053800000000034160000</t>
  </si>
  <si>
    <t>MM new SKU creation for GM</t>
  </si>
  <si>
    <t>OEMPRI-4698</t>
  </si>
  <si>
    <t>3D68EC023EC934408492A941A20053800000000034170000</t>
  </si>
  <si>
    <t>James Wang(10)</t>
  </si>
  <si>
    <t>CLONE - regenerate:1103367_9906982_AR7582(4G/4G)__WP10.2B1-VW-Beta2(SWI9X28A_00.08.05.00)_VW</t>
  </si>
  <si>
    <t>OEMPRI-4697</t>
  </si>
  <si>
    <t>09AECFC0C4A5BB458BA64C192A624EB80000000029350000</t>
  </si>
  <si>
    <t>follow How_To_Validate_9x28_9x40_Multi_Carrier_MBN_V1.0.docx and validate MBN</t>
  </si>
  <si>
    <t>Ethan Guan(1)</t>
  </si>
  <si>
    <t>OEMPRI-4702</t>
  </si>
  <si>
    <t>OEMPRI-4687</t>
  </si>
  <si>
    <t>1103821_9907843_SL8082BTAR_Emergency fix for GM issue with R7.54.16.A1 WP1</t>
  </si>
  <si>
    <t>F119BFDAA76478498C2C5D9BC982B4E60000000026930000</t>
  </si>
  <si>
    <t>add created time for OEMPRI flow sheet</t>
  </si>
  <si>
    <t>Bing Huang(19)</t>
  </si>
  <si>
    <t>OEMPRI-4685</t>
  </si>
  <si>
    <t>F119BFDAA76478498C2C5D9BC982B4E60000000026940000</t>
  </si>
  <si>
    <t>[doc]how to use common lib in python script</t>
  </si>
  <si>
    <t>2017/10/27
 2017/11/6 TAC update regen</t>
  </si>
  <si>
    <t>OEMPRI-4683</t>
  </si>
  <si>
    <t>OEMPRI-4960 PRI PKG Cross Check</t>
  </si>
  <si>
    <t>Joanna Xia(23)</t>
  </si>
  <si>
    <t>F119BFDAA76478498C2C5D9BC982B4E60000000026950000</t>
  </si>
  <si>
    <t>add issue type for OEMPRI flow sheet</t>
  </si>
  <si>
    <t>PRI baselines to fixed issue for AR7582 Rel1_VW_Cert and Rel1_Lanyou_Ficosa_MM</t>
  </si>
  <si>
    <t>OEMPRI-4682</t>
  </si>
  <si>
    <t>OEMPRI-4962 PRI PKG Cross Check</t>
  </si>
  <si>
    <t>F119BFDAA76478498C2C5D9BC982B4E60000000026920000</t>
  </si>
  <si>
    <t>common python lib for all project</t>
  </si>
  <si>
    <t>Joanna Xia(6)</t>
  </si>
  <si>
    <t>OEMPRI-4688</t>
  </si>
  <si>
    <t>Build Script update to fixed with -Secureboot argv missing RESET Flag in SPKG</t>
  </si>
  <si>
    <t>3D68EC023EC934408492A941A200538000000000340E0000</t>
  </si>
  <si>
    <t>[OEMPRI-5652] - TEST</t>
  </si>
  <si>
    <t>OEMPRI-5073 provide MFT driver and tools version</t>
  </si>
  <si>
    <t>OEMPRI-4686</t>
  </si>
  <si>
    <t>3D68EC023EC934408492A941A200538000000000340D0000</t>
  </si>
  <si>
    <t>[OEMPRI-5652] - SPKG</t>
  </si>
  <si>
    <t>OEMPRI-5073 provide R7.54.16.A1 WP1 released path</t>
  </si>
  <si>
    <t>OEMPRI-4684</t>
  </si>
  <si>
    <t>3D68EC023EC934408492A941A20053800000000034100000</t>
  </si>
  <si>
    <t>[OEMPRI-5634] - TEST</t>
  </si>
  <si>
    <t>OEMPRI-4617 loop test for MFT</t>
  </si>
  <si>
    <t>[AR7584][Vodafone] 1103151_9906435_AR7584(4G/4G)_WP11.4B1(00.10.01.00)_VW</t>
  </si>
  <si>
    <t>OEMPRI-4669</t>
  </si>
  <si>
    <t>3D68EC023EC934408492A941A200538000000000340F0000</t>
  </si>
  <si>
    <t>[OEMPRI-5634] - SPKG</t>
  </si>
  <si>
    <t>PRI baselines to be aligned with BP2.0B1 (SWI9X28A_00.09.02.00- Legato17.09.0.rc4)</t>
  </si>
  <si>
    <t>OEMPRI-5000 PRI Package Cross Check</t>
  </si>
  <si>
    <t>OEMPRI-4654</t>
  </si>
  <si>
    <t>OEMPRI-5037 Provide configuration for Voldafone test for OEMPRI-5037 by 10/20</t>
  </si>
  <si>
    <t>Rock Li-Zhi Quan(43)</t>
  </si>
  <si>
    <t>OEMPRI-4862 PRI Cross Check</t>
  </si>
  <si>
    <t>OEMPRI-4649</t>
  </si>
  <si>
    <t>F119BFDAA76478498C2C5D9BC982B4E60000000026910000</t>
  </si>
  <si>
    <t>select 8 pcs to vm pc for test in jenkins</t>
  </si>
  <si>
    <t>1103223_9906693_AR7586(4G/4G)_Beta2(00.08.05.00)_VW_CMCC_CU</t>
  </si>
  <si>
    <t>Hugh Yao(82)</t>
  </si>
  <si>
    <t>2017/10/24 release
 2017/10/26 to factory</t>
  </si>
  <si>
    <t>OEMPRI-4651</t>
  </si>
  <si>
    <t>OEMPRI-5009</t>
  </si>
  <si>
    <t>Bing Huang(44)</t>
  </si>
  <si>
    <t>9102008_5502008_AR7582-1_00.10.02.00_00_ATT_001.004_000</t>
  </si>
  <si>
    <t>F119BFDAA76478498C2C5D9BC982B4E60000000026850000</t>
  </si>
  <si>
    <t>check the tools version from OEMPRI to PRI package</t>
  </si>
  <si>
    <t>OEMPRI-5018 FW requirement for factory SKU release for VW shipment</t>
  </si>
  <si>
    <t>F119BFDAA76478498C2C5D9BC982B4E60000000026830000</t>
  </si>
  <si>
    <t>One-Click upgrate tool support cross sku upgrade</t>
  </si>
  <si>
    <t>OEMPRI-5018 Configuration envrionment confirmation</t>
  </si>
  <si>
    <t>OEMPRI-4650</t>
  </si>
  <si>
    <t>F119BFDAA76478498C2C5D9BC982B4E60000000026160000</t>
  </si>
  <si>
    <t>jenkins support to make mbn spkg</t>
  </si>
  <si>
    <t>Lares Yang(36)</t>
  </si>
  <si>
    <t>OEMPRI-4869 PRI Package Cross Check</t>
  </si>
  <si>
    <t>Stone Li(34)</t>
  </si>
  <si>
    <t>Lufy Zeng(0)</t>
  </si>
  <si>
    <t>Lufy Zeng(1)</t>
  </si>
  <si>
    <t>3D68EC023EC934408492A941A200538000000000340C0000</t>
  </si>
  <si>
    <t>[OEMPRI-5670] - NVUP file Creation</t>
  </si>
  <si>
    <t>OEMPRI-4625</t>
  </si>
  <si>
    <t>OEMPRI-4817 PRI Cross check</t>
  </si>
  <si>
    <t>F119BFDAA76478498C2C5D9BC982B4E600000000267F0000</t>
  </si>
  <si>
    <t>[OEMPRI-5520]-[proj#4129]-[ECO-024667]-svt spkg and approve</t>
  </si>
  <si>
    <t>Rain Xie(44)</t>
  </si>
  <si>
    <t>OEMPRI-4871 PRI Package Cross Check</t>
  </si>
  <si>
    <t>F119BFDAA76478498C2C5D9BC982B4E600000000267C0000</t>
  </si>
  <si>
    <t>[OEMPRI-5521]-[proj#4130]-[ECO-024667]-svt spkg and approve</t>
  </si>
  <si>
    <t>OEMPRI-4617</t>
  </si>
  <si>
    <t>OEMPRI-4032 CLONE - VzW initial configuration</t>
  </si>
  <si>
    <t>Bing Huang(38)</t>
  </si>
  <si>
    <t>F119BFDAA76478498C2C5D9BC982B4E600000000268F0000</t>
  </si>
  <si>
    <t>auto create new job support xml to build in jenkins</t>
  </si>
  <si>
    <t>[AR7594] 1103204_9906619_VW_WP14.0B1</t>
  </si>
  <si>
    <t>OEMPRI-4615</t>
  </si>
  <si>
    <t>2017/10/19-delay
 2017/10/23</t>
  </si>
  <si>
    <t>F119BFDAA76478498C2C5D9BC982B4E600000000267E0000</t>
  </si>
  <si>
    <t>[OEMPRI-5520]-[proj#4129]-[ECO-024667]-update</t>
  </si>
  <si>
    <t>9102009_5502009_AR7582-1_00.10.02.00_00_VZW_001.004_000</t>
  </si>
  <si>
    <t>F119BFDAA76478498C2C5D9BC982B4E60000000026680000</t>
  </si>
  <si>
    <t>James Wang(8)</t>
  </si>
  <si>
    <t>[OEMPRI-5400]-[proj#4469]-[ECO-025331]-svt spkg and approve</t>
  </si>
  <si>
    <t>Stone Li(24)</t>
  </si>
  <si>
    <t>OEMPRI-4032 PRI Package cross check</t>
  </si>
  <si>
    <t>OEMPRI-4614</t>
  </si>
  <si>
    <t>Bing Huang(40)</t>
  </si>
  <si>
    <t>regenerate:1103367_9906982_AR7582(4G/4G)__WP10.2B1-VW-Beta2(SWI9X28A_00.08.05.00)_VW</t>
  </si>
  <si>
    <t>F119BFDAA76478498C2C5D9BC982B4E600000000268E0000</t>
  </si>
  <si>
    <t>tool for preparing pcs samples(print label)</t>
  </si>
  <si>
    <t>OEMPRI-4610</t>
  </si>
  <si>
    <t>2017/10/13 replace 4474</t>
  </si>
  <si>
    <t>F119BFDAA76478498C2C5D9BC982B4E600000000267B0000</t>
  </si>
  <si>
    <t>OEMPRI-4761 cross check</t>
  </si>
  <si>
    <t>[OEMPRI-5521]-[proj#4130]-[ECO-024667]-update</t>
  </si>
  <si>
    <t>OEMPRI-4609</t>
  </si>
  <si>
    <t>Bing Huang(36)</t>
  </si>
  <si>
    <t>1103368_9906983_AR7584(4G/2G)_Release2-Alpha2_BP2.0B1(00.09.02.00)_MM</t>
  </si>
  <si>
    <t>F119BFDAA76478498C2C5D9BC982B4E60000000026620000</t>
  </si>
  <si>
    <t>OEMPRI-4608</t>
  </si>
  <si>
    <t>[OEMPRI-5400]-[proj#4469]-[ECO-025331]-update</t>
  </si>
  <si>
    <t>1103378_9906998_AR7584(4G/2G)_Release2-Alpha2_BP2.0B1(00.09.02.00)_Ficosa</t>
  </si>
  <si>
    <t>Stone Li(9)</t>
  </si>
  <si>
    <t>2017/10/17 not MBN</t>
  </si>
  <si>
    <t>OEMPRI-4602</t>
  </si>
  <si>
    <t>1103359_9906968_AR7586(4G/2G)_Release2-Alpha2_BP2.0B1(00.09.02.00)_Ficosa</t>
  </si>
  <si>
    <t>F119BFDAA76478498C2C5D9BC982B4E600000000268B0000</t>
  </si>
  <si>
    <t>prepare 38 pcs samples for AR7582 VZW LE</t>
  </si>
  <si>
    <t>2017/10/23 block QTI9X28-2450</t>
  </si>
  <si>
    <t>Delta Image BP1.0B1 &lt;-&gt;BP2.0B1</t>
  </si>
  <si>
    <t>OEMPRI-4599</t>
  </si>
  <si>
    <t>F119BFDAA76478498C2C5D9BC982B4E600000000268C0000</t>
  </si>
  <si>
    <t>tool for preparing pcs samples(upgrade)</t>
  </si>
  <si>
    <t>OEMPRI-4800 PRI Cross Check</t>
  </si>
  <si>
    <t>OEMPRI-4591</t>
  </si>
  <si>
    <t>OEMPRI-4481 cross check</t>
  </si>
  <si>
    <t>F119BFDAA76478498C2C5D9BC982B4E60000000026870000</t>
  </si>
  <si>
    <t>Generate PRI Package Automation build Processing guide instrucment</t>
  </si>
  <si>
    <t>Cassie Sheng(73)</t>
  </si>
  <si>
    <t>OEMPRI-4930 Cross check</t>
  </si>
  <si>
    <t>F119BFDAA76478498C2C5D9BC982B4E60000000026780000</t>
  </si>
  <si>
    <t>auto gen dumpdiff file and archive to release folder</t>
  </si>
  <si>
    <t>OEMPRI-4582</t>
  </si>
  <si>
    <t>OEMPRI-4956</t>
  </si>
  <si>
    <t>[AR759x][Carrier PRI] [MBN] Create initial CMCC Carrier PRI with MBN solution</t>
  </si>
  <si>
    <t>F119BFDAA76478498C2C5D9BC982B4E60000000026860000</t>
  </si>
  <si>
    <t>auto generate jenkins job for xml tool update</t>
  </si>
  <si>
    <t>OEMPRI-4932</t>
  </si>
  <si>
    <t>Bing Huang(15)</t>
  </si>
  <si>
    <t>5101000_9906830_AR7592-1_PTCRB_package update</t>
  </si>
  <si>
    <t>Stone Li(37)</t>
  </si>
  <si>
    <t>F119BFDAA76478498C2C5D9BC982B4E60000000026890000</t>
  </si>
  <si>
    <t>Stone Li(44)</t>
  </si>
  <si>
    <t>[doc] prepare env for build and test mathine</t>
  </si>
  <si>
    <t>OEMPRI-4583</t>
  </si>
  <si>
    <t>[VWIF] NVU files suffix ID update required for SPI recovery mode and MAPUART configuration</t>
  </si>
  <si>
    <t>Rain Xie(5)</t>
  </si>
  <si>
    <t>F119BFDAA76478498C2C5D9BC982B4E60000000026880000</t>
  </si>
  <si>
    <t>OEMPRI-4874 cross check pri configuration</t>
  </si>
  <si>
    <t>merege ar758x and ar7x95 pca list</t>
  </si>
  <si>
    <t>OEMPRI-4581</t>
  </si>
  <si>
    <t>F119BFDAA76478498C2C5D9BC982B4E600000000267A0000</t>
  </si>
  <si>
    <t>OEMPRI-4870 cross check pri configuration</t>
  </si>
  <si>
    <t>auto find CWE file PartNumber from agile</t>
  </si>
  <si>
    <t>OEMPRI-4573</t>
  </si>
  <si>
    <t>F119BFDAA76478498C2C5D9BC982B4E600000000268A0000</t>
  </si>
  <si>
    <t>OEMPRI-4868 cross check pri configuration</t>
  </si>
  <si>
    <t>swicwe ut case for REPL -I</t>
  </si>
  <si>
    <t>Bing Huang(49)</t>
  </si>
  <si>
    <t>OEMPRI-4572</t>
  </si>
  <si>
    <t>OEMPRI-4816 cross check pri configuration</t>
  </si>
  <si>
    <t>COUGAR-2218</t>
  </si>
  <si>
    <t>3D68EC023EC934408492A941A20053800000000034090000</t>
  </si>
  <si>
    <t>[OEMPRI-5555] - SPKG</t>
  </si>
  <si>
    <t>OEMPRI-4570</t>
  </si>
  <si>
    <t>3D68EC023EC934408492A941A200538000000000340A0000</t>
  </si>
  <si>
    <t>OEMPRI-4571</t>
  </si>
  <si>
    <t>[OEMPRI-5555] - TEST</t>
  </si>
  <si>
    <t>Bing Huang(147)</t>
  </si>
  <si>
    <t>3D68EC023EC934408492A941A200538000000000340B0000</t>
  </si>
  <si>
    <t>[OEMPRI-5555] - Custom Spreadsheet Configuration</t>
  </si>
  <si>
    <t>Cougar-RC1-Plus:1103371_9906986_AR7586(4G/2G)_WP11.3B2_(SWI9x28G00.08.09.00)_MM</t>
  </si>
  <si>
    <t>F119BFDAA76478498C2C5D9BC982B4E60000000026900000</t>
  </si>
  <si>
    <t>OEMPRI-4535</t>
  </si>
  <si>
    <t>delete the error log in Build spkg process</t>
  </si>
  <si>
    <t>OEMPRI-4617 Create MBN for NTT-Docomo</t>
  </si>
  <si>
    <t>CABC13619704C6418CD791C82D7CDF1C00CCE3A3A05B0000</t>
  </si>
  <si>
    <t>OEMPRI-5559 Lab PRI baseline update</t>
  </si>
  <si>
    <t>OEMPRI-4533</t>
  </si>
  <si>
    <t>1102571 MC7354,GENERIC,SPRINT/SPRINT MVNO/PLBL,05.05.63.01, update TAC</t>
  </si>
  <si>
    <t>CABC13619704C6418CD791C82D7CDF1C00CCE3A3A05C0000</t>
  </si>
  <si>
    <t xml:space="preserve">OEMPRI-5559 Lab PRI update </t>
  </si>
  <si>
    <t>OEMPRI-4532</t>
  </si>
  <si>
    <t>1102355 MC7354,GENERIC,AERIS,05.05.58.01, update TAC</t>
  </si>
  <si>
    <t>CABC13619704C6418CD791C82D7CDF1C00CCE3A3A0610000</t>
  </si>
  <si>
    <t>OEMPRI-5520 SL8 PRI build and test</t>
  </si>
  <si>
    <t>CABC13619704C6418CD791C82D7CDF1C00CCE3A3A0650000</t>
  </si>
  <si>
    <t>1103197,MC7354,SWIR,VERIZON,05.05.58.21, update TAC</t>
  </si>
  <si>
    <t>OEMPRI-5559 9102009_5502009_AR7582-1_00.12.09.00_00_VZW_001.006_000</t>
  </si>
  <si>
    <t>OEMPRI-4509</t>
  </si>
  <si>
    <t>F119BFDAA76478498C2C5D9BC982B4E600000000264B0000</t>
  </si>
  <si>
    <t>[OEMPRI-4650]-[proj#4370]-[ECO-025123]-svt spkg and approve</t>
  </si>
  <si>
    <t>1103123,MC7354,BILLION  update TAC</t>
  </si>
  <si>
    <t>OEMPRI-4514</t>
  </si>
  <si>
    <t>F119BFDAA76478498C2C5D9BC982B4E60000000026810000</t>
  </si>
  <si>
    <t>1102290  MC7354,DIGI,VERIZON,05.05.58.01, update TAC</t>
  </si>
  <si>
    <t>[OEMPRI-4760]-[proj#4774]-[TDN-012691]-log confirm</t>
  </si>
  <si>
    <t>Changcun Ma(2)</t>
  </si>
  <si>
    <t>1103556，MC7354,GENERIC,SPRINT,05.05.63.01, , update TAC</t>
  </si>
  <si>
    <t>CABC13619704C6418CD791C82D7CDF1C00CCE3A3A0600000</t>
  </si>
  <si>
    <t>OEMPRI-4512</t>
  </si>
  <si>
    <t>OEMPRI-5521 SL8 PRI build and test</t>
  </si>
  <si>
    <t>1102794，MC7354,SWIR,VERIZON,05.05.58.01  update TAC</t>
  </si>
  <si>
    <t>Changcun Ma(4)</t>
  </si>
  <si>
    <t>Changcun Ma(0)</t>
  </si>
  <si>
    <t>CABC13619704C6418CD791C82D7CDF1C00CCE3A3A0620000</t>
  </si>
  <si>
    <t>OEMPRI-4510</t>
  </si>
  <si>
    <t>1102788，MC7354 VERIZON,GENERIC,VERIZON,05.05.58.01,  update TAC</t>
  </si>
  <si>
    <t>OEMPRI-5567 [AR759x] NVUP to delete ecall settings before apply full spkg.</t>
  </si>
  <si>
    <t>Changcun Ma(5)</t>
  </si>
  <si>
    <t>1102584，MC7354,GENERIC,AT&amp;T,05.05.58.00,,  update TAC</t>
  </si>
  <si>
    <t>OEMPRI-4507</t>
  </si>
  <si>
    <t>CABC13619704C6418CD791C82D7CDF1C00CCE3A3A0640000</t>
  </si>
  <si>
    <t>AR759x WP14.5B1 baseline update .</t>
  </si>
  <si>
    <t>1102581， MC7354,GENERIC,AT&amp;T,05.05.58.00,  update TAC</t>
  </si>
  <si>
    <t>OEMPRI-4506</t>
  </si>
  <si>
    <t>F119BFDAA76478498C2C5D9BC982B4E600000000253B0000</t>
  </si>
  <si>
    <t>OEMPRI-4862 CLONE - PRI review request.</t>
  </si>
  <si>
    <t>Oneclick upgrade tool optimize</t>
  </si>
  <si>
    <t>OEMPRI-4505</t>
  </si>
  <si>
    <t>F119BFDAA76478498C2C5D9BC982B4E60000000026820000</t>
  </si>
  <si>
    <t>CLONE - 1103344_9906904_SL8082BTAR_CONTINENTAL_GENERIC_Update FW to 7.54.15.A1</t>
  </si>
  <si>
    <t>OEMPRI Flow view for group in google sheet</t>
  </si>
  <si>
    <t>F119BFDAA76478498C2C5D9BC982B4E600000000253D0000</t>
  </si>
  <si>
    <t>OEMPRI-4504</t>
  </si>
  <si>
    <t>upgrade optional step optimize</t>
  </si>
  <si>
    <t>OEMPRI-4615 MFT Loop Test request</t>
  </si>
  <si>
    <t>3D68EC023EC934408492A941A20053800000000033360000</t>
  </si>
  <si>
    <t>Delta Image(WP11.3B2) &lt;-&gt;WP10.3B2</t>
  </si>
  <si>
    <t>[Tool]Jenkins temp_folder FDT tool used fail</t>
  </si>
  <si>
    <t>Red Category</t>
  </si>
  <si>
    <t>OEMPRI-4503</t>
  </si>
  <si>
    <t>OEMPRI-4815 PRI cross check</t>
  </si>
  <si>
    <t>F119BFDAA76478498C2C5D9BC982B4E60000000025640000</t>
  </si>
  <si>
    <t>[tool]generate tool version list for OEMPRI and SKUTracker</t>
  </si>
  <si>
    <t>COUGAR-2194</t>
  </si>
  <si>
    <t>OEMPRI-4502</t>
  </si>
  <si>
    <t>Tiejun Fu(13)</t>
  </si>
  <si>
    <t>F119BFDAA76478498C2C5D9BC982B4E60000000025650000</t>
  </si>
  <si>
    <t>[tool]all tool version comfirm from one source</t>
  </si>
  <si>
    <t>OEMPRI-4501</t>
  </si>
  <si>
    <t>OEMPRI-4814 check tools and driver version</t>
  </si>
  <si>
    <t>Tiejun Fu(4)</t>
  </si>
  <si>
    <t>F119BFDAA76478498C2C5D9BC982B4E600000000264A0000</t>
  </si>
  <si>
    <t>[OEMPRI-4650]-[proj#4370]-[ECO-025123]-update</t>
  </si>
  <si>
    <t>OEMPRI-4500</t>
  </si>
  <si>
    <t>OEMPRI-4815 check tool and driver version</t>
  </si>
  <si>
    <t>Ben Zheng(7)</t>
  </si>
  <si>
    <t>Roger Wang(2)</t>
  </si>
  <si>
    <t>3D68EC023EC934408492A941A20053800000000034050000</t>
  </si>
  <si>
    <t>OEMPRI-4814 cross check</t>
  </si>
  <si>
    <t>[OEMPRI-5402] - SPKG</t>
  </si>
  <si>
    <t>OEMPRI-4498</t>
  </si>
  <si>
    <t>CLONE - MC7354B,1102602, PRI versioning</t>
  </si>
  <si>
    <t>3D68EC023EC934408492A941A20053800000000034060000</t>
  </si>
  <si>
    <t>[OEMPRI-5402] - TEST</t>
  </si>
  <si>
    <t>PRI baselines to be aligned with WP11.3B2_RC1(SWI9x28G_00.08.09.00)</t>
  </si>
  <si>
    <t>OEMPRI-4497</t>
  </si>
  <si>
    <t>OEMPRI-4818 CLONE - PRI Package Cross check</t>
  </si>
  <si>
    <t>3D68EC023EC934408492A941A20053800000000034080000</t>
  </si>
  <si>
    <t>[OEMPRI-5521] - TEST</t>
  </si>
  <si>
    <t>1102553  MC7354,GENERIC,SPRINT,05.05.63.01, update TAC</t>
  </si>
  <si>
    <t>3D68EC023EC934408492A941A20053800000000034070000</t>
  </si>
  <si>
    <t>[OEMPRI-5521] - SPKG</t>
  </si>
  <si>
    <t>OEMPRI-4496</t>
  </si>
  <si>
    <t>1102625 MC7354,GENERIC,GENERIC,05.05.58.00,,,GNSS=AB,SWIR IMEI,USB update TAC</t>
  </si>
  <si>
    <t>CABC13619704C6418CD791C82D7CDF1C00CCE3A3A0630000</t>
  </si>
  <si>
    <t>1102551 MC7354,GENERIC,AT&amp;T,05.05.58.00,TAC update</t>
  </si>
  <si>
    <t>MBN to NVUP Txt verify with Dumpdiff ---base Carrier MBN verify is ok.</t>
  </si>
  <si>
    <t>2017/9/27 add due 2017/9/28</t>
  </si>
  <si>
    <t>OEMPRI-4495</t>
  </si>
  <si>
    <t>1102552 MC7354,GENERIC,VERIZON,05.05.58.01,TAC update</t>
  </si>
  <si>
    <t>CABC13619704C6418CD791C82D7CDF1C00CCE3A3A0030000</t>
  </si>
  <si>
    <t xml:space="preserve"> Review NV/EFS items should be add into Common or into MBN</t>
  </si>
  <si>
    <t>OEMPRI-4494</t>
  </si>
  <si>
    <t>OEMPRI-4760 review the pri and testlog</t>
  </si>
  <si>
    <t>F119BFDAA76478498C2C5D9BC982B4E600000000266E0000</t>
  </si>
  <si>
    <t>[OEMPRI-5485]-[proj#4693]-[TDN-012727]-log confirm</t>
  </si>
  <si>
    <t>[AR759x] PRI baselines to be aligned with WP13.4B1</t>
  </si>
  <si>
    <t>OEMPRI-4493</t>
  </si>
  <si>
    <t>MC7350/MC7350 VzW package update to 05.05.58.05 for 4G SUPL MR</t>
  </si>
  <si>
    <t>2017/10/12 reopen new fw</t>
  </si>
  <si>
    <t>F119BFDAA76478498C2C5D9BC982B4E60000000026150000</t>
  </si>
  <si>
    <t>jenkins support metafile to build spkg</t>
  </si>
  <si>
    <t>OEMPRI-4499</t>
  </si>
  <si>
    <t>OEMPRI-4760 pls update tools and driver version</t>
  </si>
  <si>
    <t>OEMPRI-4764 boot partition table update in re-work device with already configured done.</t>
  </si>
  <si>
    <t>OEMPRI-4487</t>
  </si>
  <si>
    <t>F119BFDAA76478498C2C5D9BC982B4E60000000026770000</t>
  </si>
  <si>
    <t>restore QCN data in ar7592 in script</t>
  </si>
  <si>
    <t>Create NVUP file to Delete ALL CMCC Settings</t>
  </si>
  <si>
    <t>OEMPRI-4488</t>
  </si>
  <si>
    <t>OEMPRI-4687 PRI cross check</t>
  </si>
  <si>
    <t>CABC13619704C6418CD791C82D7CDF1C00CCE3A3A0580000</t>
  </si>
  <si>
    <t>try build_machine.py for generating pkg. and support for xml</t>
  </si>
  <si>
    <t>OEMPRI-4685 PRI cross check</t>
  </si>
  <si>
    <t>OEMPRI-4485</t>
  </si>
  <si>
    <t>OEMPRI-4683 PRI cross check</t>
  </si>
  <si>
    <t>F119BFDAA76478498C2C5D9BC982B4E60000000026840000</t>
  </si>
  <si>
    <t>follow Package_Testing_9x15_9x28_9x40_v1.1.docx and test spkg</t>
  </si>
  <si>
    <t>OEMPRI-4484</t>
  </si>
  <si>
    <t xml:space="preserve">Create Initial  CU Carrier PRI </t>
  </si>
  <si>
    <t>F119BFDAA76478498C2C5D9BC982B4E60000000026340000</t>
  </si>
  <si>
    <t>OEMPRI-4486</t>
  </si>
  <si>
    <t>to share configuration tasks to Gerry Yang</t>
  </si>
  <si>
    <t>OEMPRI-4761 Please confirm the MBN setting for AR7596 CMCC</t>
  </si>
  <si>
    <t>OEMPRI-4482</t>
  </si>
  <si>
    <t>OEMPRI-4764 Lanyou SOP production carrier collection</t>
  </si>
  <si>
    <t>F119BFDAA76478498C2C5D9BC982B4E60000000026760000</t>
  </si>
  <si>
    <t>Bing Huang(35)</t>
  </si>
  <si>
    <t>update env tool for 1xml</t>
  </si>
  <si>
    <t>OEMPRI-4481</t>
  </si>
  <si>
    <t>F119BFDAA76478498C2C5D9BC982B4E60000000026790000</t>
  </si>
  <si>
    <t>hwo to reopen an OEMPRI ticket</t>
  </si>
  <si>
    <t>Samuel Sun(22)</t>
  </si>
  <si>
    <t>OEMPRI-4480</t>
  </si>
  <si>
    <t>2017/9/22-harris add</t>
  </si>
  <si>
    <t>CABC13619704C6418CD791C82D7CDF1C00CCE3A3A0590000</t>
  </si>
  <si>
    <t>QTI9X40-2722 vzw IMS roaming setting difference comfirmed</t>
  </si>
  <si>
    <t>[AR7594] 1103204_9906619_VW_WP13.4B1</t>
  </si>
  <si>
    <t>OEMPRI-4479</t>
  </si>
  <si>
    <t>CABC13619704C6418CD791C82D7CDF1C00CCE3A3A05A0000</t>
  </si>
  <si>
    <t>Lolly Cao(5)</t>
  </si>
  <si>
    <t>OEMPRI-5402 -re-tag for eCall setting workaround need</t>
  </si>
  <si>
    <t>2017/9/25 morning top</t>
  </si>
  <si>
    <t>OEMPRI-4478</t>
  </si>
  <si>
    <t>1103207_9906620_AR7596_Beta_VW package request</t>
  </si>
  <si>
    <t>CABC13619704C6418CD791C82D7CDF1C00CCE3A3A0530000</t>
  </si>
  <si>
    <t>OEMPRI-5554 [PRI-Tool] create MBN cover to NVUP generate script</t>
  </si>
  <si>
    <t>2017/10/16
 2017/11/6 to fact Dumpdiff</t>
  </si>
  <si>
    <t>Ethan Guan(3)</t>
  </si>
  <si>
    <t>update PRI on MC-HL8548</t>
  </si>
  <si>
    <t>CABC13619704C6418CD791C82D7CDF1C00CCE3A3A0570000</t>
  </si>
  <si>
    <t>HL8xxxMC</t>
  </si>
  <si>
    <t>OEMPRI-4477</t>
  </si>
  <si>
    <t>WP14.4B1 baseline</t>
  </si>
  <si>
    <t>Create PASA 1103818 SKU with WP 21.0 - MR4 RC1 (Secure Boot)</t>
  </si>
  <si>
    <t>F119BFDAA76478498C2C5D9BC982B4E60000000026710000</t>
  </si>
  <si>
    <t>CORONADO-1719 provide change between ar7594 version</t>
  </si>
  <si>
    <t>2017/10/17
 2017/10/20 reopen secureboot</t>
  </si>
  <si>
    <t>OEMPRI-4476</t>
  </si>
  <si>
    <t>Update PASA 1103093 SKU MR2 with WP 21.0 - Secure Boot RC1(ON HOLD)</t>
  </si>
  <si>
    <t>3D68EC023EC934408492A941A20053800000000033FC0000</t>
  </si>
  <si>
    <t>Generate PRI Package Automation test Processing guide instrucment</t>
  </si>
  <si>
    <t>OEMPRI-4475</t>
  </si>
  <si>
    <t>2017/10/10 cancel</t>
  </si>
  <si>
    <t>3D68EC023EC934408492A941A20053800000000033FF0000</t>
  </si>
  <si>
    <t>[OEMPRI-5224] - SPKG</t>
  </si>
  <si>
    <t>Ethan Guan(11)</t>
  </si>
  <si>
    <t>Update PASA 1103493 SKU MR2 with WP 21.0 - Secure Boot RC1 (ON HOLD)</t>
  </si>
  <si>
    <t>2017/10/12 cancel</t>
  </si>
  <si>
    <t>OEMPRI-4474</t>
  </si>
  <si>
    <t>3D68EC023EC934408492A941A20053800000000033FE0000</t>
  </si>
  <si>
    <t>[OEMPRI-5223] - SPKG</t>
  </si>
  <si>
    <t>HL8548 MC-Dell ATT 1103148 Modify PRI File for HL ECO change validation</t>
  </si>
  <si>
    <t>3D68EC023EC934408492A941A20053800000000033FD0000</t>
  </si>
  <si>
    <t>[OEMPRI-5222] - SPKG</t>
  </si>
  <si>
    <t>OEMPRI-4473</t>
  </si>
  <si>
    <t>OEMPRI-4478 PRI cross check</t>
  </si>
  <si>
    <t>3D68EC023EC934408492A941A20053800000000034010000</t>
  </si>
  <si>
    <t>[OEMPRI-5223] - TEST</t>
  </si>
  <si>
    <t>Cougar-RC1-Plus:1103371_9906986_AR7586(4G/2G)_WP11.2B2_RC1(SWI9x28G00.08.09.00)_MM</t>
  </si>
  <si>
    <t>OEMPRI-4472</t>
  </si>
  <si>
    <t>3D68EC023EC934408492A941A20053800000000034000000</t>
  </si>
  <si>
    <t>[OEMPRI-5222] - TEST</t>
  </si>
  <si>
    <t>Lares Yang(15)</t>
  </si>
  <si>
    <t>OEMPRI-4476 PRI Package Cross Check</t>
  </si>
  <si>
    <t>3D68EC023EC934408492A941A20053800000000034020000</t>
  </si>
  <si>
    <t>OEMPRI-4471</t>
  </si>
  <si>
    <t>[OEMPRI-5224] - TEST</t>
  </si>
  <si>
    <t>9102009_5502009_AR7582-1_00.09.00.00_00_VZW_001.003_000</t>
  </si>
  <si>
    <t>Samuel Sun(47)</t>
  </si>
  <si>
    <t>3D68EC023EC934408492A941A20053800000000034040000</t>
  </si>
  <si>
    <t>OEMPRI-4697 FW requirement for 1103378 factory SKU release</t>
  </si>
  <si>
    <t>[OEMPRI-5276] - SPKG</t>
  </si>
  <si>
    <t>OEMPRI-4470</t>
  </si>
  <si>
    <t>OEMPRI-4697 Configuration environment requirement</t>
  </si>
  <si>
    <t>3D68EC023EC934408492A941A20053800000000034030000</t>
  </si>
  <si>
    <t>[OEMPRI-5276] - TEST</t>
  </si>
  <si>
    <t>OEMPRI-4469</t>
  </si>
  <si>
    <t>F119BFDAA76478498C2C5D9BC982B4E60000000026730000</t>
  </si>
  <si>
    <t>1103378_9906998_AR7584(4G/2G)_Beta(00.07.05.00)_Ficosa SKU factory release</t>
  </si>
  <si>
    <t>[doc] How_To_SVT_SPKG_and_Approve_Agile</t>
  </si>
  <si>
    <t>Davy Zhang(8)</t>
  </si>
  <si>
    <t>Samuel Sun(18)</t>
  </si>
  <si>
    <t>2017/9/18-close</t>
  </si>
  <si>
    <t>OEMPRI-4468</t>
  </si>
  <si>
    <t>OEMPRI-4582 PRI review.</t>
  </si>
  <si>
    <t>F119BFDAA76478498C2C5D9BC982B4E60000000026750000</t>
  </si>
  <si>
    <t>[doc] How_To_Update_SkuTracker_and_Upload_spkg_to_Agile</t>
  </si>
  <si>
    <t>Update PASA 1103093 SKU MR2 with WP 17.2.1 - MSISDN fix</t>
  </si>
  <si>
    <t>OEMPRI-4467</t>
  </si>
  <si>
    <t>Update PASA 1103493 MR2 with WP 17.2.1 - MSISDN fix</t>
  </si>
  <si>
    <t>F119BFDAA76478498C2C5D9BC982B4E60000000026740000</t>
  </si>
  <si>
    <t>Update PASA 1102493 MR2 with WP 17.x.x - MSISDN fix</t>
  </si>
  <si>
    <t>[doc] How_To_Confirm_Agile_log_from_factory</t>
  </si>
  <si>
    <t>OEMPRI-4466</t>
  </si>
  <si>
    <t>CABC13619704C6418CD791C82D7CDF1C00CCE3A3A0540000</t>
  </si>
  <si>
    <t xml:space="preserve"> OEMPRI-5483 [PRI-Tool] Update spkg release note generate script</t>
  </si>
  <si>
    <t>OEMPRI-4465</t>
  </si>
  <si>
    <t>update PRI on MC-HL8548 to validate change on HL module ECO-024123</t>
  </si>
  <si>
    <t>CABC13619704C6418CD791C82D7CDF1C00CCE3A3A0550000</t>
  </si>
  <si>
    <t xml:space="preserve">AR7594 eCall config issue anlyze with FW </t>
  </si>
  <si>
    <t>OEMPRI-4687 Please assign factory tools and drivers.</t>
  </si>
  <si>
    <t>Stone Li(58)</t>
  </si>
  <si>
    <t>OEMPRI-4464</t>
  </si>
  <si>
    <t>OEMPRI-4685 Please assign factory tools and drivers.</t>
  </si>
  <si>
    <t>CABC13619704C6418CD791C82D7CDF1C00CCE3A3A0560000</t>
  </si>
  <si>
    <t>CORONADO-1720 [AR759x][Configuration] Update FW to [WP14.4B1]</t>
  </si>
  <si>
    <t>OEMPRI-4683 Please assign factory tools and drivers</t>
  </si>
  <si>
    <t>Lolly Cao(13)</t>
  </si>
  <si>
    <t>1103359_9906968_AR7586(4G/2G)_Release2-Alpha1_BP1.0B1(00.08.03.00)_Ficosa</t>
  </si>
  <si>
    <t>F119BFDAA76478498C2C5D9BC982B4E60000000026720000</t>
  </si>
  <si>
    <t>OEMPRI-4463</t>
  </si>
  <si>
    <t>udpate customers and work package to google sheet</t>
  </si>
  <si>
    <t>OEMPRI-4610 PRI review</t>
  </si>
  <si>
    <t>MC7354,1103782,Proj#4370,New SKU For FW 05.05.63.01 For Production,ECO-025123</t>
  </si>
  <si>
    <t>CABC13619704C6418CD791C82D7CDF1C00CCE3A3A0510000</t>
  </si>
  <si>
    <t>OEMPRI-5498 [AR7592-1] 1103210_9906623_VW_WP14.5B1</t>
  </si>
  <si>
    <t>OEMPRI-4462</t>
  </si>
  <si>
    <t>2017/10/18
 2017/10/18 block QTI9X1545-869
 2017/10/30</t>
  </si>
  <si>
    <t>CABC13619704C6418CD791C82D7CDF1C00CCE3A3A0520000</t>
  </si>
  <si>
    <t xml:space="preserve">OEMPRI-5276 9101000_5502010_AR7592-1_01.13.00.00_00_ATTVZWTMOLab_001.005_000 </t>
  </si>
  <si>
    <t>9101000_9906809_AR7592-1_AVL Create LE package</t>
  </si>
  <si>
    <t>2017/9/19-ok</t>
  </si>
  <si>
    <t>F119BFDAA76478498C2C5D9BC982B4E600000000264F0000</t>
  </si>
  <si>
    <t>OEMPRI-4461</t>
  </si>
  <si>
    <t>[OEMPRI-5392]-[proj#4725]-[TDN-012751]-log confirm</t>
  </si>
  <si>
    <t>OEMPRI-4625 PRI review.</t>
  </si>
  <si>
    <t>AR7552 TDN-012451 rework package release validation</t>
  </si>
  <si>
    <t>F119BFDAA76478498C2C5D9BC982B4E600000000266D0000</t>
  </si>
  <si>
    <t>2017/9/11-close</t>
  </si>
  <si>
    <t>2017/9/8 joanna add</t>
  </si>
  <si>
    <t>[OEMPRI-5485]-[proj#4693]-[TDN-012727]-svt spkg and approve</t>
  </si>
  <si>
    <t>COUGAR-2090</t>
  </si>
  <si>
    <t>WP10.2B1 &lt;-&gt;WP9.4B1 Delta Image</t>
  </si>
  <si>
    <t>OEMPRI-4448</t>
  </si>
  <si>
    <t>COUGAR-2089</t>
  </si>
  <si>
    <t>WP10.3B2 &lt;-&gt;WP9.4B1 Delta</t>
  </si>
  <si>
    <t>F119BFDAA76478498C2C5D9BC982B4E60000000026520000</t>
  </si>
  <si>
    <t>[OEMPRI-5394]-[proj#4723]-[TDN-012750]-log confirm</t>
  </si>
  <si>
    <t>OEMPRI-4439</t>
  </si>
  <si>
    <t>1103211_9906625_AR7598(4g4gwGF_VW)</t>
  </si>
  <si>
    <t>F119BFDAA76478498C2C5D9BC982B4E600000000266F0000</t>
  </si>
  <si>
    <t>swicwe tool fix the bug replace boot with no reset flag</t>
  </si>
  <si>
    <t>OEMPRI-4434</t>
  </si>
  <si>
    <t>1103210_9906623_AR7592(4g4gwGF_VW)</t>
  </si>
  <si>
    <t>F119BFDAA76478498C2C5D9BC982B4E60000000026700000</t>
  </si>
  <si>
    <t>one click setup for one-Click upgrade tool</t>
  </si>
  <si>
    <t>[AR759x] PRI baselines to be aligned with WP13.3B1</t>
  </si>
  <si>
    <t>OEMPRI-4432</t>
  </si>
  <si>
    <t>[AR758x] [Carrier PRI][MBN]  Create Initial CMCC Carrier PRI with MBN solution</t>
  </si>
  <si>
    <t>F119BFDAA76478498C2C5D9BC982B4E600000000266C0000</t>
  </si>
  <si>
    <t>[OEMPRI-5485]-[proj#4693]-[TDN-012727]-update</t>
  </si>
  <si>
    <t>[AR759x] [Carrier PRI][MBN]  Create Initial Vodafone Carrier PRI with MBN solution</t>
  </si>
  <si>
    <t>OEMPRI-4441</t>
  </si>
  <si>
    <t>CABC13619704C6418CD791C82D7CDF1C00CCE3A3A04E0000</t>
  </si>
  <si>
    <t>OEMPRI-4591 PRI Package Cross check</t>
  </si>
  <si>
    <t xml:space="preserve">OEMPRI-5222 baseline update </t>
  </si>
  <si>
    <t>OEMPRI-4472 PRI Package Cross check</t>
  </si>
  <si>
    <t>OEMPRI-4440</t>
  </si>
  <si>
    <t>CABC13619704C6418CD791C82D7CDF1C00CCE3A3A04F0000</t>
  </si>
  <si>
    <t>OEMPRI-4514 PRI review</t>
  </si>
  <si>
    <t>OEMPRI-5471 [Hangsheng][AR7586] Generate NVUP file to enable eCall on generic AR7586</t>
  </si>
  <si>
    <t>[AR7594] 1103204_9906619_VW_WP13.3B1</t>
  </si>
  <si>
    <t>OEMPRI-4442</t>
  </si>
  <si>
    <t>F119BFDAA76478498C2C5D9BC982B4E60000000025480000</t>
  </si>
  <si>
    <t>MC7710,1101773,Proj#4261,FW Update To 3.5.29.3 For RMA Purpose,TDN-012392</t>
  </si>
  <si>
    <t>[SZAM-81]Create work instructions for PRI baseline</t>
  </si>
  <si>
    <t>MC77xx</t>
  </si>
  <si>
    <t>OEMPRI-4510 PRI Package Cross check</t>
  </si>
  <si>
    <t>CABC13619704C6418CD791C82D7CDF1C00CCE3A3A05E0000</t>
  </si>
  <si>
    <t>OEMPRI-4438</t>
  </si>
  <si>
    <t>Doc for PRI Baseline initial to Check-in Tags</t>
  </si>
  <si>
    <t>OEMPRI-4512 PRI Package Cross Check</t>
  </si>
  <si>
    <t>[AR758x] PRI baselines to be aligned with WP10.3B2 for Ficosa/Lanyou/MM</t>
  </si>
  <si>
    <t>CABC13619704C6418CD791C82D7CDF1C00CCE3A3A05D0000</t>
  </si>
  <si>
    <t>Cougar-RC1 NonLead SKUs baseline check-in and tags</t>
  </si>
  <si>
    <t>OEMPRI-4435</t>
  </si>
  <si>
    <t>[AR758x] PRI baselines to be aligned with WP10.2B1 for VW</t>
  </si>
  <si>
    <t>3D68EC023EC934408492A941A20053800000000033F80000</t>
  </si>
  <si>
    <t>Initial create  MBN Repository for 9x28</t>
  </si>
  <si>
    <t>OEMPRI-4419</t>
  </si>
  <si>
    <t>F119BFDAA76478498C2C5D9BC982B4E600000000266A0000</t>
  </si>
  <si>
    <t>NVUP Reset Flag availability test on AR758x/9x</t>
  </si>
  <si>
    <t>audio_nvup_tool fix profile 0 as base error</t>
  </si>
  <si>
    <t>OEMPRI-4416</t>
  </si>
  <si>
    <t>Initial Create AR7586 China Unicom Carrier PRI</t>
  </si>
  <si>
    <t>3D68EC023EC934408492A941A20053800000000033FB0000</t>
  </si>
  <si>
    <t>[OEMPRI-5498] - TEST</t>
  </si>
  <si>
    <t>CougarRC1.RC3.PRI_1103371_9906986_AR7586(4G/2G)_WP10.2B2-SWI9X28G_00.08.05.00-Legato17.06.0.m1.rc_MM</t>
  </si>
  <si>
    <t>2017/8/28 replace 4468</t>
  </si>
  <si>
    <t>OEMPRI-4415</t>
  </si>
  <si>
    <t>CougarRC1.RC3.PRI 1103151_9906435_AR7584(4G/4G)_WP10.2B1-SWI9X28A_00.08.0x.00-Legato17.08.0.rcx_VW</t>
  </si>
  <si>
    <t>3D68EC023EC934408492A941A20053800000000033FA0000</t>
  </si>
  <si>
    <t>[AR7594] 1103204_9906619_VW_WP13.1B1</t>
  </si>
  <si>
    <t>OEMPRI-4414</t>
  </si>
  <si>
    <t>Update PASA 1102493 MR3 with WP 19.4 - MSISDN fix</t>
  </si>
  <si>
    <t>3D68EC023EC934408492A941A20053800000000033F90000</t>
  </si>
  <si>
    <t>2017/8/28-close</t>
  </si>
  <si>
    <t>Update PASA 1103493 MR3 with WP 19.0.1 - MSISDN fix</t>
  </si>
  <si>
    <t>Stone Li(43)</t>
  </si>
  <si>
    <t>OEMPRI-4412</t>
  </si>
  <si>
    <t>Update PASA 1103093 SKU MR3 with WP 19.0.1 - MSISDN fix</t>
  </si>
  <si>
    <t>F119BFDAA76478498C2C5D9BC982B4E600000000266B0000</t>
  </si>
  <si>
    <t>fix outlook task to google with error assingee</t>
  </si>
  <si>
    <t>[AR759x] Update Common/Customer Baseline with WP13.1B1</t>
  </si>
  <si>
    <t>CABC13619704C6418CD791C82D7CDF1C00CCE3A3A0500000</t>
  </si>
  <si>
    <t>OEMPRI-4406</t>
  </si>
  <si>
    <t xml:space="preserve">OEMPRI-5485 Correct NVUP value in PASA 1103818 SKU with WP 21.0 - MR4 RC1 (Secure Boot) </t>
  </si>
  <si>
    <t>[AR759x] Update Carrier Baseline with WP13.1B1</t>
  </si>
  <si>
    <t>OEMPRI-4500 CLONE - CLONE - PRI REVIEW</t>
  </si>
  <si>
    <t>OEMPRI-4388</t>
  </si>
  <si>
    <t>F119BFDAA76478498C2C5D9BC982B4E60000000026690000</t>
  </si>
  <si>
    <t>audio_nvup_tool bug invalid handel in win7 32bit</t>
  </si>
  <si>
    <t>OEMPRI-4387</t>
  </si>
  <si>
    <t>F119BFDAA76478498C2C5D9BC982B4E60000000026650000</t>
  </si>
  <si>
    <t>[OEMPRI-5401]-[proj#4506]-[ECO-025472]-update</t>
  </si>
  <si>
    <t>OEMPRI-4500 CLONE - CLONE - CLONE - CLONE - CLONE - CLONE - Please confirm requirements from FW side.</t>
  </si>
  <si>
    <t>OEMPRI-4376</t>
  </si>
  <si>
    <t>3D68EC023EC934408492A941A20053800000000033F50000</t>
  </si>
  <si>
    <t>OEMPRI-4500 CLONE - CLONE - CLONE - CLONE - CLONE - Manufacturing Tool</t>
  </si>
  <si>
    <t>Lolly Cao(9)</t>
  </si>
  <si>
    <t>3D68EC023EC934408492A941A20053800000000033F70000</t>
  </si>
  <si>
    <t>OEMPRI-4380</t>
  </si>
  <si>
    <t>OEMPRI-4464 PRI Package Cross Check</t>
  </si>
  <si>
    <t>CABC13619704C6418CD791C82D7CDF1C00CCE3A3A0470000</t>
  </si>
  <si>
    <t>OEMPRI-5402 Release Note.</t>
  </si>
  <si>
    <t>OEMPRI-4495 FW requirement for 1103378 factory SKU release</t>
  </si>
  <si>
    <t>OEMPRI-4367</t>
  </si>
  <si>
    <t>CABC13619704C6418CD791C82D7CDF1C00CCE3A3A0460000</t>
  </si>
  <si>
    <t>OEMPRI-4495 Configuration environment requirement</t>
  </si>
  <si>
    <t>OEMPRI-5402 Baseline Update and check-in</t>
  </si>
  <si>
    <t>OEMPRI-4365</t>
  </si>
  <si>
    <t>2017/9/11-cancel</t>
  </si>
  <si>
    <t>replace by 4697</t>
  </si>
  <si>
    <t>CABC13619704C6418CD791C82D7CDF1C00CCE3A3A0480000</t>
  </si>
  <si>
    <t>OEMPRI-5484 AR759x WP14.4B1 Baseline Check-in Request.</t>
  </si>
  <si>
    <t>OEMPRI-4463 PRI Package Cross Check</t>
  </si>
  <si>
    <t>3D68EC023EC934408492A941A20053800000000033F60000</t>
  </si>
  <si>
    <t>OEMPRI-4462 PRI Package Cross Check</t>
  </si>
  <si>
    <t>OEMPRI-4364</t>
  </si>
  <si>
    <t>COUGAR-2021</t>
  </si>
  <si>
    <t>F119BFDAA76478498C2C5D9BC982B4E600000000264D0000</t>
  </si>
  <si>
    <t>[OEMPRI-5392]-[proj#4725]-[TDN-012751]-update</t>
  </si>
  <si>
    <t>BP1.0B1 &lt;-&gt;WP9.4B1 Delta Image</t>
  </si>
  <si>
    <t>OEMPRI-4363</t>
  </si>
  <si>
    <t>F119BFDAA76478498C2C5D9BC982B4E60000000026510000</t>
  </si>
  <si>
    <t>[OEMPRI-5394]-[proj#4723]-[TDN-012750]-svt spkg and approve</t>
  </si>
  <si>
    <t>OEMPRI-4415 PRI review</t>
  </si>
  <si>
    <t>OEMPRI-4465 PRI Package Cross Check</t>
  </si>
  <si>
    <t>F119BFDAA76478498C2C5D9BC982B4E600000000264E0000</t>
  </si>
  <si>
    <t>[OEMPRI-5392]-[proj#4725]-[TDN-012751]-svt spkg and approve</t>
  </si>
  <si>
    <t>OEMPRI-4358</t>
  </si>
  <si>
    <t>OEMPRI-4461 PRI Package Cross Check</t>
  </si>
  <si>
    <t>F119BFDAA76478498C2C5D9BC982B4E60000000026500000</t>
  </si>
  <si>
    <t>[OEMPRI-5394]-[proj#4723]-[TDN-012750]-update</t>
  </si>
  <si>
    <t>Update Customer/Common Baseline to aline with BP1.0B1-SWI9X28A_00.08.03.00-Legato17.07.1.rc1</t>
  </si>
  <si>
    <t>OEMPRI-4357</t>
  </si>
  <si>
    <t>3D68EC023EC934408492A941A20053800000000033F40000</t>
  </si>
  <si>
    <t>Update Carrier Baseline to aline with BP1.0B1-SWI9X28A_00.08.03.00-Legato17.07.1.rc1</t>
  </si>
  <si>
    <t xml:space="preserve">Update the PCA list for Product series of 8X and 9X </t>
  </si>
  <si>
    <t>OEMPRI-4356</t>
  </si>
  <si>
    <t>F119BFDAA76478498C2C5D9BC982B4E600000000265B0000</t>
  </si>
  <si>
    <t>audio_nvup_tool 1.45 fix bug for error print</t>
  </si>
  <si>
    <t>OEMPRI-4441 FACT Validation result cross check</t>
  </si>
  <si>
    <t>OEMPRI-4355</t>
  </si>
  <si>
    <t>F119BFDAA76478498C2C5D9BC982B4E600000000265C0000</t>
  </si>
  <si>
    <t>pyefsdump 1.45 fix file path for profile 0</t>
  </si>
  <si>
    <t>1103377_9906994_AR8582(4G/2G)__WP10.3B2_RC1(SWI9x28G00.08.06.00)_MM</t>
  </si>
  <si>
    <t>2017/10/16-cancel</t>
  </si>
  <si>
    <t>CABC13619704C6418CD791C82D7CDF1C00CCE3A3A0330000</t>
  </si>
  <si>
    <t xml:space="preserve">SVN access for Gerry </t>
  </si>
  <si>
    <t>OEMPRI-4366</t>
  </si>
  <si>
    <t>CABC13619704C6418CD791C82D7CDF1C00CCE3A3A03C0000</t>
  </si>
  <si>
    <t>OEMPRI-5276 Failure anlyze</t>
  </si>
  <si>
    <t>OEMPRI-4362</t>
  </si>
  <si>
    <t>1103360_9906969_AR7588(4G/2G)_WP10.3B2_RC1(SWI9X28A_00.08.06.00)_Ficosa</t>
  </si>
  <si>
    <t>CABC13619704C6418CD791C82D7CDF1C00CCE3A3A0440000</t>
  </si>
  <si>
    <t>OEMPRI-5400 SL8 PRI initial create and Test pass</t>
  </si>
  <si>
    <t>OEMPRI-4359</t>
  </si>
  <si>
    <t>CABC13619704C6418CD791C82D7CDF1C00CCE3A3A0450000</t>
  </si>
  <si>
    <t>OEMPRI-5401 SL8 PRI initial create and Test pass</t>
  </si>
  <si>
    <t>2017/10/11
 2017/10/12 block issue
 2017/10/20 cancel</t>
  </si>
  <si>
    <t>OEMPRI-4346</t>
  </si>
  <si>
    <t>CABC13619704C6418CD791C82D7CDF1C00CCE3A3A04C0000</t>
  </si>
  <si>
    <t>raise COUGAR-2479 for FW and legato team to identify the problem.</t>
  </si>
  <si>
    <t>1103361_9906970_AR8582(4G/2G)_WP10.3B2_RC1(SWI9x28G00.08.06.00)_Ficosa</t>
  </si>
  <si>
    <t>CABC13619704C6418CD791C82D7CDF1C00CCE3A3A04B0000</t>
  </si>
  <si>
    <t>COUGAR-2479 Test fail with downgrade Delta image [WP11.12B2--&gt;WP11.3B2]</t>
  </si>
  <si>
    <t>OEMPRI-4345</t>
  </si>
  <si>
    <t>1103373_9906988_AR7582(4G/2G)_WP10.3B2-RC1(SWI9X28G_00.08.06.00)_MM</t>
  </si>
  <si>
    <t>2017/10/11
 2017/10/12 block pca
 2017/10/16</t>
  </si>
  <si>
    <t>3D68EC023EC934408492A941A20053800000000033F10000</t>
  </si>
  <si>
    <t>1103494_9907253_AR7588(4G/4G)__WP10.2B1-VW-Beta2(SWI9X28A_00.08.05.00)_VW</t>
  </si>
  <si>
    <t>[OEMPRI-5219] - SPKG</t>
  </si>
  <si>
    <t>OEMPRI-4344</t>
  </si>
  <si>
    <t>2017/9/18
 2017/9/21-reopen
 2017/9/25 do</t>
  </si>
  <si>
    <t>1103379_9907000_AR7582(4G/2G)_WP10.3B2_RC1(SWI9x28G00.08.06.00)_Ficosa</t>
  </si>
  <si>
    <t>3D68EC023EC934408492A941A20053800000000033F20000</t>
  </si>
  <si>
    <t>[OEMPRI-5219] - TEST</t>
  </si>
  <si>
    <t>OEMPRI-4350</t>
  </si>
  <si>
    <t>3D68EC023EC934408492A941A20053800000000033F30000</t>
  </si>
  <si>
    <t>Coach Gerry Yang for OEMPRI Jenkins Testing process</t>
  </si>
  <si>
    <t>2017/10/11
 2017/10/12 block issue
 2017/10/20 new oempri-5083</t>
  </si>
  <si>
    <t>OEMPRI-4347</t>
  </si>
  <si>
    <t>1103368_9906983_AR7584(4G/2G)_WP10.3B2_RC1(SWI9x28G00.08.06.00)_MM</t>
  </si>
  <si>
    <t>CABC13619704C6418CD791C82D7CDF1C00CCE3A3A03B0000</t>
  </si>
  <si>
    <t>OEMPRI-5276 9101000_5502010_AR7592-1_VzW SFN update package Baseline Update</t>
  </si>
  <si>
    <t>2017/9/18-ok</t>
  </si>
  <si>
    <t>1103223_9906693_AR7586(4G/4G)_WP10.2B1-VW-Beta2(SWI9X28A_00.08.05.00)_VW</t>
  </si>
  <si>
    <t>CABC13619704C6418CD791C82D7CDF1C00CCE3A3A03D0000</t>
  </si>
  <si>
    <t>OEMPRI-4340</t>
  </si>
  <si>
    <t>OEMPRI-5219 baseline and meta file and Release Note</t>
  </si>
  <si>
    <t>1103367_9906982_AR7582(4G/4G)__WP10.2B1-VW-Beta2(SWI9X28A_00.08.05.00)_VW</t>
  </si>
  <si>
    <t>CABC13619704C6418CD791C82D7CDF1C00CCE3A3A03F0000</t>
  </si>
  <si>
    <t>OEMPRI-5167 9x15 PRI review and check-in and release</t>
  </si>
  <si>
    <t>OEMPRI-4339</t>
  </si>
  <si>
    <t>F119BFDAA76478498C2C5D9BC982B4E60000000026480000</t>
  </si>
  <si>
    <t>[OEMPRI-5166]-[proj#3820]-[ECO-025604]-svt spkg and approve</t>
  </si>
  <si>
    <t>2017/9/19-ok
 2017/9/20-reopen
 2017/9/25 do
 2017/10/11 block cfg
 2017/10/13 4980 instead</t>
  </si>
  <si>
    <t>F119BFDAA76478498C2C5D9BC982B4E60000000026570000</t>
  </si>
  <si>
    <t>[OEMPRI-5170]-[proj#3822]-[ECO-025605]-update</t>
  </si>
  <si>
    <t>1103378_9906998_AR7584(4G/2G)_WP10.3B2_RC1(SWI9x28G00.08.06.00)_FICOSA</t>
  </si>
  <si>
    <t>F119BFDAA76478498C2C5D9BC982B4E600000000265A0000</t>
  </si>
  <si>
    <t>[OEMPRI-4760]-[proj#4774]-[TDN-012691]-svt spkg and approve</t>
  </si>
  <si>
    <t>CABC13619704C6418CD791C82D7CDF1C00CCE3A3A03E0000</t>
  </si>
  <si>
    <t>OEMPRI-4341</t>
  </si>
  <si>
    <t>OEMPRI-5166 9x15 PRI review and check-in and release</t>
  </si>
  <si>
    <t>2017/8/28-delay
 2017/9/13 do</t>
  </si>
  <si>
    <t>Lares Yang(11)</t>
  </si>
  <si>
    <t>Golden Shen(12)</t>
  </si>
  <si>
    <t>1103362_9906977_AR7586(4G/2G)_WP10.3B2_RC1(SWI9x28G00.08.06.00)_LANYOU</t>
  </si>
  <si>
    <t>F119BFDAA76478498C2C5D9BC982B4E60000000026580000</t>
  </si>
  <si>
    <t>Golden Shen(14)</t>
  </si>
  <si>
    <t>[OEMPRI-5170]-[proj#3822]-[ECO-025605]-svt spkg and approve</t>
  </si>
  <si>
    <t>2017/9/4-close</t>
  </si>
  <si>
    <t>2017/8/28-delay
 2017/9/4 do</t>
  </si>
  <si>
    <t>OEMPRI-4338</t>
  </si>
  <si>
    <t>Richard Wong</t>
  </si>
  <si>
    <t>1103359_9906968_AR7586(4G/2G)_WP10.3B2_RC1(SWI9x28G00.08.06.00)_FICOSA</t>
  </si>
  <si>
    <t>F119BFDAA76478498C2C5D9BC982B4E60000000026590000</t>
  </si>
  <si>
    <t>[OEMPRI-5170]-[proj#3822]-[ECO-025605]-log confirm</t>
  </si>
  <si>
    <t>2017/8/28-delay
 2017/9/4-delay</t>
  </si>
  <si>
    <t>Cougar-RC1-LeadSku:1103371_9906986_AR7586(4G/2G)_WP10.3B2_RC1(SWI9x28G00.08.06.00)_MM</t>
  </si>
  <si>
    <t>OEMPRI-4335</t>
  </si>
  <si>
    <t>F119BFDAA76478498C2C5D9BC982B4E60000000026420000</t>
  </si>
  <si>
    <t>2017/8/28-delay
 2017/9/4 do--2017-09-03</t>
  </si>
  <si>
    <t>[OEMPRI-5168]-[proj#3822]-[ECO-025605]-log confirm</t>
  </si>
  <si>
    <t>Cougar-VW-Beta2-LeadSku:1103151_9906435_AR7584(4G/4G)_WP10.2B1-SWI9X28A_00.08.05.00-Legato17.08.0.rc1_VW</t>
  </si>
  <si>
    <t>F119BFDAA76478498C2C5D9BC982B4E60000000026450000</t>
  </si>
  <si>
    <t>[OEMPRI-5167]-[proj#3824]-[ECO-025603]-svt spkg and approve</t>
  </si>
  <si>
    <t>OEMPRI-4336</t>
  </si>
  <si>
    <t>F119BFDAA76478498C2C5D9BC982B4E60000000026460000</t>
  </si>
  <si>
    <t>[OEMPRI-5167]-[proj#3824]-[ECO-025603]-log confirm</t>
  </si>
  <si>
    <t>1103151_9906435_AR7584(4G/4G)_WP10.1B1-SWI9X28A_00.08.04.00-Legato17.08.0.rc1_VW</t>
  </si>
  <si>
    <t>2017/8/28-cancel</t>
  </si>
  <si>
    <t>CABC13619704C6418CD791C82D7CDF1C00CCE3A3A05F0000</t>
  </si>
  <si>
    <t>OEMPRI-4330</t>
  </si>
  <si>
    <t>AR758x RC1 baseline Update with Integrated status</t>
  </si>
  <si>
    <t>OEMPRI-4465 Configuration environment requirement</t>
  </si>
  <si>
    <t>Hugh Yao(54)</t>
  </si>
  <si>
    <t>F119BFDAA76478498C2C5D9BC982B4E60000000026390000</t>
  </si>
  <si>
    <t>OEMPRI-4332</t>
  </si>
  <si>
    <t>[OEMPRI-5164]-[proj#4169]-[ECO-025608]-svt spkg and approve</t>
  </si>
  <si>
    <t>OEMPRI-4465 FW requirement for factory SKU release</t>
  </si>
  <si>
    <t>1103359_9906968_AR7586(4G/2G)_Beta(00.07.05.00)_Ficosa factory release</t>
  </si>
  <si>
    <t>Stone Li(28)</t>
  </si>
  <si>
    <t>F119BFDAA76478498C2C5D9BC982B4E600000000263D0000</t>
  </si>
  <si>
    <t>[OEMPRI-5169]-[proj#3823]-[ECO-025607]-update</t>
  </si>
  <si>
    <t>2017/8/22 harris add</t>
  </si>
  <si>
    <t>OEMPRI-4324</t>
  </si>
  <si>
    <t>1103360_9906969_AR7588(4G/2G)_Release2-Alpha1_BP1.0B1(00.08.03.00)_Ficosa</t>
  </si>
  <si>
    <t>F119BFDAA76478498C2C5D9BC982B4E60000000026400000</t>
  </si>
  <si>
    <t>Stone Li(63)</t>
  </si>
  <si>
    <t>[OEMPRI-5168]-[proj#3822]-[ECO-025605]-update</t>
  </si>
  <si>
    <t>OEMPRI-4322</t>
  </si>
  <si>
    <t>1103368_9906983_AR7584(4G/2G)_Release2-Alpha1_BP1.0B1(00.08.03.00)_MM</t>
  </si>
  <si>
    <t>F119BFDAA76478498C2C5D9BC982B4E60000000026440000</t>
  </si>
  <si>
    <t>2017/8/21 davy add</t>
  </si>
  <si>
    <t>[OEMPRI-5167]-[proj#3824]-[ECO-025603]-update</t>
  </si>
  <si>
    <t>1103378_9906998_AR7584(4G/2G)_Release2-Alpha1_BP1.0B1(00.08.03.00)_Ficosa</t>
  </si>
  <si>
    <t>F119BFDAA76478498C2C5D9BC982B4E60000000026470000</t>
  </si>
  <si>
    <t>[OEMPRI-5166]-[proj#3820]-[ECO-025604]-update</t>
  </si>
  <si>
    <t>1103379_9907000_AR7582(4G/2G)_Rel2-Alpha1_BP1.0B1(00.08.03.00)_Ficosa</t>
  </si>
  <si>
    <t>F119BFDAA76478498C2C5D9BC982B4E60000000026530000</t>
  </si>
  <si>
    <t>OEMPRI-4341 PRI Package Cross check</t>
  </si>
  <si>
    <t>update oempri ticket to google sheet</t>
  </si>
  <si>
    <t>OEMPRI-4434 CLONE - PRI Package Cross Check</t>
  </si>
  <si>
    <t>F119BFDAA76478498C2C5D9BC982B4E60000000026540000</t>
  </si>
  <si>
    <t>update factory pri to google sheet</t>
  </si>
  <si>
    <t>OEMPRI-4307</t>
  </si>
  <si>
    <t>CougarRC1.RC2.PRI_1103371_9906986_AR7586(4G/2G)_WP10.1B2(SWI9X28G00.08.02.00)_MM</t>
  </si>
  <si>
    <t>F119BFDAA76478498C2C5D9BC982B4E60000000026550000</t>
  </si>
  <si>
    <t>update outlook task to google sheet</t>
  </si>
  <si>
    <t>2017/8/21-close</t>
  </si>
  <si>
    <t>2017/8/25 lolly change</t>
  </si>
  <si>
    <t>OEMPRI-4305</t>
  </si>
  <si>
    <t>Cougar: Create temp NVUP to disable SPI recovery mode for  WP8.3 VW/PRI and WP9.4B1 VW PRI</t>
  </si>
  <si>
    <t>F119BFDAA76478498C2C5D9BC982B4E60000000026560000</t>
  </si>
  <si>
    <t>update fwtools to google sheet</t>
  </si>
  <si>
    <t>Validate FACT tool 1.2.4.1 with AR7552 1103493 SKU</t>
  </si>
  <si>
    <t>F119BFDAA76478498C2C5D9BC982B4E600000000265D0000</t>
  </si>
  <si>
    <t>OEMPRI-4300</t>
  </si>
  <si>
    <t>compare oempri ticket with excel base from MFT</t>
  </si>
  <si>
    <t>OEMPRI-4264 PRI Package Cross check</t>
  </si>
  <si>
    <t>F119BFDAA76478498C2C5D9BC982B4E600000000265E0000</t>
  </si>
  <si>
    <t>OEMPRI-4298</t>
  </si>
  <si>
    <t>fetch mft tool from oempri ticket only(no inpurt)</t>
  </si>
  <si>
    <t>CORONADO-1476</t>
  </si>
  <si>
    <t>Wilson Lin – Shenzhen(10)</t>
  </si>
  <si>
    <t>Update MAPUART NVUP to other suffix than 020</t>
  </si>
  <si>
    <t>F119BFDAA76478498C2C5D9BC982B4E600000000265F0000</t>
  </si>
  <si>
    <t>auto update oempri ticket tools version</t>
  </si>
  <si>
    <t>Configuration</t>
  </si>
  <si>
    <t>OEMPRI-4297</t>
  </si>
  <si>
    <t>OEMPRI-4338 PRI Package Cross check</t>
  </si>
  <si>
    <t>F119BFDAA76478498C2C5D9BC982B4E60000000026600000</t>
  </si>
  <si>
    <t>oempri tickets daily check with google sheet(one source)</t>
  </si>
  <si>
    <t>OEMPRI-4296</t>
  </si>
  <si>
    <t>OEMPRI-4434 CLONE - PRI Review .</t>
  </si>
  <si>
    <t>F119BFDAA76478498C2C5D9BC982B4E60000000026610000</t>
  </si>
  <si>
    <t>send oempri ticket report with EXCEL to MFT team</t>
  </si>
  <si>
    <t>OEMPRI-4434 CLONE - Please confirm FW requirment for OEMPRI-4434</t>
  </si>
  <si>
    <t>OEMPRI-4295</t>
  </si>
  <si>
    <t>CABC13619704C6418CD791C82D7CDF1C00CCE3A3A0310000</t>
  </si>
  <si>
    <t>OEMPRI-5374-Delate pkg fail anylze</t>
  </si>
  <si>
    <t>OEMPRI-4346 PRI Package Cross Check</t>
  </si>
  <si>
    <t>Roger Wang(8)</t>
  </si>
  <si>
    <t>OEMPRI-4294</t>
  </si>
  <si>
    <t>CABC13619704C6418CD791C82D7CDF1C00CCE3A3A0320000</t>
  </si>
  <si>
    <t>support HK KC Cheng about PRI</t>
  </si>
  <si>
    <t>Wilson Lin – Shenzhen(7)</t>
  </si>
  <si>
    <t>[AR758x][AR759x][PRI Template] Customer and Carrier Templates: Update to remove FW Path from Carrier sheet to Customer sheet.</t>
  </si>
  <si>
    <t>CABC13619704C6418CD791C82D7CDF1C00CCE3A3A0370000</t>
  </si>
  <si>
    <t>OEMPRI-4282</t>
  </si>
  <si>
    <t>OEMPRI-5394-build and test.</t>
  </si>
  <si>
    <t>CABC13619704C6418CD791C82D7CDF1C00CCE3A3A0360000</t>
  </si>
  <si>
    <t>OEMPRI-5394-baseline check-in</t>
  </si>
  <si>
    <t>[AR7582][VZW]9102009_5502009_AR7582-1_00.08.03.00_00_VZW_001.002_000</t>
  </si>
  <si>
    <t>CABC13619704C6418CD791C82D7CDF1C00CCE3A3A0390000</t>
  </si>
  <si>
    <t>OEMPRI-5369 [AR7596] Release Note.</t>
  </si>
  <si>
    <t>OEMPRI-4412 MC8092,1102731,Proj#4336, Update SKU FW</t>
  </si>
  <si>
    <t>CABC13619704C6418CD791C82D7CDF1C00CCE3A3A03A0000</t>
  </si>
  <si>
    <t>OEMPRI-5369 build and Test</t>
  </si>
  <si>
    <t>MC8092,1102731,Proj#4336, Update SKU FW</t>
  </si>
  <si>
    <t>CABC13619704C6418CD791C82D7CDF1C00CCE3A3A0400000</t>
  </si>
  <si>
    <t>SL/MC809x RD</t>
  </si>
  <si>
    <t>OEMPRI-5394 1103151_9906435_AR7584(4G/4G)_RC1(00.12.06.00)_VW Release Note</t>
  </si>
  <si>
    <t>dead line 2017/8/30 close</t>
  </si>
  <si>
    <t>OEMPRI-4332 PRI Release</t>
  </si>
  <si>
    <t>CABC13619704C6418CD791C82D7CDF1C00CCE3A3A0410000</t>
  </si>
  <si>
    <t>OEMPRI-5392 1103223_9906693_AR7586(4G/4G)_RC1(00.12.06.00)_VW_CMCC_CU Release Note</t>
  </si>
  <si>
    <t>OEMPRI-4090 PRI-Package Cross check</t>
  </si>
  <si>
    <t>CABC13619704C6418CD791C82D7CDF1C00CCE3A3A0420000</t>
  </si>
  <si>
    <t>OEMPRI-5392 1103223_9906693_AR7586(4G/4G)_RC1(00.12.06.00)_VW_CMCC_CU Test</t>
  </si>
  <si>
    <t>CABC13619704C6418CD791C82D7CDF1C00CCE3A3A0430000</t>
  </si>
  <si>
    <t>OEMPRI-5392 OEMPRI-5394 Factory Release Review Meeting</t>
  </si>
  <si>
    <t>Update GPIOs setting for VW request</t>
  </si>
  <si>
    <t>CABC13619704C6418CD791C82D7CDF1C00CCE3A3A0490000</t>
  </si>
  <si>
    <t>CougarBeta2.RC1-VW.PRI__1103151_9906435_AR7584(4G/4G)</t>
  </si>
  <si>
    <t>2017/8/14-close</t>
  </si>
  <si>
    <t>2017/8/18 lolly change</t>
  </si>
  <si>
    <t>CABC13619704C6418CD791C82D7CDF1C00CCE3A3A04A0000</t>
  </si>
  <si>
    <t xml:space="preserve">AR759x baseline Update status with Integrated </t>
  </si>
  <si>
    <t>OEMPRI-4376 Review OEMPRI-4376 :PRI</t>
  </si>
  <si>
    <t>CABC13619704C6418CD791C82D7CDF1C00CCE3A3A04D0000</t>
  </si>
  <si>
    <t>MBN manenger update to add some script support for build mbn without Win32 limmit.</t>
  </si>
  <si>
    <t>OEMPRI-4363 CLONE - CRN confirmation</t>
  </si>
  <si>
    <t>F119BFDAA76478498C2C5D9BC982B4E600000000263B0000</t>
  </si>
  <si>
    <t>[OEMPRI-5387]-[proj#NONE]-[TDN-012727]-upload</t>
  </si>
  <si>
    <t>F119BFDAA76478498C2C5D9BC982B4E600000000263C0000</t>
  </si>
  <si>
    <t>[OEMPRI-5387]-[proj#NONE]-[TDN-012700]-upload</t>
  </si>
  <si>
    <t>OEMPRI-4363 CLONE - Configuration environment for BETA/ WP9.4B1-RO PRI package release</t>
  </si>
  <si>
    <t>OEMPRI-4264</t>
  </si>
  <si>
    <t>3D68EC023EC934408492A941A20053800000000033F00000</t>
  </si>
  <si>
    <t>[OEMPRI-5300] - Test</t>
  </si>
  <si>
    <t>OEMPRI-4363 CLONE - Confirm FW requirement for WP9.4B1-RO full package release for AR7588 VW</t>
  </si>
  <si>
    <t>3D68EC023EC934408492A941A20053800000000033EF0000</t>
  </si>
  <si>
    <t>[OEMPRI-5170] - SPKG</t>
  </si>
  <si>
    <t>OEMPRI-4262</t>
  </si>
  <si>
    <t>CABC13619704C6418CD791C82D7CDF1C00CCE3A3A0380000</t>
  </si>
  <si>
    <t>Update for Cougar-1960-Updating_COUGAR1653_1103494_9907253_AR7588(4G/4G)_Beta_WP9.4B1(00.07.05.00)_VW</t>
  </si>
  <si>
    <t>MBN mangerment check with re-name mbn spreadsheet work or not</t>
  </si>
  <si>
    <t>Carlos Luo</t>
  </si>
  <si>
    <t>Carlos Luo(0)</t>
  </si>
  <si>
    <t>CABC13619704C6418CD791C82D7CDF1C00CCE3A3A0340000</t>
  </si>
  <si>
    <t>OEMPRI-4357 CLONE - Confirm FW requirement for this SKU BETA/WP9.4B1/RO full package release</t>
  </si>
  <si>
    <t>OEMPRI-4261</t>
  </si>
  <si>
    <t>3D68EC023EC934408492A941A20053800000000033EB0000</t>
  </si>
  <si>
    <t>[OEMPRI-5367] - SPKG</t>
  </si>
  <si>
    <t>Update for Cougar-1960-Updating_COUGAR1653_1103223_9906693_AR7586(4G/4G)_Beta_WP9.4B1(00.07.05.00)_VW</t>
  </si>
  <si>
    <t>3D68EC023EC934408492A941A20053800000000033EC0000</t>
  </si>
  <si>
    <t>[OEMPRI-5367] - Test</t>
  </si>
  <si>
    <t>OEMPRI-4263</t>
  </si>
  <si>
    <t>[AR758x] PRI Carrier baselines to be aligned with WP10.0B1,WP10.0B2</t>
  </si>
  <si>
    <t>3D68EC023EC934408492A941A20053800000000033ED0000</t>
  </si>
  <si>
    <t>[OEMPRI-5278] - SPKG</t>
  </si>
  <si>
    <t>[AR758x] PRI baselines to be aligned with WP10.0B1,WP10.0B2</t>
  </si>
  <si>
    <t>3D68EC023EC934408492A941A20053800000000033EE0000</t>
  </si>
  <si>
    <t>[OEMPRI-5278] - Test</t>
  </si>
  <si>
    <t>OEMPRI-4207</t>
  </si>
  <si>
    <t>MFTSZ-15</t>
  </si>
  <si>
    <t>Test on Driver B4720</t>
  </si>
  <si>
    <t>F119BFDAA76478498C2C5D9BC982B4E60000000026200000</t>
  </si>
  <si>
    <t>[OEMPRI-5209]-[proj#4642]-[TDN-012674]-log confirm</t>
  </si>
  <si>
    <t>confirm to update env driver</t>
  </si>
  <si>
    <t>OEMPRI-4206</t>
  </si>
  <si>
    <t>3D68EC023EC934408492A941A20053800000000033E80000</t>
  </si>
  <si>
    <t>[OEMPRI-5365] - SPKG</t>
  </si>
  <si>
    <t>OEMPRI-4363 CLONE - REVIEW OEMPRI-3959 1103494_9907253_AR7588(4G/4G)_Beta_WP9.4B1(00.07.05.00)_VW</t>
  </si>
  <si>
    <t>3D68EC023EC934408492A941A20053800000000033E70000</t>
  </si>
  <si>
    <t>OEMPRI-4357 CLONE - PRI Review and Cross check.</t>
  </si>
  <si>
    <t>[OEMPRI-5218] - SPKG</t>
  </si>
  <si>
    <t>OEMPRI-4205</t>
  </si>
  <si>
    <t>OEMPRI-4357 CLONE - REVIEW OEMPRI-3958 1103223_9906693_AR7586(4G/4G)_Beta_WP9.4B1(00.07.05.00)_VW</t>
  </si>
  <si>
    <t>3D68EC023EC934408492A941A20053800000000033E60000</t>
  </si>
  <si>
    <t>[OEMPRI-5216] - SPKG</t>
  </si>
  <si>
    <t>Cougar-PRI_1103371_9906986_AR7586(4G/2G)_WP10.0B2(SWI9X28A00.08.01.00)_MM</t>
  </si>
  <si>
    <t>OEMPRI-4204</t>
  </si>
  <si>
    <t>3D68EC023EC934408492A941A20053800000000033E90000</t>
  </si>
  <si>
    <t>[OEMPRI-5216] - TEST</t>
  </si>
  <si>
    <t>CLONE - [9x28][PRI template update] NVExtral.xml Update</t>
  </si>
  <si>
    <t>Ben Zheng(23)</t>
  </si>
  <si>
    <t>3D68EC023EC934408492A941A20053800000000033EA0000</t>
  </si>
  <si>
    <t>[OEMPRI-5218] - TEST</t>
  </si>
  <si>
    <t>OEMPRI-4203</t>
  </si>
  <si>
    <t>F119BFDAA76478498C2C5D9BC982B4E60000000026380000</t>
  </si>
  <si>
    <t>[OEMPRI-5164]-[proj#4169]-[ECO-025608]-update</t>
  </si>
  <si>
    <t>Update Common/Customer baseline with WP13.0B1</t>
  </si>
  <si>
    <t>OEMPRI-4202</t>
  </si>
  <si>
    <t>Add Updated MTU Size of 2000bytes to Cisco SKU 1102407 Part 2</t>
  </si>
  <si>
    <t>F119BFDAA76478498C2C5D9BC982B4E600000000261C0000</t>
  </si>
  <si>
    <t>[OEMPRI-4761]-[proj#4623]-[TDN-012661]-log confirm</t>
  </si>
  <si>
    <t>F119BFDAA76478498C2C5D9BC982B4E600000000262D0000</t>
  </si>
  <si>
    <t>[OEMPRI-4739]-[proj#4693]-[TDN-012727]-svt spkg and approve</t>
  </si>
  <si>
    <t>OEMPRI-4201</t>
  </si>
  <si>
    <t>OEMPRI-4346 PRI Review .</t>
  </si>
  <si>
    <t>F119BFDAA76478498C2C5D9BC982B4E600000000262E0000</t>
  </si>
  <si>
    <t>[OEMPRI-4739]-[proj#4693]-[TDN-012727]-log confirm</t>
  </si>
  <si>
    <t>OEMPRI-4346 Please confirm FW requirment for OEMPRI-4346</t>
  </si>
  <si>
    <t>OEMPRI-4200</t>
  </si>
  <si>
    <t>Update PRI baselines to align with WP13.0B1</t>
  </si>
  <si>
    <t>F119BFDAA76478498C2C5D9BC982B4E60000000026320000</t>
  </si>
  <si>
    <t>auto update tools info for SKUTracker</t>
  </si>
  <si>
    <t>Ben Zheng(24)</t>
  </si>
  <si>
    <t>[9x40][PRI template update]</t>
  </si>
  <si>
    <t>OEMPRI-4198</t>
  </si>
  <si>
    <t>F119BFDAA76478498C2C5D9BC982B4E60000000026330000</t>
  </si>
  <si>
    <t>auto get ECO or TDN title from agile</t>
  </si>
  <si>
    <t>SZAM-84</t>
  </si>
  <si>
    <t>Provide template for standard PRI change request</t>
  </si>
  <si>
    <t>close</t>
  </si>
  <si>
    <t>3D68EC023EC934408492A941A20053800000000033E20000</t>
  </si>
  <si>
    <t>[OEMPRI-5364] - SPKG</t>
  </si>
  <si>
    <t>OEMPRI-4197</t>
  </si>
  <si>
    <t>MC7354,AIRLINK,VERIZON,05.05.58.01,,,GNSS=AB,SWIR IMEI,USB;For MG90 US(EVDO)</t>
  </si>
  <si>
    <t>3D68EC023EC934408492A941A20053800000000033E50000</t>
  </si>
  <si>
    <t>[OEMPRI-5365] - TEST</t>
  </si>
  <si>
    <t>OEMPRI-4196</t>
  </si>
  <si>
    <t>OEMPRI-4297 PRI-Review</t>
  </si>
  <si>
    <t>3D68EC023EC934408492A941A20053800000000033E40000</t>
  </si>
  <si>
    <t>[OEMPRI-5364] - TEST</t>
  </si>
  <si>
    <t>FWTOOLS-101</t>
  </si>
  <si>
    <t>Set the maximum size of log for Dm-logger (override mode)</t>
  </si>
  <si>
    <t>Checked In</t>
  </si>
  <si>
    <t>dmlogger</t>
  </si>
  <si>
    <t>F119BFDAA76478498C2C5D9BC982B4E60000000026350000</t>
  </si>
  <si>
    <t>OEMPRI-4195</t>
  </si>
  <si>
    <t>[OEMPRI-5165]-[proj#3821]-[ECO-025602]-update</t>
  </si>
  <si>
    <t>OEMPRI-4298 PRI-Review</t>
  </si>
  <si>
    <t>F119BFDAA76478498C2C5D9BC982B4E60000000025F00000</t>
  </si>
  <si>
    <t>[OEMPRI-5073]-[proj#4572]-[ECO-025669]-log confirm</t>
  </si>
  <si>
    <t>OEMPRI-4193</t>
  </si>
  <si>
    <t>9102008_5502008_AR7582-1_00.08.03.00_00_ATT_001.002_000</t>
  </si>
  <si>
    <t>F119BFDAA76478498C2C5D9BC982B4E60000000026290000</t>
  </si>
  <si>
    <t>[OEMPRI-5230]-[proj#4592]-[TDN-012630]-log confirm</t>
  </si>
  <si>
    <t>SL8080T 1103139_9906397</t>
  </si>
  <si>
    <t>OEMPRI-4192</t>
  </si>
  <si>
    <t>3D68EC023EC934408492A941A20053800000000033E10000</t>
  </si>
  <si>
    <t>[OEMPRI-5217] - Test</t>
  </si>
  <si>
    <t>1103204_9906619_AR7594_01.10.01.00_VW_WP13.0B1</t>
  </si>
  <si>
    <t>OEMPRI-4191</t>
  </si>
  <si>
    <t>3D68EC023EC934408492A941A20053800000000033E00000</t>
  </si>
  <si>
    <t>[OEMPRI-5217] - SPKG</t>
  </si>
  <si>
    <t>OEMPRI-4057 PRI-review</t>
  </si>
  <si>
    <t>OEMPRI-4190</t>
  </si>
  <si>
    <t>OEMPRI-4294 PRI Package Cross Check</t>
  </si>
  <si>
    <t>F119BFDAA76478498C2C5D9BC982B4E60000000026070000</t>
  </si>
  <si>
    <t>[OEMPRI-NONE]-[proj#4632]-[TDN-012629]-log confirm</t>
  </si>
  <si>
    <t>Change temp NVUP's header postfix to higher than .020</t>
  </si>
  <si>
    <t>OEMPRI-4199</t>
  </si>
  <si>
    <t>CABC13619704C6418CD791C82D7CDF1C00CCE3A3A02D0000</t>
  </si>
  <si>
    <t>Update AR759x Baseline with FW change from WP12.2B1 to  WP12.3B1</t>
  </si>
  <si>
    <t>OEMPRI-4650 workaround discussion with Nathan.</t>
  </si>
  <si>
    <t>F119BFDAA76478498C2C5D9BC982B4E600000000262C0000</t>
  </si>
  <si>
    <t>[OEMPRI-4739]-[proj#4693]-[TDN-012727]-update</t>
  </si>
  <si>
    <t>[AR7592] Create Alpha 10 field package for Generic customers (BMW) - ATT</t>
  </si>
  <si>
    <t>3D68EC023EC934408492A941A20053800000000033DF0000</t>
  </si>
  <si>
    <t>[OEMPRI-5164] - SPKG</t>
  </si>
  <si>
    <t>[AR7594] Create Alpha 10 field package for Generic customers (BMW)</t>
  </si>
  <si>
    <t>CABC13619704C6418CD791C82D7CDF1C00CCE3A3A02E0000</t>
  </si>
  <si>
    <t>[AR7598] Create Alpha 10 field PRI for VW - NTT-Docomo</t>
  </si>
  <si>
    <t>OEMPRI-4164</t>
  </si>
  <si>
    <t>QTI9X1545-869 AT!PROVISION=Sprint ERROR Gobi Switch would loss ESN cause that the Auto Provisioning fail with Sprint Carrier.</t>
  </si>
  <si>
    <t>Bing Huang(47)</t>
  </si>
  <si>
    <t>[AR7596] Create Alpha 10 field PRI for VW</t>
  </si>
  <si>
    <t>Hugh Yao(9)</t>
  </si>
  <si>
    <t>Wilson Lin – Shenzhen(1)</t>
  </si>
  <si>
    <t>3D68EC023EC934408492A941A20053800000000033DB0000</t>
  </si>
  <si>
    <t>[OEMPRI-5285] - TEST</t>
  </si>
  <si>
    <t>OEMPRI-4168</t>
  </si>
  <si>
    <t>[AR7592] Create Alpha 10 field PRI for VW - ATT</t>
  </si>
  <si>
    <t>Stone Li(57)</t>
  </si>
  <si>
    <t>PRI update for HL3450 new SKU1103744</t>
  </si>
  <si>
    <t>3D68EC023EC934408492A941A20053800000000033DD0000</t>
  </si>
  <si>
    <t>[OEMPRI-5220] - SPKG</t>
  </si>
  <si>
    <t>MC7354B,1102602,Proj#4270,Disable TE Follow Control For Production,ECO-02886</t>
  </si>
  <si>
    <t>3D68EC023EC934408492A941A20053800000000033DC0000</t>
  </si>
  <si>
    <t>[OEMPRI-5215] - SPKG</t>
  </si>
  <si>
    <t>OEMPRI-4145</t>
  </si>
  <si>
    <t>can get the Platform Serial Number string, not provisioned.</t>
  </si>
  <si>
    <t>3D68EC023EC934408492A941A20053800000000033DE0000</t>
  </si>
  <si>
    <t>[OEMPRI-5215] - TEST</t>
  </si>
  <si>
    <t>1102345_9903908_SL8082BTAR_VALEO_GENERIC_FW_Update_R7.53.5.A1-WP1/EXT AT</t>
  </si>
  <si>
    <t>OEMPRI-4143</t>
  </si>
  <si>
    <t>F119BFDAA76478498C2C5D9BC982B4E60000000025FD0000</t>
  </si>
  <si>
    <t>[OEMPRI-4872]-[proj#4490]-[ECO-025426]-log confirm</t>
  </si>
  <si>
    <t>[AR759x][PRI] Common table update</t>
  </si>
  <si>
    <t>F119BFDAA76478498C2C5D9BC982B4E60000000026000000</t>
  </si>
  <si>
    <t>OEMPRI-4149</t>
  </si>
  <si>
    <t>[OEMPRI-4873]-[proj#4491]-[ECO-025426]-log confirm</t>
  </si>
  <si>
    <t>OEMPRI-4204 CRN confirmation</t>
  </si>
  <si>
    <t>Cassie Sheng(7)</t>
  </si>
  <si>
    <t>F119BFDAA76478498C2C5D9BC982B4E600000000260A0000</t>
  </si>
  <si>
    <t>OEMPRI-4204 FW requirement for this SKU production release</t>
  </si>
  <si>
    <t>[OEMPRI-4338]-[proj#4209]-[ECO-024873]-log confirm</t>
  </si>
  <si>
    <t>OEMPRI-4123</t>
  </si>
  <si>
    <t>Victor He(24)</t>
  </si>
  <si>
    <t>OEMPRI-4204 Configuration environment requirement</t>
  </si>
  <si>
    <t>F119BFDAA76478498C2C5D9BC982B4E60000000026130000</t>
  </si>
  <si>
    <t>oempri one source for all teammeber</t>
  </si>
  <si>
    <t>Victor He(0)</t>
  </si>
  <si>
    <t>OEMPRI-4122</t>
  </si>
  <si>
    <t>OEMPRI-4200 CRN confirmation</t>
  </si>
  <si>
    <t>OEMPRI-4112</t>
  </si>
  <si>
    <t>F119BFDAA76478498C2C5D9BC982B4E600000000262A0000</t>
  </si>
  <si>
    <t>ask james for latest tools version list</t>
  </si>
  <si>
    <t>OEMPRI-4200 FW requirement for the SKU production release</t>
  </si>
  <si>
    <t>Joe Liu(6)</t>
  </si>
  <si>
    <t>F119BFDAA76478498C2C5D9BC982B4E600000000262F0000</t>
  </si>
  <si>
    <t>audio_tool for draft --- ssh interface reconstruction with paramiko</t>
  </si>
  <si>
    <t>OEMPRI-4200 Configuration environment requirement</t>
  </si>
  <si>
    <t>OEMPRI-4111</t>
  </si>
  <si>
    <t>1103371_9906986_AR7586(4G/2G)_FW(00.07.05.00)_MM</t>
  </si>
  <si>
    <t>F119BFDAA76478498C2C5D9BC982B4E60000000026310000</t>
  </si>
  <si>
    <t>jenkins job for OEMPRI and SKUTracker compared</t>
  </si>
  <si>
    <t>OEMPRI-4195 CRN confirmation</t>
  </si>
  <si>
    <t>OEMPRI-4109</t>
  </si>
  <si>
    <t>OEMPRI-4195 FW requirement for the SKU production release</t>
  </si>
  <si>
    <t>CABC13619704C6418CD791C82D7CDF1C00CCE3A3A02F0000</t>
  </si>
  <si>
    <t>WP14.1B1][OEMPRI-5094] Update PRI baselines to align with WP14.1B1</t>
  </si>
  <si>
    <t>OEMPRI-4195 Configuration environment requirement</t>
  </si>
  <si>
    <t>F119BFDAA76478498C2C5D9BC982B4E60000000026300000</t>
  </si>
  <si>
    <t>OEMPRI-4108</t>
  </si>
  <si>
    <t>audio_tool for draft --- debug with SWAT</t>
  </si>
  <si>
    <t>1103151_9906435_AR7584(4G/4G)_FW(00.07.05.00)_VW</t>
  </si>
  <si>
    <t>F119BFDAA76478498C2C5D9BC982B4E600000000262B0000</t>
  </si>
  <si>
    <t>audio_tool for draft --- fix the encrypt for 9x28 in pyefsdump tool</t>
  </si>
  <si>
    <t>OEMPRI-4107</t>
  </si>
  <si>
    <t>3D68EC023EC934408492A941A20053800000000033D70000</t>
  </si>
  <si>
    <t>[OEMPRI-5177] - SPKG</t>
  </si>
  <si>
    <t>OEMPRI-4190 CRN confirmation</t>
  </si>
  <si>
    <t>OEMPRI-4105</t>
  </si>
  <si>
    <t>3D68EC023EC934408492A941A20053800000000033D80000</t>
  </si>
  <si>
    <t>[OEMPRI-5285] - SPKG</t>
  </si>
  <si>
    <t>OEMPRI-4190 FW requirement for the SKU production release</t>
  </si>
  <si>
    <t>OEMPRI-4190 Configuration envrionment requirement</t>
  </si>
  <si>
    <t>3D68EC023EC934408492A941A20053800000000033DA0000</t>
  </si>
  <si>
    <t>[OEMPRI-5285] - Test</t>
  </si>
  <si>
    <t>1103367_9906982_AR7582(4G/4G)_FW(00.07.05.00)_VW</t>
  </si>
  <si>
    <t>OEMPRI-4104</t>
  </si>
  <si>
    <t>1103204_9906619_AR7594_01.09.09.00_00_VW_WP12.3B1</t>
  </si>
  <si>
    <t>3D68EC023EC934408492A941A20053800000000033D90000</t>
  </si>
  <si>
    <t>[OEMPRI-5177] - Test</t>
  </si>
  <si>
    <t>9101000_9906809_AR7592-1_01.11.03.00_00_ATTLab_001.001_000</t>
  </si>
  <si>
    <t>OEMPRI-4103</t>
  </si>
  <si>
    <t>CABC13619704C6418CD791C82D7CDF1C00CCE3A3A0300000</t>
  </si>
  <si>
    <t>Release1][OEMPRI-5329] Update PRI baselines with WP11.11B4 for RC1</t>
  </si>
  <si>
    <t>1103721_9907591_SL8082TR_Q-M2M_Generic_Update_to_7.54.2.A1</t>
  </si>
  <si>
    <t>F119BFDAA76478498C2C5D9BC982B4E60000000025F30000</t>
  </si>
  <si>
    <t>[OEMPRI-4865]-[proj#4483]-[ECO-025424]-log confirm</t>
  </si>
  <si>
    <t>OEMPRI-4099</t>
  </si>
  <si>
    <t>Update AR759x Common/Customer baseline to align with WP12.2B1 (sprint-1)</t>
  </si>
  <si>
    <t>F119BFDAA76478498C2C5D9BC982B4E60000000025F60000</t>
  </si>
  <si>
    <t>[AR7582][VZW]9102009_5502009_AR7582_00.07.05.00_00_VZW_001.000_000</t>
  </si>
  <si>
    <t>[OEMPRI-4866]-[proj#4484]-[ECO-025424]-log confirm</t>
  </si>
  <si>
    <t>OEMPRI-4092</t>
  </si>
  <si>
    <t>F119BFDAA76478498C2C5D9BC982B4E60000000025FA0000</t>
  </si>
  <si>
    <t>1103204_9906619_AR7594_01.09.07.00_00_VW_WP12.2B1 - Vodafone</t>
  </si>
  <si>
    <t>[OEMPRI-4867]-[proj#4485]-[ECO-025526]-log confirm</t>
  </si>
  <si>
    <t>Stone Li(31)</t>
  </si>
  <si>
    <t>Wilson Lin – Shenzhen(4)</t>
  </si>
  <si>
    <t>OEMPRI-4090</t>
  </si>
  <si>
    <t>Update Customer/Common PRI baselines to align with WP9.4B1 (sprint-1)</t>
  </si>
  <si>
    <t>Lares Yang(31)</t>
  </si>
  <si>
    <t>OEMPRI-3960 PRI-Review</t>
  </si>
  <si>
    <t>F119BFDAA76478498C2C5D9BC982B4E60000000026280000</t>
  </si>
  <si>
    <t>[OEMPRI-5230]-[proj#4592]-[TDN-012630]-svt spkg and approve</t>
  </si>
  <si>
    <t>OEMPRI-4082</t>
  </si>
  <si>
    <t>CLONE - Create Test Package for Multi MBN Test on AR7592</t>
  </si>
  <si>
    <t>F119BFDAA76478498C2C5D9BC982B4E60000000026270000</t>
  </si>
  <si>
    <t>[OEMPRI-5230]-[proj#4592]-[TDN-012630]-update</t>
  </si>
  <si>
    <t>OEMPRI-4093 CRN confirmation</t>
  </si>
  <si>
    <t>Ben Zheng(21)</t>
  </si>
  <si>
    <t>OEMPRI-4078</t>
  </si>
  <si>
    <t>3D68EC023EC934408492A941A20053800000000033D50000</t>
  </si>
  <si>
    <t>[OEMPRI-5310] - SPKG</t>
  </si>
  <si>
    <t>OEMPRI-4093 Configuration environment for BETA/ WP9.4B1-RO PRI package release</t>
  </si>
  <si>
    <t>3D68EC023EC934408492A941A20053800000000033D60000</t>
  </si>
  <si>
    <t>[OEMPRI-5310] - Test</t>
  </si>
  <si>
    <t>OEMPRI-4093</t>
  </si>
  <si>
    <t>OEMPRI-4093 Confirm FW requirement for WP9.4B1-RO full package release for AR7588 VW</t>
  </si>
  <si>
    <t>F119BFDAA76478498C2C5D9BC982B4E600000000261B0000</t>
  </si>
  <si>
    <t>[OEMPRI-4761]-[proj#4623]-[TDN-012661]-svt spkg and approve</t>
  </si>
  <si>
    <t>OEMPRI-4091</t>
  </si>
  <si>
    <t>OEMPRI-4092 CRN confirmation</t>
  </si>
  <si>
    <t>F119BFDAA76478498C2C5D9BC982B4E600000000261F0000</t>
  </si>
  <si>
    <t>[OEMPRI-5209]-[proj#4642]-[TDN-012674]-svt spkg and approve</t>
  </si>
  <si>
    <t>OEMPRI-4086</t>
  </si>
  <si>
    <t>OEMPRI-4092 Configuration environment for Beta PRI package release</t>
  </si>
  <si>
    <t>3D68EC023EC934408492A941A20053800000000033CA0000</t>
  </si>
  <si>
    <t>[OEMPRI-5165] -SPKG</t>
  </si>
  <si>
    <t>3D68EC023EC934408492A941A20053800000000033C90000</t>
  </si>
  <si>
    <t>[OEMPRI-5164] -SPKG</t>
  </si>
  <si>
    <t>OEMPRI-4092 Confirm FW requirement for WP9.4B1 full package release for AR7582 VW</t>
  </si>
  <si>
    <t>OEMPRI-4085</t>
  </si>
  <si>
    <t>3D68EC023EC934408492A941A20053800000000033CC0000</t>
  </si>
  <si>
    <t>[OEMPRI-5167] -SPKG</t>
  </si>
  <si>
    <t>OEMPRI-4106</t>
  </si>
  <si>
    <t>3D68EC023EC934408492A941A20053800000000033CB0000</t>
  </si>
  <si>
    <t>[OEMPRI-5166] -SPKG</t>
  </si>
  <si>
    <t>OEMPRI-4096</t>
  </si>
  <si>
    <t>OEMPRI-4091 Confirm FW requirement for this SKU BETA/WP9.4B1/RO full package release</t>
  </si>
  <si>
    <t>3D68EC023EC934408492A941A20053800000000033CE0000</t>
  </si>
  <si>
    <t>[OEMPRI-5169] -SPKG</t>
  </si>
  <si>
    <t>3D68EC023EC934408492A941A20053800000000033CD0000</t>
  </si>
  <si>
    <t>[OEMPRI-5168] -SPKG</t>
  </si>
  <si>
    <t>Update for Cougar-1960-Updating_COUGAR1653_1103367_9906982_AR7582(4G/4G)_Beta/WP9.4B1(00.07.05.00)_VW</t>
  </si>
  <si>
    <t>3D68EC023EC934408492A941A20053800000000033D00000</t>
  </si>
  <si>
    <t>[OEMPRI-5165] -Test</t>
  </si>
  <si>
    <t>Update for Cougar-1960-Updating_COUGAR1653_1103151_9906435_AR7584(4G/4G)_Beta(00.07.05.00)_VW</t>
  </si>
  <si>
    <t>3D68EC023EC934408492A941A20053800000000033CF0000</t>
  </si>
  <si>
    <t>[OEMPRI-5164] -Test</t>
  </si>
  <si>
    <t>[AR7594] Create VW PRI for Alpha-9 release</t>
  </si>
  <si>
    <t>OEMPRI-4069</t>
  </si>
  <si>
    <t>3D68EC023EC934408492A941A20053800000000033D20000</t>
  </si>
  <si>
    <t>1103207_9906620_AR7596_VW_Create Alpha 9 package</t>
  </si>
  <si>
    <t>[OEMPRI-5167] -Test</t>
  </si>
  <si>
    <t>3D68EC023EC934408492A941A20053800000000033D10000</t>
  </si>
  <si>
    <t>Updating_COUGAR1653_1103494_9907253_AR7588(4G/4G)_Beta_WP9.4B1(00.07.05.00)_VW</t>
  </si>
  <si>
    <t>[OEMPRI-5166] -Test</t>
  </si>
  <si>
    <t>Stone Li(62)</t>
  </si>
  <si>
    <t>3D68EC023EC934408492A941A20053800000000033D40000</t>
  </si>
  <si>
    <t>[OEMPRI-5169] -Test</t>
  </si>
  <si>
    <t>Updating_COUGAR1653_1103223_9906693_AR7586(4G/4G)_Beta_WP9.4B1(00.07.05.00)_VW</t>
  </si>
  <si>
    <t>3D68EC023EC934408492A941A20053800000000033D30000</t>
  </si>
  <si>
    <t>[OEMPRI-5168] -Test</t>
  </si>
  <si>
    <t>1103207_9906620_AR7596_VW_Create PRI for Alpha 9</t>
  </si>
  <si>
    <t>CABC13619704C6418CD791C82D7CDF1C00CCE3A3A02C0000</t>
  </si>
  <si>
    <t>fdt2 testing for AR755x binary download since fdt.exe won't auto reset success.</t>
  </si>
  <si>
    <t>OEMPRI-4082 CLONE - REVIEW OEMPRI-3381 - [AR7594] Create VW PRI for Beta release</t>
  </si>
  <si>
    <t>OEMPRI-4092 OEMPRI-3952 1103367_9906982_AR7582(4G/4G)_Beta(00.07.05.00)_VW</t>
  </si>
  <si>
    <t>F119BFDAA76478498C2C5D9BC982B4E600000000261E0000</t>
  </si>
  <si>
    <t>[OEMPRI-5209]-[proj#4642]-[TDN-012674]-update</t>
  </si>
  <si>
    <t>OEMPRI-4090 Review PRI package</t>
  </si>
  <si>
    <t>OEMPRI-4048</t>
  </si>
  <si>
    <t>F119BFDAA76478498C2C5D9BC982B4E60000000026190000</t>
  </si>
  <si>
    <t>[OEMPRI-5073]-[proj#4572]-[ECO-025669]-re svt spkg and approve</t>
  </si>
  <si>
    <t>1103722_9907592_SL8084TR_Q-M2M_Generic_Update_to_7.54.2.A1</t>
  </si>
  <si>
    <t>Wilson Lin – Shenzhen(2)</t>
  </si>
  <si>
    <t>F119BFDAA76478498C2C5D9BC982B4E60000000026250000</t>
  </si>
  <si>
    <t>2017/8/24 rebuild for err sku</t>
  </si>
  <si>
    <t>audio_tool for draft --- fix bug file list not less than usb mode</t>
  </si>
  <si>
    <t>OEMPRI-4047</t>
  </si>
  <si>
    <t>OEMPRI-4057</t>
  </si>
  <si>
    <t>SL8080T 1103063_9906178</t>
  </si>
  <si>
    <t>F119BFDAA76478498C2C5D9BC982B4E60000000026260000</t>
  </si>
  <si>
    <t>audio_tool for draft --- plink support ipv6</t>
  </si>
  <si>
    <t>9102002_9907582_AR8582_00.07.05.00_00_GCFLab_001.000_000</t>
  </si>
  <si>
    <t>Stone Li(133)</t>
  </si>
  <si>
    <t>F119BFDAA76478498C2C5D9BC982B4E60000000026180000</t>
  </si>
  <si>
    <t>OEMPRI-4052</t>
  </si>
  <si>
    <t>[OEMPRI-5073]-[proj#4572]-[ECO-025669]-re update</t>
  </si>
  <si>
    <t>[9x28][Carrier PRI][9906554][ATT] Update FW to WP9.4B1</t>
  </si>
  <si>
    <t>3D68EC023EC934408492A941A20053800000000033C70000</t>
  </si>
  <si>
    <t>[OEMPRI-5277] - SPKG</t>
  </si>
  <si>
    <t>1102502_9904443_AR7552RD_Ficosa_AT&amp;T_WP17.1 package for TDN-012252</t>
  </si>
  <si>
    <t>OEMPRI-4051</t>
  </si>
  <si>
    <t>3D68EC023EC934408492A941A20053800000000033C80000</t>
  </si>
  <si>
    <t>1103204_9906619_AR7594_01.09.04.00_00_VW_WP12.1B1</t>
  </si>
  <si>
    <t>[OEMPRI-5277] - Test</t>
  </si>
  <si>
    <t>Joe Liu(2)</t>
  </si>
  <si>
    <t>OEMPRI-4032</t>
  </si>
  <si>
    <t>OEMPRI-4036</t>
  </si>
  <si>
    <t>F119BFDAA76478498C2C5D9BC982B4E60000000026170000</t>
  </si>
  <si>
    <t>9101000_5502010_AR7592-1_01.11.05.01_00_VZWLab_001.002_000</t>
  </si>
  <si>
    <t>generate QTI requirement table and send pri check request mail</t>
  </si>
  <si>
    <t>F119BFDAA76478498C2C5D9BC982B4E60000000026240000</t>
  </si>
  <si>
    <t>Update AR759x carrier baseline to align with WP12.2B1 (sprint-1)</t>
  </si>
  <si>
    <t>jenkinsfor FOTA auto export mkPatch.py to running folder</t>
  </si>
  <si>
    <t>OEMPRI-4033</t>
  </si>
  <si>
    <t>Hugh Yao(15)</t>
  </si>
  <si>
    <t>3D68EC023EC934408492A941A20053800000000033C30000</t>
  </si>
  <si>
    <t>9102008_TBA_AR7582_VzW_Create Pacakge</t>
  </si>
  <si>
    <t>[OEMPRI-4761] - SPKG</t>
  </si>
  <si>
    <t>OEMPRI-4031</t>
  </si>
  <si>
    <t>Victor He(43)</t>
  </si>
  <si>
    <t>[9x15] [9902427_ATT] Update FW version to WP19.0-SWI9X15A_07.10.21.00-Legato16.01.2.m2</t>
  </si>
  <si>
    <t>F119BFDAA76478498C2C5D9BC982B4E60000000026140000</t>
  </si>
  <si>
    <t>Bing Huang(160)</t>
  </si>
  <si>
    <t>device default.xml update jobfile for fact</t>
  </si>
  <si>
    <t>OEMPRI-4028</t>
  </si>
  <si>
    <t>Update Carrier PRI baselines to align with WP9.4B1 (sprint-1)</t>
  </si>
  <si>
    <t>F119BFDAA76478498C2C5D9BC982B4E600000000261A0000</t>
  </si>
  <si>
    <t>[OEMPRI-4761]-[proj#4623]-[TDN-012661]-update</t>
  </si>
  <si>
    <t>OEMPRI-4027</t>
  </si>
  <si>
    <t>[9x28][PRI template] update</t>
  </si>
  <si>
    <t>F119BFDAA76478498C2C5D9BC982B4E600000000261D0000</t>
  </si>
  <si>
    <t>[OEMPRI-4761]- Dumpdiff for MBN</t>
  </si>
  <si>
    <t>OEMPRI-4026</t>
  </si>
  <si>
    <t>[9x40][PRI template] update</t>
  </si>
  <si>
    <t>F119BFDAA76478498C2C5D9BC982B4E60000000026210000</t>
  </si>
  <si>
    <t>OEMPRI-4022</t>
  </si>
  <si>
    <t>[OEMPRI-5209]-Dumpdiff for MBN</t>
  </si>
  <si>
    <t>OEMPRI-4020 FW requirement for the SKU production release</t>
  </si>
  <si>
    <t>F119BFDAA76478498C2C5D9BC982B4E60000000026220000</t>
  </si>
  <si>
    <t>OEMPRI-4019</t>
  </si>
  <si>
    <t>[OEMPRI-NONE]-[proj#4401]-[ECO-025203]-svt spkg and approve</t>
  </si>
  <si>
    <t>[9907582][Generic-UMTS] initial create Carrier PRI for AR8582</t>
  </si>
  <si>
    <t>F119BFDAA76478498C2C5D9BC982B4E60000000026230000</t>
  </si>
  <si>
    <t>OEMPRI-4018</t>
  </si>
  <si>
    <t>FOTA spkg support ar148x-mm format to gen spkg</t>
  </si>
  <si>
    <t>OEMPRI-4016 Configuration environment requirement for SKU release for TDN run</t>
  </si>
  <si>
    <t>OEMPRI-4017</t>
  </si>
  <si>
    <t>3D68EC023EC934408492A941A20053800000000033C00000</t>
  </si>
  <si>
    <t>[OEMPRI-5209] - SPKG</t>
  </si>
  <si>
    <t>OEMPRI-4016 PRI setting requirement</t>
  </si>
  <si>
    <t>OEMPRI-4020</t>
  </si>
  <si>
    <t>1103367_9906982_AR7582(4G/4G)_FW(00.06.05.00)_VW</t>
  </si>
  <si>
    <t>3D68EC023EC934408492A941A20053800000000033C10000</t>
  </si>
  <si>
    <t>[OEMPRI-5230] - SPKG</t>
  </si>
  <si>
    <t>OEMPRI-4016</t>
  </si>
  <si>
    <t>1103494_9907253_AR7588(4G/4G)_FW(00.04.17.00)_VW for R&amp;D TDN debug</t>
  </si>
  <si>
    <t>3D68EC023EC934408492A941A20053800000000033C20000</t>
  </si>
  <si>
    <t>[OEMPRI-5230] - Test</t>
  </si>
  <si>
    <t>OEMPRI-4004</t>
  </si>
  <si>
    <t>Harris Pang(7)</t>
  </si>
  <si>
    <t>OEMPRI-3963 Confirm FW requirement for this SKU BETA/WP9.4B1/RW full package release</t>
  </si>
  <si>
    <t>3D68EC023EC934408492A941A20053800000000033C50000</t>
  </si>
  <si>
    <t>[OEMPRI-5073] - Test</t>
  </si>
  <si>
    <t>OEMPRI-4003</t>
  </si>
  <si>
    <t>OEMPRI-3962 PRI Package review</t>
  </si>
  <si>
    <t>3D68EC023EC934408492A941A20053800000000033C40000</t>
  </si>
  <si>
    <t>[OEMPRI-5073] - SPKG</t>
  </si>
  <si>
    <t>OEMPRI-4002</t>
  </si>
  <si>
    <t>OEMPRI-3962 CRN confirmation</t>
  </si>
  <si>
    <t>F119BFDAA76478498C2C5D9BC982B4E60000000025ED0000</t>
  </si>
  <si>
    <t>[OEMPRI-5018]-[proj#4287]-[TDN-012606]-log confirm</t>
  </si>
  <si>
    <t>OEMPRI-4001</t>
  </si>
  <si>
    <t>OEMPRI-3962 FW requirement for BETA/WP9.4B1/RW Fiocsa AR8582 SKU release</t>
  </si>
  <si>
    <t>F119BFDAA76478498C2C5D9BC982B4E60000000026090000</t>
  </si>
  <si>
    <t>[OEMPRI-4338]-[proj#4209]-[ECO-024873]-svt spkg and approve</t>
  </si>
  <si>
    <t>OEMPRI-4000</t>
  </si>
  <si>
    <t>Ben Zheng(13)</t>
  </si>
  <si>
    <t>OEMPRI-3962 Confirm configuration environment for BETA/WP9.4B1/RW SKU package release</t>
  </si>
  <si>
    <t>F119BFDAA76478498C2C5D9BC982B4E60000000026110000</t>
  </si>
  <si>
    <t>tool auto gen svt spkg and update svt report</t>
  </si>
  <si>
    <t>OEMPRI-3999</t>
  </si>
  <si>
    <t>OEMPRI-3961 Confirm configuration requirement for this package release</t>
  </si>
  <si>
    <t>F119BFDAA76478498C2C5D9BC982B4E60000000026120000</t>
  </si>
  <si>
    <t>[OEMPRI-4760]-[proj#4393]-[ECO-025635]-svt spkg and approve</t>
  </si>
  <si>
    <t>OEMPRI-3998</t>
  </si>
  <si>
    <t>OEMPRI-3961 Confirm FW requirement for WP8.0 full package release</t>
  </si>
  <si>
    <t>3D68EC023EC934408492A941A20053800000000033BC0000</t>
  </si>
  <si>
    <t>[OEMPRI-5156] - SPKG</t>
  </si>
  <si>
    <t>OEMPRI-3997</t>
  </si>
  <si>
    <t>OEMPRI-3960 Please provided and review ATT VOLTE configuration</t>
  </si>
  <si>
    <t>3D68EC023EC934408492A941A20053800000000033BD0000</t>
  </si>
  <si>
    <t>[OEMPRI-5156] - Test</t>
  </si>
  <si>
    <t>OEMPRI-3995</t>
  </si>
  <si>
    <t>OEMPRI-3960 Please confirm FW requirement for this SKU release</t>
  </si>
  <si>
    <t>3D68EC023EC934408492A941A20053800000000033BF0000</t>
  </si>
  <si>
    <t>[OEMPRI-5134] - Test</t>
  </si>
  <si>
    <t>OEMPRI-3994</t>
  </si>
  <si>
    <t>OEMPRI-3960 Please confirm configuration environment</t>
  </si>
  <si>
    <t>3D68EC023EC934408492A941A20053800000000033BE0000</t>
  </si>
  <si>
    <t>[OEMPRI-5134] - SPKG</t>
  </si>
  <si>
    <t>OEMPRI-3993</t>
  </si>
  <si>
    <t>Stone Li(60)</t>
  </si>
  <si>
    <t>OEMPRI-3959 CRN confirmation</t>
  </si>
  <si>
    <t>F119BFDAA76478498C2C5D9BC982B4E60000000025E50000</t>
  </si>
  <si>
    <t>[OEMPRI-4617]-[proj#4202]-[TDN-012268]-log confirm</t>
  </si>
  <si>
    <t>OEMPRI-3991</t>
  </si>
  <si>
    <t>Rock Li-Zhi Quan(8)</t>
  </si>
  <si>
    <t>OEMPRI-3959 Configuration environment for BETA/ WP9.4B1-RO PRI package release</t>
  </si>
  <si>
    <t>F119BFDAA76478498C2C5D9BC982B4E600000000260B0000</t>
  </si>
  <si>
    <t>OEMPRI-3990</t>
  </si>
  <si>
    <t>audio_tool for draft --- released binary</t>
  </si>
  <si>
    <t>OEMPRI-3959 Confirm FW requirement for WP9.4B1-RO full package release for AR7588 VW</t>
  </si>
  <si>
    <t>F119BFDAA76478498C2C5D9BC982B4E600000000260C0000</t>
  </si>
  <si>
    <t>OEMPRI-3988</t>
  </si>
  <si>
    <t>audio_tool for draft --- prepared mini python env</t>
  </si>
  <si>
    <t>OEMPRI-3958 Confirm FW requirement for this SKU BETA/WP9.4B1/RO full package release</t>
  </si>
  <si>
    <t>OEMPRI-3982</t>
  </si>
  <si>
    <t>F119BFDAA76478498C2C5D9BC982B4E600000000260D0000</t>
  </si>
  <si>
    <t>audio_tool for draft --- svn archived</t>
  </si>
  <si>
    <t>OEMPRI-3956 Please confirm configuration environment</t>
  </si>
  <si>
    <t>OEMPRI-3981</t>
  </si>
  <si>
    <t>F119BFDAA76478498C2C5D9BC982B4E600000000260E0000</t>
  </si>
  <si>
    <t>audio_tool for draft --- setup for pyEfsdump</t>
  </si>
  <si>
    <t>OEMPRI-3956 CRN confirmation</t>
  </si>
  <si>
    <t>Bing Xiao</t>
  </si>
  <si>
    <t>OEMPRI-3980</t>
  </si>
  <si>
    <t>OEMPRI-3956 Please confirm FW requirement for this SKU release</t>
  </si>
  <si>
    <t>F119BFDAA76478498C2C5D9BC982B4E600000000260F0000</t>
  </si>
  <si>
    <t>audio_tool for draft --- setup for audio_nvup_tool</t>
  </si>
  <si>
    <t>Bing Xiao(4)</t>
  </si>
  <si>
    <t>OEMPRI-3977</t>
  </si>
  <si>
    <t>Bing Xiao(0)</t>
  </si>
  <si>
    <t>OEMPRI-3955 CLONE - Confirm FW requirement for this SKU WP9.4B1 full package release</t>
  </si>
  <si>
    <t>F119BFDAA76478498C2C5D9BC982B4E60000000026100000</t>
  </si>
  <si>
    <t>audio_tool for draft --- auto set version for binary</t>
  </si>
  <si>
    <t>OEMPRI-3974</t>
  </si>
  <si>
    <t>OEMPRI-3954 Please confirm FW requirement for the SKU release</t>
  </si>
  <si>
    <t>3D68EC023EC934408492A941A20053800000000033B70000</t>
  </si>
  <si>
    <t>[OEMPRI-5142] - SPKG</t>
  </si>
  <si>
    <t>OEMPRI-3972</t>
  </si>
  <si>
    <t>OEMPRI-3953 Please clarify which carrier VoLTE need to configure on AR7588</t>
  </si>
  <si>
    <t>3D68EC023EC934408492A941A20053800000000033B60000</t>
  </si>
  <si>
    <t>[OEMPRI-5140] - SPKG</t>
  </si>
  <si>
    <t>OEMPRI-3971</t>
  </si>
  <si>
    <t>OEMPRI-3953 Please confirm configuration envrionment for WP9.4B1 PRI package release</t>
  </si>
  <si>
    <t>3D68EC023EC934408492A941A20053800000000033BA0000</t>
  </si>
  <si>
    <t>[OEMPRI-5142] - Test</t>
  </si>
  <si>
    <t>OEMPRI-3970</t>
  </si>
  <si>
    <t>OEMPRI-3953 CRN confirmation</t>
  </si>
  <si>
    <t>3D68EC023EC934408492A941A20053800000000033B90000</t>
  </si>
  <si>
    <t>[OEMPRI-5140] - Test</t>
  </si>
  <si>
    <t>OEMPRI-3969</t>
  </si>
  <si>
    <t>OEMPRI-3953 Confirm FW requirement for WP9.4B1 full package release for AR7588 Ficosa</t>
  </si>
  <si>
    <t>3D68EC023EC934408492A941A20053800000000033B80000</t>
  </si>
  <si>
    <t>[OEMPRI-5092] - SPKG</t>
  </si>
  <si>
    <t>OEMPRI-3968</t>
  </si>
  <si>
    <t>OEMPRI-3952 CRN confirmation</t>
  </si>
  <si>
    <t>3D68EC023EC934408492A941A20053800000000033BB0000</t>
  </si>
  <si>
    <t>[OEMPRI-5092] - Test</t>
  </si>
  <si>
    <t>OEMPRI-3966</t>
  </si>
  <si>
    <t>OEMPRI-3952 Configuration environment for Beta PRI package release</t>
  </si>
  <si>
    <t>F119BFDAA76478498C2C5D9BC982B4E60000000026080000</t>
  </si>
  <si>
    <t>[OEMPRI-4338]-[proj#4209]-[ECO-024873]-update</t>
  </si>
  <si>
    <t>OEMPRI-3965</t>
  </si>
  <si>
    <t>OEMPRI-3952 Confirm FW requirement for WP9.4B1 full package release for AR7582 VW</t>
  </si>
  <si>
    <t>OEMPRI-3964</t>
  </si>
  <si>
    <t>F119BFDAA76478498C2C5D9BC982B4E60000000025F20000</t>
  </si>
  <si>
    <t>[OEMPRI-4865]-[proj#4483]-[ECO-025424]-svt spkg and approve</t>
  </si>
  <si>
    <t>OEMPRI-3961</t>
  </si>
  <si>
    <t>F119BFDAA76478498C2C5D9BC982B4E60000000025F70000</t>
  </si>
  <si>
    <t>[OEMPRI-4866]-[proj#4483]-[ECO-025424]-svt spkg and approve</t>
  </si>
  <si>
    <t>1103151_9906435_AR7584(4G/4G)_FW(00.06.03.00)_VW</t>
  </si>
  <si>
    <t>OEMPRI-3957</t>
  </si>
  <si>
    <t>F119BFDAA76478498C2C5D9BC982B4E60000000025F90000</t>
  </si>
  <si>
    <t>[OEMPRI-4867]-[proj#4485]-[ECO-025526]-svt spkg and approve</t>
  </si>
  <si>
    <t>1103373_9906988_AR7582(4G/2G)_Beta_WP9.4B1(00.07.05.00)_MM</t>
  </si>
  <si>
    <t>OEMPRI-3955</t>
  </si>
  <si>
    <t>F119BFDAA76478498C2C5D9BC982B4E60000000025FC0000</t>
  </si>
  <si>
    <t>1103371_9906986_AR7586(4G/2G)_Beta_WP9.4B1(00.07.05.00)_MM</t>
  </si>
  <si>
    <t>[OEMPRI-4872]-[proj#4490]-[ECO-025426]-svt spkg and approve</t>
  </si>
  <si>
    <t>OEMPRI-3963</t>
  </si>
  <si>
    <t>1103368_9906983_AR7584(4G/2G)_Beta_WP9.4B1(00.07.05.00)_MM</t>
  </si>
  <si>
    <t>F119BFDAA76478498C2C5D9BC982B4E60000000025FF0000</t>
  </si>
  <si>
    <t>[OEMPRI-4873]-[proj#4491]-[ECO-025426]-svt spkg and approve</t>
  </si>
  <si>
    <t>OEMPRI-3962</t>
  </si>
  <si>
    <t>1103361_9906970_AR8582(4G/2G)_Beta_WP9.4B1(00.07.05.00)_Ficosa</t>
  </si>
  <si>
    <t>F119BFDAA76478498C2C5D9BC982B4E60000000025EC0000</t>
  </si>
  <si>
    <t>[OEMPRI-5018]-[proj#4287]-[TDN-012606]-svt spkg and approve</t>
  </si>
  <si>
    <t>OEMPRI-3960</t>
  </si>
  <si>
    <t>1103379_9907000_AR7582(4G/2G)_Beta_WP9.4B1(00.07.05.00)_Ficosa</t>
  </si>
  <si>
    <t>F119BFDAA76478498C2C5D9BC982B4E60000000026060000</t>
  </si>
  <si>
    <t>[OEMPRI-NONE]-[proj#4632]-[TDN-012629]-svt spkg and approve</t>
  </si>
  <si>
    <t>OEMPRI-3959</t>
  </si>
  <si>
    <t>1103494_9907253_AR7588(4G/4G)_Beta_WP9.4B1(00.07.05.00)_VW</t>
  </si>
  <si>
    <t>3D68EC023EC934408492A941A20053800000000033B40000</t>
  </si>
  <si>
    <t>[OEMPRI-5090] - regen</t>
  </si>
  <si>
    <t>OEMPRI-3958</t>
  </si>
  <si>
    <t>1103223_9906693_AR7586(4G/4G)_Beta_WP9.4B1(00.07.05.00)_VW</t>
  </si>
  <si>
    <t>3D68EC023EC934408492A941A20053800000000033B50000</t>
  </si>
  <si>
    <t>[OEMPRI-5090] - Test</t>
  </si>
  <si>
    <t>OEMPRI-3956</t>
  </si>
  <si>
    <t>1103378_9906998_AR7584(4G/2G)_Beta_WP9.4B1(00.07.05.00)_Ficosa</t>
  </si>
  <si>
    <t>F119BFDAA76478498C2C5D9BC982B4E60000000026010000</t>
  </si>
  <si>
    <t>new swicwe for add 4 new boot type to release</t>
  </si>
  <si>
    <t>OEMPRI-3954</t>
  </si>
  <si>
    <t>1103377_9906994_AR8582(4G/2G)_Beta_WP9.4B1(00.07.05.00)_MM</t>
  </si>
  <si>
    <t>F119BFDAA76478498C2C5D9BC982B4E60000000026040000</t>
  </si>
  <si>
    <t>audio_tool for draft --- text content to bin file</t>
  </si>
  <si>
    <t>OEMPRI-3953</t>
  </si>
  <si>
    <t>1103360_9906969_AR7588(4G/2G)_Beta/WP9.4B1(00.07.05.00)_Ficosa</t>
  </si>
  <si>
    <t>F119BFDAA76478498C2C5D9BC982B4E60000000026050000</t>
  </si>
  <si>
    <t>audio_tool for draft --- command line arguments</t>
  </si>
  <si>
    <t>OEMPRI-3952</t>
  </si>
  <si>
    <t>Davy Zhang(11)</t>
  </si>
  <si>
    <t>1103367_9906982_AR7582(4G/4G)_Beta/WP9.4B1(00.07.05.00)_VW</t>
  </si>
  <si>
    <t>F119BFDAA76478498C2C5D9BC982B4E60000000025DA0000</t>
  </si>
  <si>
    <t>[OEMPRI-4862]-[proj#4430]-[ECO-025337]-log confirm</t>
  </si>
  <si>
    <t>OEMPRI-3939</t>
  </si>
  <si>
    <t>OEMPRI-3924 CLONE - CRN confirmation</t>
  </si>
  <si>
    <t>F119BFDAA76478498C2C5D9BC982B4E60000000025EB0000</t>
  </si>
  <si>
    <t>Ben Zheng(11)</t>
  </si>
  <si>
    <t>[OEMPRI-5018]-[proj#4287]-[TDN-012606]-update</t>
  </si>
  <si>
    <t>OEMPRI-3938</t>
  </si>
  <si>
    <t>OEMPRI-3924 CLONE - FW requirement for WP9.4B1 full package for AR7586 Lanyou</t>
  </si>
  <si>
    <t>3D68EC023EC934408492A941A20053800000000033AE0000</t>
  </si>
  <si>
    <t>OEMPRI-3937</t>
  </si>
  <si>
    <t>[OEMPRI-5090] - SPKG</t>
  </si>
  <si>
    <t>OEMPRI-3924 CLONE - Confirm configuration environment for WP9.4B1 full package release</t>
  </si>
  <si>
    <t>OEMPRI-3930</t>
  </si>
  <si>
    <t>3D68EC023EC934408492A941A20053800000000033B10000</t>
  </si>
  <si>
    <t>OEMPRI-3922 CLONE - Please confirm configuration environment</t>
  </si>
  <si>
    <t>[OEMPRI-5091] - Test</t>
  </si>
  <si>
    <t>OEMPRI-3929</t>
  </si>
  <si>
    <t>OEMPRI-3922 CLONE - CRN confirmation</t>
  </si>
  <si>
    <t>Lolly Cao(11)</t>
  </si>
  <si>
    <t>3D68EC023EC934408492A941A20053800000000033B00000</t>
  </si>
  <si>
    <t>[OEMPRI-5091] - SPKG</t>
  </si>
  <si>
    <t>OEMPRI-3928</t>
  </si>
  <si>
    <t>OEMPRI-3922 CLONE - Please confirm FW requirement for this SKU release</t>
  </si>
  <si>
    <t>3D68EC023EC934408492A941A20053800000000033AC0000</t>
  </si>
  <si>
    <t>[OEMPRI-4338] - SPKG</t>
  </si>
  <si>
    <t>OEMPRI-3924</t>
  </si>
  <si>
    <t>1103362_9906977_AR7586(4G/2G)_Beta/WP9.4B1/RW(00.07.05.00)_Lanyou</t>
  </si>
  <si>
    <t>3D68EC023EC934408492A941A20053800000000033AD0000</t>
  </si>
  <si>
    <t>[OEMPRI-4338] - Test</t>
  </si>
  <si>
    <t>OEMPRI-3923</t>
  </si>
  <si>
    <t>1103151_9906435_AR7584(4G/4G)_Beta(00.07.05.00)_VW</t>
  </si>
  <si>
    <t>3D68EC023EC934408492A941A20053800000000033B30000</t>
  </si>
  <si>
    <t>[OEMPRI-5162] - Test</t>
  </si>
  <si>
    <t>OEMPRI-3922</t>
  </si>
  <si>
    <t>1103359_9906968_AR7586(4G/2G)_Beta(00.07.05.00)_Ficosa</t>
  </si>
  <si>
    <t>3D68EC023EC934408492A941A20053800000000033B20000</t>
  </si>
  <si>
    <t>[OEMPRI-5162] - SPKG</t>
  </si>
  <si>
    <t>OEMPRI-3921</t>
  </si>
  <si>
    <t>3D68EC023EC934408492A941A20053800000000033AA0000</t>
  </si>
  <si>
    <t>1103371_9906986_AR7586(4G/2G)_Beta(00.07.05.00)_MM</t>
  </si>
  <si>
    <t>OEMPRI-3907</t>
  </si>
  <si>
    <t>OEMPRI-3904 CLONE - Please confirm configuration environment</t>
  </si>
  <si>
    <t>OEMPRI-3906</t>
  </si>
  <si>
    <t>F119BFDAA76478498C2C5D9BC982B4E60000000025EF0000</t>
  </si>
  <si>
    <t>[OEMPRI-5073]-[proj#4572]-[ECO-025463]-svt spkg and approve</t>
  </si>
  <si>
    <t>Lolly Cao(10)</t>
  </si>
  <si>
    <t>OEMPRI-3904 CLONE - CRN confirmation</t>
  </si>
  <si>
    <t>OEMPRI-3905</t>
  </si>
  <si>
    <t>OEMPRI-3904 CLONE - Please confirm FW requirement for this SKU release</t>
  </si>
  <si>
    <t>F119BFDAA76478498C2C5D9BC982B4E60000000025F10000</t>
  </si>
  <si>
    <t>[OEMPRI-4865]-[proj#4483]-[ECO-025424]-update</t>
  </si>
  <si>
    <t>OEMPRI-3904</t>
  </si>
  <si>
    <t>1103378_9906998_AR7584(4G/2G)_Beta(00.07.05.00)_Ficosa</t>
  </si>
  <si>
    <t>F119BFDAA76478498C2C5D9BC982B4E60000000025F40000</t>
  </si>
  <si>
    <t>[OEMPRI-4866]-[proj#4484]-[ECO-025424]-update</t>
  </si>
  <si>
    <t>OEMPRI-3901</t>
  </si>
  <si>
    <t>OEMPRI-3898 CLONE - CRN confirmation</t>
  </si>
  <si>
    <t>F119BFDAA76478498C2C5D9BC982B4E60000000025EE0000</t>
  </si>
  <si>
    <t>[OEMPRI-5073]-[proj#4572]-[ECO-025463]-update</t>
  </si>
  <si>
    <t>OEMPRI-3900</t>
  </si>
  <si>
    <t>OEMPRI-3898 CLONE - FW requirement for WP9.3B1 full package for AR7586 Lanyou</t>
  </si>
  <si>
    <t>OEMPRI-3899</t>
  </si>
  <si>
    <t>3D68EC023EC934408492A941A20053800000000033A40000</t>
  </si>
  <si>
    <t>[OEMPRI-5093] - SPKG</t>
  </si>
  <si>
    <t>OEMPRI-3898 CLONE - Confirm configuration environment for WP9.3B1 full package release</t>
  </si>
  <si>
    <t>OEMPRI-3898</t>
  </si>
  <si>
    <t>3D68EC023EC934408492A941A20053800000000033A50000</t>
  </si>
  <si>
    <t>[OEMPRI-5093] - Test</t>
  </si>
  <si>
    <t>CLONE - 1103362_9906977_AR7586(4G/2G)_Beta(00.07.05.00)_Lanyou</t>
  </si>
  <si>
    <t>OEMPRI-3896</t>
  </si>
  <si>
    <t>F119BFDAA76478498C2C5D9BC982B4E60000000025F80000</t>
  </si>
  <si>
    <t>[OEMPRI-4867]-[proj#4485]-[ECO-025526]-update</t>
  </si>
  <si>
    <t>Create temp NVUP to disable SPI recovery mode</t>
  </si>
  <si>
    <t>OEMPRI-3909</t>
  </si>
  <si>
    <t>OEMPRI-3904 CLONE - Please V&amp;V the package, thanks.</t>
  </si>
  <si>
    <t>F119BFDAA76478498C2C5D9BC982B4E60000000025FB0000</t>
  </si>
  <si>
    <t>[OEMPRI-4872]-[proj#4490]-[ECO-025426]-update</t>
  </si>
  <si>
    <t>OEMPRI-3908</t>
  </si>
  <si>
    <t>OEMPRI-3904 CLONE - PRI review request.</t>
  </si>
  <si>
    <t>OEMPRI-3902</t>
  </si>
  <si>
    <t>F119BFDAA76478498C2C5D9BC982B4E60000000025FE0000</t>
  </si>
  <si>
    <t>[OEMPRI-4873]-[proj#4491]-[ECO-025426]-update</t>
  </si>
  <si>
    <t>OEMPRI-3898 CLONE - PRI-Review</t>
  </si>
  <si>
    <t>OEMPRI-3894</t>
  </si>
  <si>
    <t>[9x28][Carrier PRI] 9906552_CMCC Update FW to WP9.4B1</t>
  </si>
  <si>
    <t>3D68EC023EC934408492A941A20053800000000033A30000</t>
  </si>
  <si>
    <t>OEMPRI-3895</t>
  </si>
  <si>
    <t>[9902427_ATT] ATT Carrier PRI update FW to WP19.0</t>
  </si>
  <si>
    <t>F119BFDAA76478498C2C5D9BC982B4E60000000025E40000</t>
  </si>
  <si>
    <t>[OEMPRI-4617]-[proj#4202]-[TDN-012268]-svt spkg and approve</t>
  </si>
  <si>
    <t>OEMPRI-3877</t>
  </si>
  <si>
    <t>OEMPRI-3587 PRI Package Review</t>
  </si>
  <si>
    <t>F119BFDAA76478498C2C5D9BC982B4E60000000026030000</t>
  </si>
  <si>
    <t>audio_tool for draft --- unlock tool for fmr</t>
  </si>
  <si>
    <t>OEMPRI-3876</t>
  </si>
  <si>
    <t>OEMPRI-3586 PRI Package Review</t>
  </si>
  <si>
    <t>3D68EC023EC934408492A941A20053800000000033A00000</t>
  </si>
  <si>
    <t>[OEMPRI-4998] - SPKG</t>
  </si>
  <si>
    <t>OEMPRI-3875</t>
  </si>
  <si>
    <t>OEMPRI-3782 PRI Package Review</t>
  </si>
  <si>
    <t>3D68EC023EC934408492A941A20053800000000033A10000</t>
  </si>
  <si>
    <t>[OEMPRI-4998] - Test</t>
  </si>
  <si>
    <t>OEMPRI-3885</t>
  </si>
  <si>
    <t>F119BFDAA76478498C2C5D9BC982B4E60000000025E30000</t>
  </si>
  <si>
    <t>[OEMPRI-4617]-[proj#4202]-[TDN-012268]-update</t>
  </si>
  <si>
    <t>OEMPRI-3881</t>
  </si>
  <si>
    <t>3D68EC023EC934408492A941A20053800000000033A80000</t>
  </si>
  <si>
    <t>[OEMPRI-5009] - SPKG</t>
  </si>
  <si>
    <t>OEMPRI-3879</t>
  </si>
  <si>
    <t>Please add the PRI_REV into the cfg file</t>
  </si>
  <si>
    <t>3D68EC023EC934408492A941A20053800000000033A90000</t>
  </si>
  <si>
    <t>[OEMPRI-5009] - Test</t>
  </si>
  <si>
    <t>HL75xxMC,HL8xxxMC</t>
  </si>
  <si>
    <t>OEMPRI-3872</t>
  </si>
  <si>
    <t>Missing PRI Ver Information in MC-HL7588/HL8548 PRI Files</t>
  </si>
  <si>
    <t>3D68EC023EC934408492A941A200538000000000339C0000</t>
  </si>
  <si>
    <t>[OEMPRI-5183] - SPKG</t>
  </si>
  <si>
    <t>OEMPRI-3854</t>
  </si>
  <si>
    <t>OEMPRI-3853 Please confirm FW requirement for the SKU release</t>
  </si>
  <si>
    <t>3D68EC023EC934408492A941A200538000000000339D0000</t>
  </si>
  <si>
    <t>[OEMPRI-5183] - Test</t>
  </si>
  <si>
    <t>OEMPRI-3853</t>
  </si>
  <si>
    <t>Ben Zheng(4)</t>
  </si>
  <si>
    <t>1103377_9906994_AR8582(4G/2G)_Alpha6(00.06.05.00)_MM</t>
  </si>
  <si>
    <t>3D68EC023EC934408492A941A200538000000000339F0000</t>
  </si>
  <si>
    <t>[OEMPRI-5082] - Test</t>
  </si>
  <si>
    <t>OEMPRI-3849</t>
  </si>
  <si>
    <t>1103373_9906988_AR7582(4G/2G)_Alpha6(00.06.05.00)_MM</t>
  </si>
  <si>
    <t>3D68EC023EC934408492A941A200538000000000339E0000</t>
  </si>
  <si>
    <t>[OEMPRI-5082] - SPKG</t>
  </si>
  <si>
    <t>OEMPRI-3847</t>
  </si>
  <si>
    <t>OEMPRI-3846 Confirm FW requirement for this SKU WP8.5B1 full package release</t>
  </si>
  <si>
    <t>F119BFDAA76478498C2C5D9BC982B4E60000000025EA0000</t>
  </si>
  <si>
    <t>[OEMPRI-4862]-[proj#4430]-[ECO-025337]-re svt spkg and approve</t>
  </si>
  <si>
    <t>OEMPRI-3846</t>
  </si>
  <si>
    <t>1103368_9906983_AR7584(4G/2G)_Alpha6(00.06.05.00)_MM</t>
  </si>
  <si>
    <t>F119BFDAA76478498C2C5D9BC982B4E60000000025E00000</t>
  </si>
  <si>
    <t>[OEMPRI-4869]-[proj#4487]-[ECO-025425]-log confirm</t>
  </si>
  <si>
    <t>OEMPRI-3844</t>
  </si>
  <si>
    <t>OEMPRI-3843 CLONE - Confirm FW requirement for this SKU WP8.5B1 full package release</t>
  </si>
  <si>
    <t>F119BFDAA76478498C2C5D9BC982B4E60000000025E90000</t>
  </si>
  <si>
    <t>[OEMPRI-4862]-[proj#4430]-[ECO-025337]-re update</t>
  </si>
  <si>
    <t>OEMPRI-3843</t>
  </si>
  <si>
    <t>1103371_9906986_AR7586(4G/2G)_Alpha6(00.06.05.00)_MM</t>
  </si>
  <si>
    <t>3D68EC023EC934408492A941A20053800000000033980000</t>
  </si>
  <si>
    <t>[OEMPRI-4963] - SPKG</t>
  </si>
  <si>
    <t>OEMPRI-3842</t>
  </si>
  <si>
    <t>9101000_9906809_AR7592_ATT_AVL Package Update Model Name</t>
  </si>
  <si>
    <t>OEMPRI-3841</t>
  </si>
  <si>
    <t>3D68EC023EC934408492A941A20053800000000033990000</t>
  </si>
  <si>
    <t>[OEMPRI-4963] - Test</t>
  </si>
  <si>
    <t>MC7350/MC7350 VzW package update to fix PRI setting issue 05.05.58.04</t>
  </si>
  <si>
    <t>OEMPRI-3837</t>
  </si>
  <si>
    <t>3D68EC023EC934408492A941A200538000000000339B0000</t>
  </si>
  <si>
    <t>Create temp NVUP for VW's GPIO integration on top of Coronado Alpha 9</t>
  </si>
  <si>
    <t>OEMPRI-3814</t>
  </si>
  <si>
    <t>3D68EC023EC934408492A941A200538000000000339A0000</t>
  </si>
  <si>
    <t>OEMPRI-3810 CLONE - Confirm MFT requirment for PRI</t>
  </si>
  <si>
    <t>OEMPRI-3813</t>
  </si>
  <si>
    <t>OEMPRI-3810 CLONE - Define SKU Number</t>
  </si>
  <si>
    <t>OEMPRI-3812</t>
  </si>
  <si>
    <t>F119BFDAA76478498C2C5D9BC982B4E60000000025DD0000</t>
  </si>
  <si>
    <t>[OEMPRI-4817]-[proj#4481]-[ECO-025484]-log confirm</t>
  </si>
  <si>
    <t>OEMPRI-3810 CLONE - Generate PRI Package</t>
  </si>
  <si>
    <t>F119BFDAA76478498C2C5D9BC982B4E60000000026020000</t>
  </si>
  <si>
    <t>audio_tool for draft --- collect info from ssh/ttyAt</t>
  </si>
  <si>
    <t>OEMPRI-3811</t>
  </si>
  <si>
    <t>OEMPRI-3810 CLONE - Confirm FW requirement for PRI</t>
  </si>
  <si>
    <t>OEMPRI-3809</t>
  </si>
  <si>
    <t>3D68EC023EC934408492A941A200538000000000338E0000</t>
  </si>
  <si>
    <t>[OEMPRI-4865] -SPKG</t>
  </si>
  <si>
    <t>OEMPRI-3632 PRI Package review</t>
  </si>
  <si>
    <t>OEMPRI-3810</t>
  </si>
  <si>
    <t>3D68EC023EC934408492A941A20053800000000033900000</t>
  </si>
  <si>
    <t>1103223_9906693_AR7586(4G/4G)_Volkswagen:WP9.2B1-SWI9X28A_00.07.04.00-Legato17.06.0.rc2</t>
  </si>
  <si>
    <t>[OEMPRI-4867] -SPKG</t>
  </si>
  <si>
    <t>OEMPRI-3791</t>
  </si>
  <si>
    <t>3D68EC023EC934408492A941A200538000000000338F0000</t>
  </si>
  <si>
    <t>OEMPRI-3600 PRI Package review</t>
  </si>
  <si>
    <t>[OEMPRI-4866] -SPKG</t>
  </si>
  <si>
    <t>OEMPRI-3786</t>
  </si>
  <si>
    <t>OEMPRI-3782 CLONE - Confirm MFT requirment for PRI</t>
  </si>
  <si>
    <t>3D68EC023EC934408492A941A20053800000000033920000</t>
  </si>
  <si>
    <t>[OEMPRI-4873] -SPKG</t>
  </si>
  <si>
    <t>OEMPRI-3785</t>
  </si>
  <si>
    <t>OEMPRI-3782 CLONE - Define SKU Number</t>
  </si>
  <si>
    <t>Ben Zheng(10)</t>
  </si>
  <si>
    <t>3D68EC023EC934408492A941A20053800000000033910000</t>
  </si>
  <si>
    <t>OEMPRI-3784</t>
  </si>
  <si>
    <t>[OEMPRI-4872] -SPKG</t>
  </si>
  <si>
    <t>OEMPRI-3782 CLONE - Generate PRI Package</t>
  </si>
  <si>
    <t>OEMPRI-3783</t>
  </si>
  <si>
    <t>3D68EC023EC934408492A941A20053800000000033940000</t>
  </si>
  <si>
    <t>[OEMPRI-4867] -Test</t>
  </si>
  <si>
    <t>OEMPRI-3782 CLONE - Confirm FW requirement for PRI</t>
  </si>
  <si>
    <t>Samuel Sun(165)</t>
  </si>
  <si>
    <t>OEMPRI-3781</t>
  </si>
  <si>
    <t>OEMPRI-3772 Confirm MFT requirment for PRI</t>
  </si>
  <si>
    <t>3D68EC023EC934408492A941A20053800000000033930000</t>
  </si>
  <si>
    <t>[OEMPRI-4866] -Test</t>
  </si>
  <si>
    <t>OEMPRI-3780</t>
  </si>
  <si>
    <t>OEMPRI-3776 CONFIRM MFT requirment for PRI</t>
  </si>
  <si>
    <t>3D68EC023EC934408492A941A20053800000000033950000</t>
  </si>
  <si>
    <t>[OEMPRI-4865] - Test</t>
  </si>
  <si>
    <t>OEMPRI-3779</t>
  </si>
  <si>
    <t>OEMPRI-3776 CLONE - Define SKU Number</t>
  </si>
  <si>
    <t>3D68EC023EC934408492A941A20053800000000033970000</t>
  </si>
  <si>
    <t>[OEMPRI-4873] - Test</t>
  </si>
  <si>
    <t>OEMPRI-3778</t>
  </si>
  <si>
    <t>OEMPRI-3776 CLONE - Generate PRI Package</t>
  </si>
  <si>
    <t>OEMPRI-3777</t>
  </si>
  <si>
    <t>3D68EC023EC934408492A941A20053800000000033960000</t>
  </si>
  <si>
    <t>[OEMPRI-4872] - Test</t>
  </si>
  <si>
    <t>Bing Huang(53)</t>
  </si>
  <si>
    <t>OEMPRI-3776 CLONE - Confirm FW requirement for PRI</t>
  </si>
  <si>
    <t>OEMPRI-3776</t>
  </si>
  <si>
    <t>F119BFDAA76478498C2C5D9BC982B4E60000000025D70000</t>
  </si>
  <si>
    <t>[OEMPRI-4871]-[proj#4489]-[ECO-025473]-log confirm</t>
  </si>
  <si>
    <t>1103359_9906968_AR7586_FICOSA_WP9.2B1-SWI9X28A_00.07.04.00-Legato17.06.0.rc2</t>
  </si>
  <si>
    <t>Davy Zhang(23)</t>
  </si>
  <si>
    <t>OEMPRI-3775</t>
  </si>
  <si>
    <t>F119BFDAA76478498C2C5D9BC982B4E60000000025E60000</t>
  </si>
  <si>
    <t>fix 9x28G bug when test spkg</t>
  </si>
  <si>
    <t>OEMPRI-3772 Define SKU Number</t>
  </si>
  <si>
    <t>Ben Zheng(157)</t>
  </si>
  <si>
    <t>F119BFDAA76478498C2C5D9BC982B4E60000000025E80000</t>
  </si>
  <si>
    <t>a tool to start FOTA job in command line</t>
  </si>
  <si>
    <t>OEMPRI-3774</t>
  </si>
  <si>
    <t>OEMPRI-3772 Generate PRI Package</t>
  </si>
  <si>
    <t>F119BFDAA76478498C2C5D9BC982B4E60000000025E20000</t>
  </si>
  <si>
    <t>OEMPRI-3773</t>
  </si>
  <si>
    <t>new FOTA spkg job in cnshz-ev-int-10</t>
  </si>
  <si>
    <t>OEMPRI-3772 Confirm FW requirement for PRI</t>
  </si>
  <si>
    <t>OEMPRI-3772</t>
  </si>
  <si>
    <t>3D68EC023EC934408492A941A200538000000000338A0000</t>
  </si>
  <si>
    <t>1103151_9906435_AR7584_Volkswagen:WP9.2B1-SWI9X28A_00.07.04.00-Legato17.06.0.rc2</t>
  </si>
  <si>
    <t>[OEMPRI-4962] - SPKG</t>
  </si>
  <si>
    <t>OEMPRI-3782</t>
  </si>
  <si>
    <t>1103371_9906986_AR7586(4G/2G)_MM_WP9.2B1-SWI9X28A_00.07.04.00-Legato17.06.0.rc2</t>
  </si>
  <si>
    <t>3D68EC023EC934408492A941A200538000000000338B0000</t>
  </si>
  <si>
    <t>[OEMPRI-4962] - Test</t>
  </si>
  <si>
    <t>OEMPRI-3761</t>
  </si>
  <si>
    <t>OEMPRI-3592 Please clarify which carrier VoLTE need to configure on AR7588</t>
  </si>
  <si>
    <t>3D68EC023EC934408492A941A200538000000000338C0000</t>
  </si>
  <si>
    <t>[OEMPRI-4960] - SPKG</t>
  </si>
  <si>
    <t>Samuel Sun(161)</t>
  </si>
  <si>
    <t>OEMPRI-3757</t>
  </si>
  <si>
    <t>Hugh Yao(22)</t>
  </si>
  <si>
    <t>OEMPRI-3588 Please provided and review ATT VOLTE configuration</t>
  </si>
  <si>
    <t>3D68EC023EC934408492A941A200538000000000338D0000</t>
  </si>
  <si>
    <t>[OEMPRI-4960] - Test</t>
  </si>
  <si>
    <t>OEMPRI-3755</t>
  </si>
  <si>
    <t>[Customer template] 9x28 update to add various changes</t>
  </si>
  <si>
    <t>Wilson Lin – Richmond(0)</t>
  </si>
  <si>
    <t>Golden Shen(155)</t>
  </si>
  <si>
    <t>F119BFDAA76478498C2C5D9BC982B4E60000000025E70000</t>
  </si>
  <si>
    <t>a tool to copy jenkins job from two jenkins server</t>
  </si>
  <si>
    <t>OEMPRI-3754</t>
  </si>
  <si>
    <t>Cassie Sheng(11)</t>
  </si>
  <si>
    <t>OEMPRI-3751 CLONE - CLONE - CLONE - PRI Review Request</t>
  </si>
  <si>
    <t>F119BFDAA76478498C2C5D9BC982B4E60000000025DF0000</t>
  </si>
  <si>
    <t>OEMPRI-3753</t>
  </si>
  <si>
    <t>[OEMPRI-4869]-[proj#4487]-[ECO-025425]-svt spkg and approve</t>
  </si>
  <si>
    <t>OEMPRI-3751 CLONE - CLONE - CLONE - Please provide R&amp;D requirement for package creation.</t>
  </si>
  <si>
    <t>F119BFDAA76478498C2C5D9BC982B4E60000000025D10000</t>
  </si>
  <si>
    <t>[OEMPRI-4874]-[proj#4492]-[ECO-025478]-log confirm</t>
  </si>
  <si>
    <t>OEMPRI-3752</t>
  </si>
  <si>
    <t>OEMPRI-3751 CLONE - CLONE - CLONE - Tool for AR7592 PRI</t>
  </si>
  <si>
    <t>F119BFDAA76478498C2C5D9BC982B4E60000000025DC0000</t>
  </si>
  <si>
    <t>[OEMPRI-4817]-[proj#4481]-[ECO-025484]-svt spkg and approve</t>
  </si>
  <si>
    <t>OEMPRI-3750</t>
  </si>
  <si>
    <t>F119BFDAA76478498C2C5D9BC982B4E60000000025E10000</t>
  </si>
  <si>
    <t>OEMPRI-3745 CLONE - PRI REVIEW</t>
  </si>
  <si>
    <t>[OEMPRI-4760]-[proj#4393]-[TDN-012567]-log confirm</t>
  </si>
  <si>
    <t>Davy Zhang(15)</t>
  </si>
  <si>
    <t>OEMPRI-3749</t>
  </si>
  <si>
    <t>F119BFDAA76478498C2C5D9BC982B4E60000000025DE0000</t>
  </si>
  <si>
    <t>[OEMPRI-4869]-[proj#4487]-[ECO-025425]-update</t>
  </si>
  <si>
    <t>OEMPRI-3748</t>
  </si>
  <si>
    <t>OEMPRI-3747</t>
  </si>
  <si>
    <t>3D68EC023EC934408492A941A20053800000000033880000</t>
  </si>
  <si>
    <t>[OEMPRI-4650] - SPKG</t>
  </si>
  <si>
    <t>OEMPRI-3745 CLONE - CLONE - CLONE - CLONE - CLONE - Please confirm requirements from FW side.</t>
  </si>
  <si>
    <t>Davy Zhang(170)</t>
  </si>
  <si>
    <t>3D68EC023EC934408492A941A20053800000000033890000</t>
  </si>
  <si>
    <t>[OEMPRI-4650] - Test</t>
  </si>
  <si>
    <t>OEMPRI-3746</t>
  </si>
  <si>
    <t>OEMPRI-3745 CLONE - CLONE - CLONE - CLONE - Manufacturing Tool</t>
  </si>
  <si>
    <t>F119BFDAA76478498C2C5D9BC982B4E60000000025D60000</t>
  </si>
  <si>
    <t>[OEMPRI-4871]-[proj#4489]-[ECO-025473]-svt spkg and approve</t>
  </si>
  <si>
    <t>OEMPRI-3759</t>
  </si>
  <si>
    <t>1102407 Package update with new FDT4482</t>
  </si>
  <si>
    <t>F119BFDAA76478498C2C5D9BC982B4E60000000025C80000</t>
  </si>
  <si>
    <t>[OEMPRI-4870]-[proj#4488]-[ECO-025423]-log confirm</t>
  </si>
  <si>
    <t>OEMPRI-3756</t>
  </si>
  <si>
    <t>Cisco SKU 1102037, update package to use FDT 4482</t>
  </si>
  <si>
    <t>F119BFDAA76478498C2C5D9BC982B4E60000000025CE0000</t>
  </si>
  <si>
    <t>[OEMPRI-4816]-[proj#4480]-[ECO-025362]-log confirm</t>
  </si>
  <si>
    <t>OEMPRI-3751</t>
  </si>
  <si>
    <t>1103102_9906297_AR7592(4g4g)_Alpha9 (01.08.05.00)_Generic</t>
  </si>
  <si>
    <t>F119BFDAA76478498C2C5D9BC982B4E60000000025D90000</t>
  </si>
  <si>
    <t>[OEMPRI-4862]-[proj#4430]-[ECO-025337]-svt spkg and approve</t>
  </si>
  <si>
    <t>OEMPRI-3745</t>
  </si>
  <si>
    <t>F119BFDAA76478498C2C5D9BC982B4E60000000025CB0000</t>
  </si>
  <si>
    <t>OEMPRI-3715</t>
  </si>
  <si>
    <t>[OEMPRI-4868]-[proj#4486]-[ECO-025423]-log confirm</t>
  </si>
  <si>
    <t>1102503_9904462_AR7554RD_Ficosa _EU_Generic_WP17.3 package with AR855x USB PID for fixing GPS return wrong date issue</t>
  </si>
  <si>
    <t>James Wang(4)</t>
  </si>
  <si>
    <t>OEMPRI-3714</t>
  </si>
  <si>
    <t>F119BFDAA76478498C2C5D9BC982B4E60000000025D80000</t>
  </si>
  <si>
    <t>1102503_9904462_AR7554RD_Ficosa _WP17.3 package for fix GPS return wrong date issue</t>
  </si>
  <si>
    <t>[OEMPRI-4862]-[proj#4430]-[ECO-025337]-update</t>
  </si>
  <si>
    <t>OEMPRI-3708</t>
  </si>
  <si>
    <t>NVUP to Update NV5280 for FW</t>
  </si>
  <si>
    <t>3D68EC023EC934408492A941A20053800000000033850000</t>
  </si>
  <si>
    <t>OEMPRI-3701</t>
  </si>
  <si>
    <t>[OEMPRI-5000] - SPKG</t>
  </si>
  <si>
    <t>9102008_5502008_AR7582_ATT_Create AVL Package</t>
  </si>
  <si>
    <t>OEMPRI-3700</t>
  </si>
  <si>
    <t>3D68EC023EC934408492A941A20053800000000033860000</t>
  </si>
  <si>
    <t>9101001_9906833_AR7584_00.07.05.00_00_GCFLab_001.000_000</t>
  </si>
  <si>
    <t>[OEMPRI-5000] - TEST</t>
  </si>
  <si>
    <t>OEMPRI-3698</t>
  </si>
  <si>
    <t>9102001_9906832_AR7582_00.07.05.00_00_PCTRB_001.000_000</t>
  </si>
  <si>
    <t>3D68EC023EC934408492A941A20053800000000033870000</t>
  </si>
  <si>
    <t>[OEMPRI-5000] - Jenkins process trial</t>
  </si>
  <si>
    <t>OEMPRI-3676</t>
  </si>
  <si>
    <t>9101000_9906809_AR7592_01.08.07.00_00_ATTLab_000.005_000</t>
  </si>
  <si>
    <t>F119BFDAA76478498C2C5D9BC982B4E60000000025DB0000</t>
  </si>
  <si>
    <t>[OEMPRI-4817]-[proj#4481]-[ECO-025484]-update</t>
  </si>
  <si>
    <t>OEMPRI-3675</t>
  </si>
  <si>
    <t>[9x28][Carrier template] upate</t>
  </si>
  <si>
    <t>F119BFDAA76478498C2C5D9BC982B4E60000000025D40000</t>
  </si>
  <si>
    <t>OEMPRI-3660</t>
  </si>
  <si>
    <t>OEMPRI ticket blocked reason classify and make it like checklist</t>
  </si>
  <si>
    <t>OEMPRI-3658 configuration environment confirmation for VOLTE active in this SKU</t>
  </si>
  <si>
    <t>OEMPRI-3659</t>
  </si>
  <si>
    <t>F119BFDAA76478498C2C5D9BC982B4E60000000025D20000</t>
  </si>
  <si>
    <t>jira ticket can not assign to other(from lares)</t>
  </si>
  <si>
    <t>OEMPRI-3658 FW requirement for VOLTE active</t>
  </si>
  <si>
    <t>OEMPRI-3658</t>
  </si>
  <si>
    <t>1103359_9906968_AR7586(4G/2G)_FW(00.04.17.00)_Ficosa</t>
  </si>
  <si>
    <t>3D68EC023EC934408492A941A20053800000000033800000</t>
  </si>
  <si>
    <t>OEMPRI-3656</t>
  </si>
  <si>
    <t>[COUGAR-2194] Delta Image(WP11.3B2) &lt;-&gt;WP10.3B2</t>
  </si>
  <si>
    <t>OEMPRI-3565 CRN confirmation</t>
  </si>
  <si>
    <t>OEMPRI-3655</t>
  </si>
  <si>
    <t>OEMPRI-3553 CRN confirmation</t>
  </si>
  <si>
    <t>3D68EC023EC934408492A941A20053800000000033810000</t>
  </si>
  <si>
    <t>[OEMPRI-4869] - SPKG</t>
  </si>
  <si>
    <t>OEMPRI-3630</t>
  </si>
  <si>
    <t>OEMPRI-3436 REVIEW OEMPRI-3436 - 9101001_9906831_AR7594_GCF_Update Beta Package</t>
  </si>
  <si>
    <t>OEMPRI-3632</t>
  </si>
  <si>
    <t>3D68EC023EC934408492A941A20053800000000033820000</t>
  </si>
  <si>
    <t>1103207_9906620_AR7596_VW_create_Alpha9_field_package</t>
  </si>
  <si>
    <t>[OEMPRI-4869] - Test</t>
  </si>
  <si>
    <t>OEMPRI-3631</t>
  </si>
  <si>
    <t>1103211_9906625_AR7598_VW_create_Alpha9_field_package</t>
  </si>
  <si>
    <t>3D68EC023EC934408492A941A20053800000000033830000</t>
  </si>
  <si>
    <t>[OEMPRI-4871] - SPKG</t>
  </si>
  <si>
    <t>OEMPRI-3615</t>
  </si>
  <si>
    <t>Coxi Zhou</t>
  </si>
  <si>
    <t>9101001_9906831_AR7594_01.06.08.00_00_GCFLab_000.003_000</t>
  </si>
  <si>
    <t>3D68EC023EC934408492A941A20053800000000033840000</t>
  </si>
  <si>
    <t>[OEMPRI-4871] - Test</t>
  </si>
  <si>
    <t>OEMPRI-3613</t>
  </si>
  <si>
    <t>1103493_9907246_AR7552RD_Panasonic_AT&amp;T_update with WP19.0</t>
  </si>
  <si>
    <t>Ben Zheng(166)</t>
  </si>
  <si>
    <t>F119BFDAA76478498C2C5D9BC982B4E60000000025D50000</t>
  </si>
  <si>
    <t>[OEMPRI-4871]-[proj#4489]-[ECO-025473]-update</t>
  </si>
  <si>
    <t>OEMPRI-3607</t>
  </si>
  <si>
    <t>1103093_9906279_AR7552RD_Panasonic_AT&amp;T_update with WP19.0</t>
  </si>
  <si>
    <t>3D68EC023EC934408492A941A200538000000000337E0000</t>
  </si>
  <si>
    <t>[OEMPRI-4032] - SPKG</t>
  </si>
  <si>
    <t>OEMPRI-3603</t>
  </si>
  <si>
    <t>OEMPRI-3600 CRN confirmation</t>
  </si>
  <si>
    <t>3D68EC023EC934408492A941A200538000000000337F0000</t>
  </si>
  <si>
    <t>OEMPRI-3602</t>
  </si>
  <si>
    <t>[OEMPRI-4032] - Test</t>
  </si>
  <si>
    <t>OEMPRI-3600 FW requirement for WP8.3B1 Fiocsa AR8582 SKU release</t>
  </si>
  <si>
    <t>Bing Huang(23)</t>
  </si>
  <si>
    <t>OEMPRI-3601</t>
  </si>
  <si>
    <t>OEMPRI-3600 Confirm configuration environment for WP8.3B1 SKU package release</t>
  </si>
  <si>
    <t>F119BFDAA76478498C2C5D9BC982B4E60000000025CF0000</t>
  </si>
  <si>
    <t>OEMPRI-3599</t>
  </si>
  <si>
    <t>[OEMPRI-4874]-[proj#4492]-[ECO-025478]-update</t>
  </si>
  <si>
    <t>OEMPRI-3596 CRN confirmation</t>
  </si>
  <si>
    <t>OEMPRI-3598</t>
  </si>
  <si>
    <t>OEMPRI-3596 FW requirement for WP8.3B1 full package for AR7586 Lanyou</t>
  </si>
  <si>
    <t>F119BFDAA76478498C2C5D9BC982B4E60000000025D00000</t>
  </si>
  <si>
    <t>Tiejun Fu(8)</t>
  </si>
  <si>
    <t>OEMPRI-3597</t>
  </si>
  <si>
    <t>[OEMPRI-4874]-[proj#4492]-[ECO-025478]-svt spkg and approve</t>
  </si>
  <si>
    <t>OEMPRI-3596 Confirm configuration environment for WP8.3B1 full package release</t>
  </si>
  <si>
    <t>OEMPRI-3595</t>
  </si>
  <si>
    <t>OEMPRI-3592 Please confirm configuration envrionment for WP8.3B1 PRI package release</t>
  </si>
  <si>
    <t>F119BFDAA76478498C2C5D9BC982B4E60000000025D30000</t>
  </si>
  <si>
    <t>check request deadline discuss</t>
  </si>
  <si>
    <t>OEMPRI-3594</t>
  </si>
  <si>
    <t>OEMPRI-3592 CRN confirmation</t>
  </si>
  <si>
    <t>OEMPRI-3593</t>
  </si>
  <si>
    <t>OEMPRI-3592 Confirm FW requirement for WP8.3B1 full package release for AR7588 Ficosa</t>
  </si>
  <si>
    <t>F119BFDAA76478498C2C5D9BC982B4E60000000025CA0000</t>
  </si>
  <si>
    <t>[OEMPRI-4868]-[proj#4486]-[ECO-025423]-svt spkg and approve</t>
  </si>
  <si>
    <t>Ben Zheng(19)</t>
  </si>
  <si>
    <t>OEMPRI-3590</t>
  </si>
  <si>
    <t>OEMPRI-3588 Please confirm FW requirement for this SKU release</t>
  </si>
  <si>
    <t>F119BFDAA76478498C2C5D9BC982B4E60000000025CC0000</t>
  </si>
  <si>
    <t>[OEMPRI-4816]-[proj#4480]-[ECO-025362]-update</t>
  </si>
  <si>
    <t>OEMPRI-3589</t>
  </si>
  <si>
    <t>OEMPRI-3588 Please confirm configuration environment</t>
  </si>
  <si>
    <t>OEMPRI-3586</t>
  </si>
  <si>
    <t>1103049_9906093_AR7594_Generic_create_Alpha9_package</t>
  </si>
  <si>
    <t>F119BFDAA76478498C2C5D9BC982B4E60000000025CD0000</t>
  </si>
  <si>
    <t>[OEMPRI-4816]-[proj#4480]-[ECO-025362]-svt spkg and approve</t>
  </si>
  <si>
    <t>OEMPRI-3585</t>
  </si>
  <si>
    <t>Create Test Package for Multi MBN Test on AR7582</t>
  </si>
  <si>
    <t>OEMPRI-3600</t>
  </si>
  <si>
    <t>8F68602D381C9341BDC80D7537C7FEE200000000330D0000</t>
  </si>
  <si>
    <t>1103361_9906970_AR8582(4G/2G)_FW(00.06.05.00)_Ficosa</t>
  </si>
  <si>
    <t>fix Klocwork defect for swicwe tool</t>
  </si>
  <si>
    <t>Colin Lin</t>
  </si>
  <si>
    <t>OEMPRI-3596</t>
  </si>
  <si>
    <t>1103362_9906977_AR7586(4G/2G)_Alpha6(00.06.05.00)_Lanyou</t>
  </si>
  <si>
    <t>OEMPRI-3592</t>
  </si>
  <si>
    <t>CABC13619704C6418CD791C82D7CDF1C00CCE3A3A0290000</t>
  </si>
  <si>
    <t>QTI9x28-1989</t>
  </si>
  <si>
    <t>NVUP, Daily</t>
  </si>
  <si>
    <t>1103360_9906969_AR7588(4G/2G)_Alpha6(00.06.05.00)_Ficosa</t>
  </si>
  <si>
    <t>OEMPRI-3588</t>
  </si>
  <si>
    <t>1103379_9907000_AR7582(4G/2G)_Alpha6(00.06.05.00)_Ficosa</t>
  </si>
  <si>
    <t>CABC13619704C6418CD791C82D7CDF1C00CCE3A3A02A0000</t>
  </si>
  <si>
    <t>foto package for coline</t>
  </si>
  <si>
    <t>Package, Office</t>
  </si>
  <si>
    <t>OEMPRI-3587</t>
  </si>
  <si>
    <t>1103210_9906623_AR7592_VW_create_Alpha9_package</t>
  </si>
  <si>
    <t>OEMPRI-3576</t>
  </si>
  <si>
    <t>CABC13619704C6418CD791C82D7CDF1C00CCE3A3A02B0000</t>
  </si>
  <si>
    <t>9102002_9906833_AR8582_00.06.05.00_00_GCFLab_000.002_000</t>
  </si>
  <si>
    <t>SWICWE update patch.</t>
  </si>
  <si>
    <t>OEMPRI-3567</t>
  </si>
  <si>
    <t>OEMPRI-3565 Configuration environment for Alpha6 PRI package release</t>
  </si>
  <si>
    <t>Golden Shen(6)</t>
  </si>
  <si>
    <t>F119BFDAA76478498C2C5D9BC982B4E60000000025C90000</t>
  </si>
  <si>
    <t>[OEMPRI-4868]-[proj#4486]-[ECO-025423]-update</t>
  </si>
  <si>
    <t>OEMPRI-3566</t>
  </si>
  <si>
    <t>OEMPRI-3565 Confirm FW requirement for WP8.3 full package release for AR7588 VW</t>
  </si>
  <si>
    <t>F119BFDAA76478498C2C5D9BC982B4E60000000025C70000</t>
  </si>
  <si>
    <t>OEMPRI-3556</t>
  </si>
  <si>
    <t>[OEMPRI-4870]-[proj#4488]-[ECO-025423]-svt spkg and approve</t>
  </si>
  <si>
    <t>OEMPRI-3553 Configuration environment for Alpha6 PRI package release</t>
  </si>
  <si>
    <t>OEMPRI-3555</t>
  </si>
  <si>
    <t>8F68602D381C9341BDC80D7537C7FEE200000000330C0000</t>
  </si>
  <si>
    <t>OEMPRI-3553 Confirm FW requirement for WP8.3 full package release for AR7582 VW</t>
  </si>
  <si>
    <t>one click for AT command</t>
  </si>
  <si>
    <t>OEMPRI-3554</t>
  </si>
  <si>
    <t>F119BFDAA76478498C2C5D9BC982B4E60000000025C60000</t>
  </si>
  <si>
    <t>[OEMPRI-4870]-[proj#4488]-[ECO-025423]-update</t>
  </si>
  <si>
    <t>Tiejun Fu(6)</t>
  </si>
  <si>
    <t>Ben Zheng(20)</t>
  </si>
  <si>
    <t>OEMPRI-3552</t>
  </si>
  <si>
    <t>1103367_9906982_AR7582(4G/4G)_Alpha6(00.06.05.00)_VW</t>
  </si>
  <si>
    <t>3D68EC023EC934408492A941A200538000000000337D0000</t>
  </si>
  <si>
    <t>OEMPRI-3542</t>
  </si>
  <si>
    <t>[OEMPRI-4761] - Test</t>
  </si>
  <si>
    <t>OEMPRI-3481 REVIEW OEMPRI-3481 -103204_9906619_AR7594_VW_create_Alpha9_package</t>
  </si>
  <si>
    <t>James Wang(9)</t>
  </si>
  <si>
    <t>Roger Wang(9)</t>
  </si>
  <si>
    <t>OEMPRI-3541</t>
  </si>
  <si>
    <t>3D68EC023EC934408492A941A20053800000000033780000</t>
  </si>
  <si>
    <t>OEMPRI-3538 Please confirm configuration environment</t>
  </si>
  <si>
    <t>OEMPRI-3540</t>
  </si>
  <si>
    <t>8F68602D381C9341BDC80D7537C7FEE20000000033080000</t>
  </si>
  <si>
    <t>OEMPRI-3538 CRN confirmation</t>
  </si>
  <si>
    <t>optimization for the firmware update one-click tool</t>
  </si>
  <si>
    <t>OEMPRI-3539</t>
  </si>
  <si>
    <t>Eco Chen [X]</t>
  </si>
  <si>
    <t>OEMPRI-3538 Please confirm FW requirement for this SKU release</t>
  </si>
  <si>
    <t>F119BFDAA76478498C2C5D9BC982B4E60000000025C40000</t>
  </si>
  <si>
    <t>[OEMPRI-4615]-[proj#4200]-[TDN-012266]-log confirm</t>
  </si>
  <si>
    <t>OEMPRI-3536</t>
  </si>
  <si>
    <t>OEMPRI-3534 CRN confirmation</t>
  </si>
  <si>
    <t>8F68602D381C9341BDC80D7537C7FEE200000000330B0000</t>
  </si>
  <si>
    <t>fix bug for swicwe tool</t>
  </si>
  <si>
    <t>Eco Chen(4)</t>
  </si>
  <si>
    <t>OEMPRI-3535</t>
  </si>
  <si>
    <t>Eco Chen(0)</t>
  </si>
  <si>
    <t>Eco Chen(2)</t>
  </si>
  <si>
    <t>OEMPRI-3534 Please confirm FW requirement for this SKU release</t>
  </si>
  <si>
    <t>3D68EC023EC934408492A941A200538000000000337A0000</t>
  </si>
  <si>
    <t>[OEMPRI-4477] - Retest</t>
  </si>
  <si>
    <t>3D68EC023EC934408492A941A20053800000000033790000</t>
  </si>
  <si>
    <t>[OEMPRI-4477] - Regenerate</t>
  </si>
  <si>
    <t>3D68EC023EC934408492A941A200538000000000337C0000</t>
  </si>
  <si>
    <t>OEMPRI-3538</t>
  </si>
  <si>
    <t>[OEMPRI-4479] - Retest</t>
  </si>
  <si>
    <t>1103378_9906998_AR7584(4G/2G)_Alpha6(00.06.05.00)_Ficosa</t>
  </si>
  <si>
    <t>3D68EC023EC934408492A941A200538000000000337B0000</t>
  </si>
  <si>
    <t>OEMPRI-3534</t>
  </si>
  <si>
    <t>[OEMPRI-4479] - Regenerate</t>
  </si>
  <si>
    <t>1103359_9906968_AR7586(4G/2G)_Alpha6(00.06.05.00)_Ficosa</t>
  </si>
  <si>
    <t>OEMPRI-3481</t>
  </si>
  <si>
    <t>F119BFDAA76478498C2C5D9BC982B4E60000000025C30000</t>
  </si>
  <si>
    <t>[OEMPRI-4615]-[proj#4200]-[TDN-012266]-svt spkg and approve</t>
  </si>
  <si>
    <t>1103204_9906619_AR7594_VW_create_Alpha9_package</t>
  </si>
  <si>
    <t>OEMPRI-3479</t>
  </si>
  <si>
    <t>1103556_9907406_MC7354,GENERIC,SPRINT,05.05.63.01,,,GNSS=AB,SWIR IMEI,,M2M QUALIFIED</t>
  </si>
  <si>
    <t>F119BFDAA76478498C2C5D9BC982B4E60000000025BE0000</t>
  </si>
  <si>
    <t>[OEMPRI-4815]-[proj#4479]-[ECO-025352]-log confirm</t>
  </si>
  <si>
    <t>OEMPRI-3471</t>
  </si>
  <si>
    <t>Wilson Lin – Shenzhen(0)</t>
  </si>
  <si>
    <t>Hugh Yao(13)</t>
  </si>
  <si>
    <t>OEMPRI-3385 PRI review request.</t>
  </si>
  <si>
    <t>F119BFDAA76478498C2C5D9BC982B4E60000000025C00000</t>
  </si>
  <si>
    <t>OEMPRI-3464</t>
  </si>
  <si>
    <t>[OEMPRI-4814]-[proj#4478]-[ECO-025352]-log confirm</t>
  </si>
  <si>
    <t>Ben Zheng(37)</t>
  </si>
  <si>
    <t>OEMPRI-3381 REVIEW OEMPRI-3381 - [AR7594] Create VW PRI for Beta release</t>
  </si>
  <si>
    <t>Hugh Yao(4)</t>
  </si>
  <si>
    <t>OEMPRI-3438</t>
  </si>
  <si>
    <t>F119BFDAA76478498C2C5D9BC982B4E60000000025C20000</t>
  </si>
  <si>
    <t>[OEMPRI-4615]-[proj#4200]-[TDN-012266]-update</t>
  </si>
  <si>
    <t>9999999_9906909_AR7594_Update carrier PRI for EE-UK</t>
  </si>
  <si>
    <t>OEMPRI-3436</t>
  </si>
  <si>
    <t>F119BFDAA76478498C2C5D9BC982B4E60000000025C50000</t>
  </si>
  <si>
    <t>9101001_9906831_AR7594_01.06.08.01_00_GCFLab_000.004_000</t>
  </si>
  <si>
    <t>timesheet for september</t>
  </si>
  <si>
    <t>OEMPRI-3407</t>
  </si>
  <si>
    <t>OEMPRI-3406 Confirm FW requirement for this SKU WP8.3B1 full package release</t>
  </si>
  <si>
    <t>OEMPRI-3406</t>
  </si>
  <si>
    <t>3D68EC023EC934408492A941A20053800000000033740000</t>
  </si>
  <si>
    <t>[OEMPRI-4477] - Re-gen SPKG</t>
  </si>
  <si>
    <t>3D68EC023EC934408492A941A20053800000000033750000</t>
  </si>
  <si>
    <t>OEMPRI-3404</t>
  </si>
  <si>
    <t>[OEMPRI-4477] - Re-Test</t>
  </si>
  <si>
    <t>1103211_9906625_AR7598_01.06.08.00_00_VW_000.005_000</t>
  </si>
  <si>
    <t>OEMPRI-3385</t>
  </si>
  <si>
    <t>3D68EC023EC934408492A941A20053800000000033760000</t>
  </si>
  <si>
    <t>[OEMPRI-4479] - Re-gen SPKG</t>
  </si>
  <si>
    <t>1103207_9906620_AR7596_VW_Create Beta package</t>
  </si>
  <si>
    <t>OEMPRI-3381</t>
  </si>
  <si>
    <t>[AR7594] Create VW PRI for Alpha-8 release</t>
  </si>
  <si>
    <t>3D68EC023EC934408492A941A20053800000000033770000</t>
  </si>
  <si>
    <t>[OEMPRI-4479] - Re-Test</t>
  </si>
  <si>
    <t>OEMPRI-3345</t>
  </si>
  <si>
    <t>OEMPRI-3343 Confirm configuration requirement for this package release</t>
  </si>
  <si>
    <t>F119BFDAA76478498C2C5D9BC982B4E60000000025540000</t>
  </si>
  <si>
    <t>[]module name missing problem</t>
  </si>
  <si>
    <t>OEMPRI-3342</t>
  </si>
  <si>
    <t>OEMPRI-3340 Confirm configuration requirement for this package release</t>
  </si>
  <si>
    <t>8F68602D381C9341BDC80D7537C7FEE20000000033070000</t>
  </si>
  <si>
    <t>handle all exception of audio NVUP tool and return indicate code</t>
  </si>
  <si>
    <t>OEMPRI-3343</t>
  </si>
  <si>
    <t>1103223_9906693_AR7586(4G/4G)_Alpha6(00.06.03.00)_VW</t>
  </si>
  <si>
    <t>3D68EC023EC934408492A941A200538000000000336E0000</t>
  </si>
  <si>
    <t>OEMPRI-3340</t>
  </si>
  <si>
    <t>[OEMPRI-4474] - Re-generate</t>
  </si>
  <si>
    <t>OEMPRI-3331</t>
  </si>
  <si>
    <t>3D68EC023EC934408492A941A200538000000000336F0000</t>
  </si>
  <si>
    <t>[OEMPRI-4474] - Re-test</t>
  </si>
  <si>
    <t>PRI update for 10up fixture for HL3450 1102783</t>
  </si>
  <si>
    <t>OEMPRI-3316</t>
  </si>
  <si>
    <t>9101000_9906809_AR7592_01.08.00.00_00_ATTLab_000.003_000</t>
  </si>
  <si>
    <t>3D68EC023EC934408492A941A20053800000000033700000</t>
  </si>
  <si>
    <t>OEMPRI-3301</t>
  </si>
  <si>
    <t>[OEMPRI-4474] - DumpDiff</t>
  </si>
  <si>
    <t>OEMPRI-3298 Confirm configuration environment for the SKU release</t>
  </si>
  <si>
    <t>OEMPRI-3300</t>
  </si>
  <si>
    <t>Please confirm FW requirement for the SKU release</t>
  </si>
  <si>
    <t>3D68EC023EC934408492A941A20053800000000033710000</t>
  </si>
  <si>
    <t>OEMPRI-3298</t>
  </si>
  <si>
    <t>[OEMPRI-4477] - Re-generate</t>
  </si>
  <si>
    <t>1103367_9906982_AR7582(4G/4G)_FW(00.04.17.02)_VW</t>
  </si>
  <si>
    <t>OEMPRI-3227</t>
  </si>
  <si>
    <t>OEMPRI-3113 OEMPRI-3113 PRI Review.</t>
  </si>
  <si>
    <t>Zipeng Sun</t>
  </si>
  <si>
    <t>3D68EC023EC934408492A941A20053800000000033720000</t>
  </si>
  <si>
    <t>[OEMPRI-4477] - Re-test</t>
  </si>
  <si>
    <t>OEMPRI-3226</t>
  </si>
  <si>
    <t>OEMPRI-3113 OEMPRI-3113 PRI review</t>
  </si>
  <si>
    <t>David Rust</t>
  </si>
  <si>
    <t>F119BFDAA76478498C2C5D9BC982B4E60000000025BC0000</t>
  </si>
  <si>
    <t>OEMPRI-3218</t>
  </si>
  <si>
    <t>[OEMPRI-4815]-[proj#4479]-[ECO-025352]-update</t>
  </si>
  <si>
    <t>OEMPRI-3116 [OEMPRI-3116] 1103211_9906625_AR7598_VW_Create NTTD package PRI review.</t>
  </si>
  <si>
    <t>Hugh Yao*(0)</t>
  </si>
  <si>
    <t>Vincent Liu</t>
  </si>
  <si>
    <t>OEMPRI-3216</t>
  </si>
  <si>
    <t>F119BFDAA76478498C2C5D9BC982B4E60000000025BD0000</t>
  </si>
  <si>
    <t>[OEMPRI-4815]-[proj#4479]-[ECO-025352]-svt spkg and approve</t>
  </si>
  <si>
    <t>OEMPRI-3219</t>
  </si>
  <si>
    <t>F119BFDAA76478498C2C5D9BC982B4E60000000025BF0000</t>
  </si>
  <si>
    <t>Enable dual system download</t>
  </si>
  <si>
    <t>[OEMPRI-4814]-[proj#4478]-[ECO-025352]-update</t>
  </si>
  <si>
    <t>OEMPRI-3208</t>
  </si>
  <si>
    <t>1102493_9904452_AR7552RD_Panasonic_AT&amp;T_update with WP19.0</t>
  </si>
  <si>
    <t>F119BFDAA76478498C2C5D9BC982B4E60000000025C10000</t>
  </si>
  <si>
    <t>[OEMPRI-4814]-[proj#4478]-[ECO-025352]-svt spkg and approve</t>
  </si>
  <si>
    <t>OEMPRI-3190</t>
  </si>
  <si>
    <t>OEMPRI-3112 OEMPRI-3112 PRI review</t>
  </si>
  <si>
    <t>F119BFDAA76478498C2C5D9BC982B4E60000000025B90000</t>
  </si>
  <si>
    <t>[OEMPRI-4760]-[proj#4393]-[TDN-012519]-svt spkg and approve</t>
  </si>
  <si>
    <t>OEMPRI-3189</t>
  </si>
  <si>
    <t>OEMPRI-3112 OEMPRI-3112 PRI reveiw</t>
  </si>
  <si>
    <t>Lares Yang(17)</t>
  </si>
  <si>
    <t>F119BFDAA76478498C2C5D9BC982B4E60000000025BA0000</t>
  </si>
  <si>
    <t>OEMPRI-3188</t>
  </si>
  <si>
    <t>[OEMPRI-4760]-[proj#4393]-[TDN-012519]-log confirm</t>
  </si>
  <si>
    <t>OEMPRI-3180</t>
  </si>
  <si>
    <t>F119BFDAA76478498C2C5D9BC982B4E60000000025B80000</t>
  </si>
  <si>
    <t>[OEMPRI-4760]-[proj#4393]-[TDN-012519]-update</t>
  </si>
  <si>
    <t>MC7350/MC7350 VzW package for MR with FW SWI9X15C_05.05.58.04</t>
  </si>
  <si>
    <t>OEMPRI-3171</t>
  </si>
  <si>
    <t>8F68602D381C9341BDC80D7537C7FEE20000000033060000</t>
  </si>
  <si>
    <t xml:space="preserve">add DM port detection for audio NVUP tool </t>
  </si>
  <si>
    <t>9102001_9906832_AR7582_00.06.03.00_00_PCTRB_000.002_000</t>
  </si>
  <si>
    <t>OEMPRI-3156</t>
  </si>
  <si>
    <t>F119BFDAA76478498C2C5D9BC982B4E60000000025BB0000</t>
  </si>
  <si>
    <t>1102493_9904452_AR7552_Panasonic_ATT delta package between WP14.5.1 and WP17.2</t>
  </si>
  <si>
    <t>release folder report for victor</t>
  </si>
  <si>
    <t>OEMPRI-3118</t>
  </si>
  <si>
    <t>MC7354,1103514,Proj#3841,Custom SKU to use customer IMEI. CDMA disable</t>
  </si>
  <si>
    <t>Joanna Xia(15)</t>
  </si>
  <si>
    <t>Joanna Xia(17)</t>
  </si>
  <si>
    <t>OEMPRI-3116</t>
  </si>
  <si>
    <t>OEMPRI-3113</t>
  </si>
  <si>
    <t>F119BFDAA76478498C2C5D9BC982B4E60000000025B00000</t>
  </si>
  <si>
    <t>check fail for OEMPRI-4264</t>
  </si>
  <si>
    <t>Joanna Xia(24)</t>
  </si>
  <si>
    <t>OEMPRI-3112</t>
  </si>
  <si>
    <t>5101000_9906830_AR7592_01.06.08.00_00_PTCRB_000.003_000</t>
  </si>
  <si>
    <t>F119BFDAA76478498C2C5D9BC982B4E60000000025B20000</t>
  </si>
  <si>
    <t>[OEMPRI-4697]-[proj#4329]-[TDN-012407]-svt spkg and approve</t>
  </si>
  <si>
    <t>Harris Pang(10)</t>
  </si>
  <si>
    <t>OEMPRI-3114</t>
  </si>
  <si>
    <t>1103493_9907246_AR7552RD_Panasonic_AT&amp;T_with WP17.2</t>
  </si>
  <si>
    <t>F119BFDAA76478498C2C5D9BC982B4E60000000025B30000</t>
  </si>
  <si>
    <t>[OEMPRI-4697]-[proj#4329]-[TDN-012407]-log confirm</t>
  </si>
  <si>
    <t>OEMPRI-3069</t>
  </si>
  <si>
    <t>OEMPRI-3068 CLONE - CLONE - Configure tool for AR7598 DV3.1 sample</t>
  </si>
  <si>
    <t>F119BFDAA76478498C2C5D9BC982B4E60000000025B50000</t>
  </si>
  <si>
    <t>OEMPRI-3065</t>
  </si>
  <si>
    <t>[OEMPRI-4764]-[proj#4482]-[ECO-025363]-svt spkg and approve</t>
  </si>
  <si>
    <t>OEMPRI-3064 CLONE - CLONE - Tool for AR7592 PRI</t>
  </si>
  <si>
    <t>OEMPRI-3063</t>
  </si>
  <si>
    <t>F119BFDAA76478498C2C5D9BC982B4E60000000025B60000</t>
  </si>
  <si>
    <t>[OEMPRI-4764]-[proj#4482]-[ECO-025363]-log confirm</t>
  </si>
  <si>
    <t>OEMPRI-3023 Configure tool for AR7596 Aphal 7 package</t>
  </si>
  <si>
    <t>OEMPRI-3062</t>
  </si>
  <si>
    <t>F119BFDAA76478498C2C5D9BC982B4E60000000025B70000</t>
  </si>
  <si>
    <t>a debug spkg for SWI9X40A_01.08.05.00</t>
  </si>
  <si>
    <t>OEMPRI-3022 Configure tool for AR7596 Aphal 7 package</t>
  </si>
  <si>
    <t>OEMPRI-3068</t>
  </si>
  <si>
    <t>Harris Pang(3)</t>
  </si>
  <si>
    <t>3D68EC023EC934408492A941A200538000000000336B0000</t>
  </si>
  <si>
    <t>1103415_9906995_AR7598(4g4g_Generic)</t>
  </si>
  <si>
    <t>[OEMPRI-4032] - MBN Generate</t>
  </si>
  <si>
    <t>OEMPRI-3064</t>
  </si>
  <si>
    <t>1103102_9906297_AR7592(4g4g)_Beta (01.06.08.00)_Generic</t>
  </si>
  <si>
    <t>F119BFDAA76478498C2C5D9BC982B4E60000000025B10000</t>
  </si>
  <si>
    <t>[OEMPRI-4697]-[proj#4329]-[TDN-012407]-update</t>
  </si>
  <si>
    <t>OEMPRI-3053</t>
  </si>
  <si>
    <t>OEMPRI-3051 Confirm configuration environment for the SKU release</t>
  </si>
  <si>
    <t>F119BFDAA76478498C2C5D9BC982B4E60000000025B40000</t>
  </si>
  <si>
    <t>OEMPRI-3052</t>
  </si>
  <si>
    <t>[OEMPRI-4764]-[proj#4482]-[ECO-025363]-update</t>
  </si>
  <si>
    <t>OEMPRI-3051 Please confirm FW requirement for the SKU release</t>
  </si>
  <si>
    <t>OEMPRI-3050</t>
  </si>
  <si>
    <t>3D68EC023EC934408492A941A200538000000000336C0000</t>
  </si>
  <si>
    <t>OEMPRI-3048 Confirm configuration environment for the SKU release</t>
  </si>
  <si>
    <t>OEMPRI-3049</t>
  </si>
  <si>
    <t>OEMPRI-3048 Please confirm FW requirement for the SKU release</t>
  </si>
  <si>
    <t>F119BFDAA76478498C2C5D9BC982B4E60000000025AE0000</t>
  </si>
  <si>
    <t>MOLAR755XRD-89 Generate via swicwe tool for update psb info</t>
  </si>
  <si>
    <t>OEMPRI-3047</t>
  </si>
  <si>
    <t>OEMPRI-3045 Confirm configuration environment for the SKU release</t>
  </si>
  <si>
    <t>F119BFDAA76478498C2C5D9BC982B4E60000000025AF0000</t>
  </si>
  <si>
    <t xml:space="preserve">change OEMPRI testlog to a standard folder </t>
  </si>
  <si>
    <t>OEMPRI-3046</t>
  </si>
  <si>
    <t>OEMPRI-3045 Please confirm FW requirement for the SKU release</t>
  </si>
  <si>
    <t>3D68EC023EC934408492A941A20053800000000033690000</t>
  </si>
  <si>
    <t>[OEMPRI-4481] - Test</t>
  </si>
  <si>
    <t>OEMPRI-3044</t>
  </si>
  <si>
    <t>OEMPRI-3018 Confirm configuration environment for the SKU release</t>
  </si>
  <si>
    <t>3D68EC023EC934408492A941A200538000000000336A0000</t>
  </si>
  <si>
    <t>OEMPRI-3034</t>
  </si>
  <si>
    <t>[OEMPRI-4482] - Test</t>
  </si>
  <si>
    <t>OEMPRI-3033 CLONE - Configure tool for AR7598 DV3.1 sample</t>
  </si>
  <si>
    <t>OEMPRI-3030</t>
  </si>
  <si>
    <t>OEMPRI-3029 CLONE - Configure tool for AR7592 DV3.1 sample</t>
  </si>
  <si>
    <t>OEMPRI-3027</t>
  </si>
  <si>
    <t>OEMPRI-3025 CLONE - CLONE - CLONE - CLONE - Please confirm requirements from FW side.</t>
  </si>
  <si>
    <t>OEMPRI-3026</t>
  </si>
  <si>
    <t>8F68602D381C9341BDC80D7537C7FEE20000000033050000</t>
  </si>
  <si>
    <t>OEMPRI-3025 CLONE - CLONE - CLONE - Manufacturing Tool</t>
  </si>
  <si>
    <t>Release One-Click upgrade tool for AR7592 ATT LE IFW and FFW</t>
  </si>
  <si>
    <t>OEMPRI-3023</t>
  </si>
  <si>
    <t>1103211_9906625_AR7598_VW_Create Alpha 7 package</t>
  </si>
  <si>
    <t>F119BFDAA76478498C2C5D9BC982B4E60000000025510000</t>
  </si>
  <si>
    <t>[tool]a excel compare tool for package input</t>
  </si>
  <si>
    <t>OEMPRI-3022</t>
  </si>
  <si>
    <t>1103207_9906620_AR7596_VW_Create Alpha 7 package</t>
  </si>
  <si>
    <t>Lares Yang(18)</t>
  </si>
  <si>
    <t>F119BFDAA76478498C2C5D9BC982B4E60000000025AD0000</t>
  </si>
  <si>
    <t>find a release path for release tool internal</t>
  </si>
  <si>
    <t>OEMPRI-3051</t>
  </si>
  <si>
    <t>1103377_9906994_AR8582(4G/2G)_FW(00.04.17.00)_MM</t>
  </si>
  <si>
    <t>OEMPRI-3048</t>
  </si>
  <si>
    <t>3D68EC023EC934408492A941A20053800000000033730000</t>
  </si>
  <si>
    <t>1103367_9906982_AR7582(4G/4G)_FW(00.04.17.00)_VW</t>
  </si>
  <si>
    <t>[OEMPRI-4763] - SPKG</t>
  </si>
  <si>
    <t>OEMPRI-3045</t>
  </si>
  <si>
    <t>1103373_9906988_AR7582(4G/4G)_FW(00.04.17.00)_Generic</t>
  </si>
  <si>
    <t>3D68EC023EC934408492A941A20053800000000033640000</t>
  </si>
  <si>
    <t>[OEMPRI-4763] - Test</t>
  </si>
  <si>
    <t>OEMPRI-3033</t>
  </si>
  <si>
    <t>3D68EC023EC934408492A941A20053800000000033650000</t>
  </si>
  <si>
    <t>[OEMPRI-4479] - SPKG</t>
  </si>
  <si>
    <t>OEMPRI-3029</t>
  </si>
  <si>
    <t>3D68EC023EC934408492A941A20053800000000033660000</t>
  </si>
  <si>
    <t>[OEMPRI-4479] - Test</t>
  </si>
  <si>
    <t>OEMPRI-3025</t>
  </si>
  <si>
    <t>OEMPRI-3024</t>
  </si>
  <si>
    <t>3D68EC023EC934408492A941A20053800000000033670000</t>
  </si>
  <si>
    <t>[OEMPRI-4481] - SPKG</t>
  </si>
  <si>
    <t>OEMPRI-3018</t>
  </si>
  <si>
    <t>1103379_9907000_AR7582(4G/2G)_FW(00.04.17.00)_Ficosa</t>
  </si>
  <si>
    <t>3D68EC023EC934408492A941A20053800000000033680000</t>
  </si>
  <si>
    <t>[OEMPRI-4482] - SPKG</t>
  </si>
  <si>
    <t>OEMPRI-3014</t>
  </si>
  <si>
    <t>OEMPRI-3012 Confirm configuration envrionment for the SKU release</t>
  </si>
  <si>
    <t>3D68EC023EC934408492A941A20053800000000033630000</t>
  </si>
  <si>
    <t>Harris Pang(5)</t>
  </si>
  <si>
    <t>OEMPRI-3013</t>
  </si>
  <si>
    <t>F119BFDAA76478498C2C5D9BC982B4E60000000025A60000</t>
  </si>
  <si>
    <t>OEMPRI-3012 Please confirm FW requirement for the SKU release</t>
  </si>
  <si>
    <t>[OEMPRI-4412]-[proj#4336]-[ECO-025038]-svt spkg and approve</t>
  </si>
  <si>
    <t>OEMPRI-3011</t>
  </si>
  <si>
    <t>3D68EC023EC934408492A941A20053800000000033610000</t>
  </si>
  <si>
    <t>OEMPRI-3009 Confirm configuration environment for the SKU release</t>
  </si>
  <si>
    <t>[OEMPRI-4669] - SPKG</t>
  </si>
  <si>
    <t>OEMPRI-3010</t>
  </si>
  <si>
    <t>OEMPRI-3009 Please confirm FW requirement for the SKU release</t>
  </si>
  <si>
    <t>3D68EC023EC934408492A941A20053800000000033620000</t>
  </si>
  <si>
    <t>[OEMPRI-4669] - Test</t>
  </si>
  <si>
    <t>OEMPRI-3008</t>
  </si>
  <si>
    <t>OEMPRI-3006 Confirm configuration environment for the SKU release</t>
  </si>
  <si>
    <t>F119BFDAA76478498C2C5D9BC982B4E60000000025A70000</t>
  </si>
  <si>
    <t>OEMPRI-3007</t>
  </si>
  <si>
    <t>[OEMPRI-4412]-[proj#4336]-[ECO-025038]-log confirm</t>
  </si>
  <si>
    <t>OEMPRI-3006 Please confirm FW requirement for the SKU release</t>
  </si>
  <si>
    <t>OEMPRI-3005</t>
  </si>
  <si>
    <t>OEMPRI-3003 Confirm configuration envrionment for the SKU release</t>
  </si>
  <si>
    <t>F119BFDAA76478498C2C5D9BC982B4E60000000025A80000</t>
  </si>
  <si>
    <t>[OEMPRI-4582]-[proj#4261]-[TDN-012392]-update skutracker</t>
  </si>
  <si>
    <t>OEMPRI-3004</t>
  </si>
  <si>
    <t>OEMPRI-3003 Please confirm FW requirement for the SKU release</t>
  </si>
  <si>
    <t>F119BFDAA76478498C2C5D9BC982B4E60000000025A90000</t>
  </si>
  <si>
    <t>OEMPRI-3001</t>
  </si>
  <si>
    <t>[OEMPRI-4582]-[proj#4261]-[TDN-012392]-svt spkg and approve</t>
  </si>
  <si>
    <t>OEMPRI-2999 Confirm configuration envrionment for the SKU release</t>
  </si>
  <si>
    <t>Harris Pang(37)</t>
  </si>
  <si>
    <t>OEMPRI-3000</t>
  </si>
  <si>
    <t>F119BFDAA76478498C2C5D9BC982B4E60000000025AA0000</t>
  </si>
  <si>
    <t>[OEMPRI-4582]-[proj#4261]-[TDN-012392]-log confirm</t>
  </si>
  <si>
    <t>OEMPRI-2999 Please confirm FW requirement for the SKU release</t>
  </si>
  <si>
    <t>OEMPRI-2999</t>
  </si>
  <si>
    <t>1103151_9906435_AR7584(4G/4G)_FW(00.04.17.00)_VW</t>
  </si>
  <si>
    <t>F119BFDAA76478498C2C5D9BC982B4E60000000025A50000</t>
  </si>
  <si>
    <t>[OEMPRI-4412]-[proj#4336]-[ECO-025038]-update skutracker</t>
  </si>
  <si>
    <t>OEMPRI-2998</t>
  </si>
  <si>
    <t>OEMPRI-2996 Confirm configuration envrionment for the SKU release</t>
  </si>
  <si>
    <t>OEMPRI-2997</t>
  </si>
  <si>
    <t>OEMPRI-2996 Please confirm FW requirement for the SKU release</t>
  </si>
  <si>
    <t>F119BFDAA76478498C2C5D9BC982B4E60000000025AB0000</t>
  </si>
  <si>
    <t>[OEMPRI-NONE]-[proj#4272]-[TDN-012478]-log confirm</t>
  </si>
  <si>
    <t>OEMPRI-2990</t>
  </si>
  <si>
    <t>OEMPRI-2988 Confirm configuration envrionment for this SKU release</t>
  </si>
  <si>
    <t>OEMPRI-2989</t>
  </si>
  <si>
    <t>F119BFDAA76478498C2C5D9BC982B4E60000000025990000</t>
  </si>
  <si>
    <t>[OEMPRI-4500]-[proj#4365]-[ECO-025122]-log confirm</t>
  </si>
  <si>
    <t>OEMPRI-2988 Please confirm FW requirement for this SKU release</t>
  </si>
  <si>
    <t>OEMPRI-2987</t>
  </si>
  <si>
    <t>Harris Pang(20)</t>
  </si>
  <si>
    <t>F119BFDAA76478498C2C5D9BC982B4E60000000025A40000</t>
  </si>
  <si>
    <t>OEMPRI-2984 Confirm configuration envrionment for this SKU release</t>
  </si>
  <si>
    <t>make a list of MBN baseline status with all model</t>
  </si>
  <si>
    <t>OEMPRI-2986</t>
  </si>
  <si>
    <t>OEMPRI-2984 Please confirm FW requirement for this SKU release</t>
  </si>
  <si>
    <t>3D68EC023EC934408492A941A200538000000000335F0000</t>
  </si>
  <si>
    <t>[OEMPRI-4649] - SPKG</t>
  </si>
  <si>
    <t>OEMPRI-2982</t>
  </si>
  <si>
    <t>OEMPRI-2979 Confirm configuration envrionment for this SKU release</t>
  </si>
  <si>
    <t>3D68EC023EC934408492A941A20053800000000033600000</t>
  </si>
  <si>
    <t>[OEMPRI-4649] - Test</t>
  </si>
  <si>
    <t>OEMPRI-2981</t>
  </si>
  <si>
    <t>OEMPRI-2979 Please confirm FW requirement for this SKU release</t>
  </si>
  <si>
    <t>OEMPRI-2979</t>
  </si>
  <si>
    <t>F119BFDAA76478498C2C5D9BC982B4E60000000025AC0000</t>
  </si>
  <si>
    <t>One-Click upgrade tool for LE upgrading</t>
  </si>
  <si>
    <t>1103370_9906985_AR7586(4G/4G)_Beta(00.04.17.00)_Generic</t>
  </si>
  <si>
    <t>OEMPRI-2978</t>
  </si>
  <si>
    <t>F119BFDAA76478498C2C5D9BC982B4E60000000025A20000</t>
  </si>
  <si>
    <t>OEMPRI-2976 Conofirm configuration envrionment for this SKU release</t>
  </si>
  <si>
    <t>a tool to enable device by device name</t>
  </si>
  <si>
    <t>OEMPRI-2977</t>
  </si>
  <si>
    <t>F119BFDAA76478498C2C5D9BC982B4E60000000025A30000</t>
  </si>
  <si>
    <t>a script auto regestry Client in IDS server</t>
  </si>
  <si>
    <t>OEMPRI-2976 Please confirm FW requirement for this SKU release</t>
  </si>
  <si>
    <t>Eco Chen</t>
  </si>
  <si>
    <t>OEMPRI-2975</t>
  </si>
  <si>
    <t>OEMPRI-2973 Please confirm configuration environment</t>
  </si>
  <si>
    <t>CABC13619704C6418CD791C82D7CDF1C00CCE3A3A0280000</t>
  </si>
  <si>
    <t xml:space="preserve">tool-NVUP Tool </t>
  </si>
  <si>
    <t>OEMPRI-3012</t>
  </si>
  <si>
    <t>1103494_9907253_AR7588(4G/4G)_FW(00.04.17.00)_VW</t>
  </si>
  <si>
    <t>F119BFDAA76478498C2C5D9BC982B4E60000000025A10000</t>
  </si>
  <si>
    <t>make 4 modem power adapter output from1to3</t>
  </si>
  <si>
    <t>OEMPRI-3009</t>
  </si>
  <si>
    <t>Ben Zheng(58)</t>
  </si>
  <si>
    <t>Wilson Lin – Shenzhen(39)</t>
  </si>
  <si>
    <t>1103372_9906987_AR7584(4G/4G)_FW(00.04.17.00)_Generic</t>
  </si>
  <si>
    <t>Bing Huang(159)</t>
  </si>
  <si>
    <t>OEMPRI-3006</t>
  </si>
  <si>
    <t>3D68EC023EC934408492A941A200538000000000335C0000</t>
  </si>
  <si>
    <t>[OEMPRI-4474] - SPKG</t>
  </si>
  <si>
    <t>OEMPRI-3003</t>
  </si>
  <si>
    <t>3D68EC023EC934408492A941A200538000000000335D0000</t>
  </si>
  <si>
    <t>[OEMPRI-4474] - Test</t>
  </si>
  <si>
    <t>1103368_9906983_AR7584(4G/2G)_FW(00.04.17.00)_MM</t>
  </si>
  <si>
    <t>OEMPRI-2996</t>
  </si>
  <si>
    <t>3D68EC023EC934408492A941A200538000000000335E0000</t>
  </si>
  <si>
    <t>[OEMPRI-4474] - dumpdiff &amp;&amp; check</t>
  </si>
  <si>
    <t>1103378_9906998_AR7584(4G/2G)_Beta(00.04.17.00)_Ficosa</t>
  </si>
  <si>
    <t>Hugh Yao(202)</t>
  </si>
  <si>
    <t>OEMPRI-2988</t>
  </si>
  <si>
    <t>F119BFDAA76478498C2C5D9BC982B4E600000000259E0000</t>
  </si>
  <si>
    <t>process record for PRI release path</t>
  </si>
  <si>
    <t>1103371_9906986_AR7586(4G/2G)_Beta(00.04.17.00)_MM</t>
  </si>
  <si>
    <t>OEMPRI-2984</t>
  </si>
  <si>
    <t>1103362_9906977_AR7586(4G/2G)_Beta(00.04.17.00)_Lanyou</t>
  </si>
  <si>
    <t>F119BFDAA76478498C2C5D9BC982B4E600000000259C0000</t>
  </si>
  <si>
    <t>[OEMPRI-4168]-[proj#4173]-[ECO-025206]-log confirm</t>
  </si>
  <si>
    <t>OEMPRI-2980</t>
  </si>
  <si>
    <t>1103493_9907246_AR7552RD_Panasonic_AT&amp;T_SKU create with WP13.5</t>
  </si>
  <si>
    <t>Harris Pang(9)</t>
  </si>
  <si>
    <t>F119BFDAA76478498C2C5D9BC982B4E600000000259D0000</t>
  </si>
  <si>
    <t>[OEMPRI-4069]-[proj#4174]-[ECO-025206]-log confirm</t>
  </si>
  <si>
    <t>OEMPRI-2976</t>
  </si>
  <si>
    <t>1103223_9906693_AR7586(4G/4G)_Beta(00.04.17.00)_VW</t>
  </si>
  <si>
    <t>Lolly Cao(17)</t>
  </si>
  <si>
    <t>OEMPRI-2973</t>
  </si>
  <si>
    <t>Harris Pang(29)</t>
  </si>
  <si>
    <t>3D68EC023EC934408492A941A20053800000000033590000</t>
  </si>
  <si>
    <t>Harris Pang(164)</t>
  </si>
  <si>
    <t>[OEMPRI-4475] - SPKG</t>
  </si>
  <si>
    <t>1103359_9906968_AR7586(4G/2G)_Beta(00.04.17.00)_FIcosa</t>
  </si>
  <si>
    <t>OEMPRI-2957</t>
  </si>
  <si>
    <t>[9x40][Carrier][GENEU][9906446] Update FW to WP10.4-SWI9X40A_01.06.08.00-Legato16.07.0.9xxxRO.rc2</t>
  </si>
  <si>
    <t>3D68EC023EC934408492A941A200538000000000335A0000</t>
  </si>
  <si>
    <t>OEMPRI-2951</t>
  </si>
  <si>
    <t>[OEMPRI-4475] - Test</t>
  </si>
  <si>
    <t>9101001_9906833_AR7584_GCF_Create Beta Package</t>
  </si>
  <si>
    <t>OEMPRI-2947</t>
  </si>
  <si>
    <t>OEMPRI-2945 CLONE - Please confirm requirements from FW side.</t>
  </si>
  <si>
    <t>F119BFDAA76478498C2C5D9BC982B4E600000000259F0000</t>
  </si>
  <si>
    <t>everyone gets one VM</t>
  </si>
  <si>
    <t>OEMPRI-2946</t>
  </si>
  <si>
    <t>OEMPRI-2945 CLONE - CLONE - CLONE - Manufacturing Tool</t>
  </si>
  <si>
    <t>OEMPRI-2940</t>
  </si>
  <si>
    <t>F119BFDAA76478498C2C5D9BC982B4E60000000025A00000</t>
  </si>
  <si>
    <t>auto map driver for OEMPRI spkg output folder</t>
  </si>
  <si>
    <t>OEMPRI-2950</t>
  </si>
  <si>
    <t>1102503_9904462_AR7554RD_Ficosa _EU_Generic_WP17.3 package with AR855x USB PID for customer production line use</t>
  </si>
  <si>
    <t>3D68EC023EC934408492A941A200538000000000335B0000</t>
  </si>
  <si>
    <t>OEMPRI-2949</t>
  </si>
  <si>
    <t>[OEMPRI-4475] - Comparition test &amp;&amp; dumpdiff</t>
  </si>
  <si>
    <t>1102504_9904463_AR7554RD_Ficosa _WP17.3 package with AR855x USB PID for customer production line use</t>
  </si>
  <si>
    <t>Tiejun Fu(1)</t>
  </si>
  <si>
    <t>Joe Liu(207)</t>
  </si>
  <si>
    <t>F119BFDAA76478498C2C5D9BC982B4E600000000259B0000</t>
  </si>
  <si>
    <t>OEMPRI-2945</t>
  </si>
  <si>
    <t>seperating cfg from spkg</t>
  </si>
  <si>
    <t>1103173_9906506_AR7594(4g4g_Actia)</t>
  </si>
  <si>
    <t>Tiejun Fu(5)</t>
  </si>
  <si>
    <t>Joe Liu(208)</t>
  </si>
  <si>
    <t>F119BFDAA76478498C2C5D9BC982B4E60000000025800000</t>
  </si>
  <si>
    <t>[tool]generate tool list according fw version</t>
  </si>
  <si>
    <t>OEMPRI-2944</t>
  </si>
  <si>
    <t>1102502_9904443_AR7552RD_Ficosa_AT&amp;T_WP17.1 package with AR855x USB PID for customer production line use</t>
  </si>
  <si>
    <t>OEMPRI-2912</t>
  </si>
  <si>
    <t>CABC13619704C6418CD791C82D7CDF1C00CCE3A3A0260000</t>
  </si>
  <si>
    <t>Driver B4654 Validation</t>
  </si>
  <si>
    <t>OEMPRI-Epic-</t>
  </si>
  <si>
    <t>AR755x, AR758x, AR759x, AR8652, MC73xx, SL/MC809x RD, SL/MC909x RD, SL808xBTAR</t>
  </si>
  <si>
    <t>OEMPRI-2915</t>
  </si>
  <si>
    <t>1103148_9906604_MC HL8548,Dell,Generic PRI update</t>
  </si>
  <si>
    <t>Harris Pang(16)</t>
  </si>
  <si>
    <t>CABC13619704C6418CD791C82D7CDF1C00CCE3A3A0270000</t>
  </si>
  <si>
    <t>MBN-generating environment with VM</t>
  </si>
  <si>
    <t>OEMPRI-2893</t>
  </si>
  <si>
    <t>OEMPRI-2779 OEMPRI-2779_1103204_AR7594_T-Mobile_FieldTest PRI review</t>
  </si>
  <si>
    <t>F119BFDAA76478498C2C5D9BC982B4E60000000025960000</t>
  </si>
  <si>
    <t>OEMPRI-2892</t>
  </si>
  <si>
    <t>[OEMPRI-4625]-[proj#4416]-[TDN-012451]-svt spkg and approve</t>
  </si>
  <si>
    <t>Vincent Chen(22)</t>
  </si>
  <si>
    <t>Samuel Sun(194)</t>
  </si>
  <si>
    <t>[9x40][Carrier][ATT][9906444] Update FW to WP10.1-SWI9X40A_01.06.01.00-Legato16.07.3.9xxx.rc1</t>
  </si>
  <si>
    <t>OEMPRI-2858</t>
  </si>
  <si>
    <t>9101001_5502007_AR7584_00.04.03.00_00_GCFLab-O2_000.001_000</t>
  </si>
  <si>
    <t>F119BFDAA76478498C2C5D9BC982B4E60000000025970000</t>
  </si>
  <si>
    <t>[OEMPRI-4625]-[proj#4416]-[TDN-012451]-log confirm</t>
  </si>
  <si>
    <t>Yoyo Bao</t>
  </si>
  <si>
    <t>OEMPRI-2857</t>
  </si>
  <si>
    <t>9101001_5502006_AR7584_00.04.03.00_00_GCFLab-T-Mobile_000.001_000</t>
  </si>
  <si>
    <t>F119BFDAA76478498C2C5D9BC982B4E60000000025980000</t>
  </si>
  <si>
    <t>[OEMPRI-4625]-[proj#4416]-[TDN-012451]-update skutracker</t>
  </si>
  <si>
    <t>OEMPRI-2856</t>
  </si>
  <si>
    <t>9101001_5502005_AR7584_00.04.03.00_00_GCFLab-Vodafone_000.001_000</t>
  </si>
  <si>
    <t>Bing Huang(51)</t>
  </si>
  <si>
    <t>3D68EC023EC934408492A941A20053800000000033570000</t>
  </si>
  <si>
    <t>[OEMPRI-4471] SPKG with CMCC MBN</t>
  </si>
  <si>
    <t>OEMPRI-2855</t>
  </si>
  <si>
    <t>9101001_5502004_AR7584_00.04.03.00_00_GCFLab-DoCoMo_000.001_000</t>
  </si>
  <si>
    <t>OEMPRI-2833</t>
  </si>
  <si>
    <t>9101001_9906833_AR7584_00.04.03.00_00_GCFLab_000.001_000</t>
  </si>
  <si>
    <t>3D68EC023EC934408492A941A20053800000000033580000</t>
  </si>
  <si>
    <t>Zipeng Sun(6)</t>
  </si>
  <si>
    <t>OEMPRI-2830</t>
  </si>
  <si>
    <t>OEMPRI-2827 configuration envrionment confirmatin for SKU 1103368</t>
  </si>
  <si>
    <t>OEMPRI-2826</t>
  </si>
  <si>
    <t>[OEMPRI-4625] rework package release validation</t>
  </si>
  <si>
    <t>9102003_5502003_AR7588_00.06.03.00_00_Cert-NTT_000.002_000</t>
  </si>
  <si>
    <t>OEMPRI-2827</t>
  </si>
  <si>
    <t>F119BFDAA76478498C2C5D9BC982B4E60000000025900000</t>
  </si>
  <si>
    <t>[OEMPRI-4495]-[proj#4329]-[TDN-012407]-svt spkg and approve</t>
  </si>
  <si>
    <t>OEMPRI-2824</t>
  </si>
  <si>
    <t>Remove Feature_Mask, QMI_CAT_MODE from customer PRI</t>
  </si>
  <si>
    <t>F119BFDAA76478498C2C5D9BC982B4E60000000025920000</t>
  </si>
  <si>
    <t>[OEMPRI-4495]-[proj#4329]-[TDN-012407]-log confirm</t>
  </si>
  <si>
    <t>OEMPRI-2821</t>
  </si>
  <si>
    <t>[AR7584] Create VW PRI (T-mobile) for internal EU field test</t>
  </si>
  <si>
    <t>F119BFDAA76478498C2C5D9BC982B4E60000000025930000</t>
  </si>
  <si>
    <t>[env]install win8 64 os for OneClick 12</t>
  </si>
  <si>
    <t>Suzi Lan</t>
  </si>
  <si>
    <t>OEMPRI-2814</t>
  </si>
  <si>
    <t>F119BFDAA76478498C2C5D9BC982B4E60000000025940000</t>
  </si>
  <si>
    <t>Harris Pang(60)</t>
  </si>
  <si>
    <t>1103327_mc7354_peoplenet_AT&amp;t_PRI change</t>
  </si>
  <si>
    <t>[env]install win8 64 os for OneClick 13</t>
  </si>
  <si>
    <t>OEMPRI-2799</t>
  </si>
  <si>
    <t>F119BFDAA76478498C2C5D9BC982B4E60000000025950000</t>
  </si>
  <si>
    <t>[env]install win8 64 os for OneClick 14</t>
  </si>
  <si>
    <t>Certification requirement for AR8582 SKU 9102002 GCF Target date: 3/9.</t>
  </si>
  <si>
    <t>OEMPRI-2797</t>
  </si>
  <si>
    <t>CABC13619704C6418CD791C82D7CDF1C00CCE3A3A0210000</t>
  </si>
  <si>
    <t>OEMPRI-2688 PRI review.</t>
  </si>
  <si>
    <t>Tool-issue fixed about test script and devicedefault.xml and model-FSN maping.</t>
  </si>
  <si>
    <t>OEMPRI-2792</t>
  </si>
  <si>
    <t>[NVExtra] Update to for 9x28</t>
  </si>
  <si>
    <t>616E22C5EC93AF48B41E5A76D1E755220000AC223DE10000</t>
  </si>
  <si>
    <t>OEMPRI-4471-re-generate</t>
  </si>
  <si>
    <t>OEMPRI-2781</t>
  </si>
  <si>
    <t>plz complete AR7584 VOLTE GCF PRI Package Certification(VOLTE PRI, NTT, T-mobile, Vodafone, O2) before targe date: 2017-3-13</t>
  </si>
  <si>
    <t>OEMPRI-2779</t>
  </si>
  <si>
    <t>F119BFDAA76478498C2C5D9BC982B4E60000000025910000</t>
  </si>
  <si>
    <t>[OEMPRI-4495]-[proj#4329]-[TDN-012407]-update</t>
  </si>
  <si>
    <t>[AR7594] Create VW PRI (T-mobile) for internal EU field test</t>
  </si>
  <si>
    <t>Fannie Zhang [X]</t>
  </si>
  <si>
    <t>OEMPRI-2778</t>
  </si>
  <si>
    <t>3D68EC023EC934408492A941A20053800000000033550000</t>
  </si>
  <si>
    <t>[Meta file] AR758X Meta file updated - Day 2</t>
  </si>
  <si>
    <t>[AR7594] Create VW PRI (Vodafone Germany) for internal EU field test</t>
  </si>
  <si>
    <t>OEMPRI-2770</t>
  </si>
  <si>
    <t>3D68EC023EC934408492A941A20053800000000033560000</t>
  </si>
  <si>
    <t>[PKG Setting] QC MBN setting Env. &amp;&amp; Perl setup</t>
  </si>
  <si>
    <t>OEMPRI-2769 CLONE - Configure tool for AR7596 DV4.1 sample</t>
  </si>
  <si>
    <t>OEMPRI-2765</t>
  </si>
  <si>
    <t>CABC13619704C6418CD791C82D7CDF1C00CCE3A3A0240000</t>
  </si>
  <si>
    <t>CarrierID add for all MBN sheets</t>
  </si>
  <si>
    <t>OEMPRI-2764 CLONE - Tool for AR7592 PRI</t>
  </si>
  <si>
    <t>OEMPRI-2762</t>
  </si>
  <si>
    <t>F119BFDAA76478498C2C5D9BC982B4E600000000258E0000</t>
  </si>
  <si>
    <t>[OEMPRI-4465]-[proj#4328]-[TDN-012453]-re-svt spkg and approve</t>
  </si>
  <si>
    <t>OEMPRI-2760 CLONE - CLONE - CLONE - Please confirm requirements from FW side.</t>
  </si>
  <si>
    <t>OEMPRI-2761</t>
  </si>
  <si>
    <t>F119BFDAA76478498C2C5D9BC982B4E600000000258F0000</t>
  </si>
  <si>
    <t>OEMPRI-2760 CLONE - CLONE - Manufacturing Tool</t>
  </si>
  <si>
    <t>[OEMPRI-4465]-[proj#4328]-[TDN-012453]-log-confirm</t>
  </si>
  <si>
    <t>OEMPRI-2769</t>
  </si>
  <si>
    <t>616E22C5EC93AF48B41E5A76D1E755220000AC223DE20000</t>
  </si>
  <si>
    <t>OEMPRI-4610-CMCC MBN</t>
  </si>
  <si>
    <t>1103097_9906295_AR7596(4g4g_Generic)</t>
  </si>
  <si>
    <t>CABC13619704C6418CD791C82D7CDF1C00CCE3A3A0250000</t>
  </si>
  <si>
    <t>[OEMPRI-4465]-[proj#4328]-[TDN-012453]- spkg update and test</t>
  </si>
  <si>
    <t>OEMPRI-2764</t>
  </si>
  <si>
    <t>1103102_9906297_AR7592(4g4g)_Pre-Beta (01.06.01.00)_Generic</t>
  </si>
  <si>
    <t>3D68EC023EC934408492A941A20053800000000033510000</t>
  </si>
  <si>
    <t>[OEMPRI-4591] - Spreedsheet Update</t>
  </si>
  <si>
    <t>OEMPRI-2760</t>
  </si>
  <si>
    <t>3D68EC023EC934408492A941A20053800000000033530000</t>
  </si>
  <si>
    <t>[OEMPRI-4591] - Test</t>
  </si>
  <si>
    <t>James Wang(188)</t>
  </si>
  <si>
    <t>OEMPRI-2750</t>
  </si>
  <si>
    <t>3D68EC023EC934408492A941A20053800000000033520000</t>
  </si>
  <si>
    <t>[OEMPRI-4591] - SPKG Generate</t>
  </si>
  <si>
    <t>[AR7594] GCF package update request</t>
  </si>
  <si>
    <t>Fannie Zhang(2)</t>
  </si>
  <si>
    <t>OEMPRI-2741</t>
  </si>
  <si>
    <t>Fannie Zhang(0)</t>
  </si>
  <si>
    <t>F119BFDAA76478498C2C5D9BC982B4E600000000258D0000</t>
  </si>
  <si>
    <t>[OEMPRI-4465]-[proj#4328]-re-update</t>
  </si>
  <si>
    <t>Rain Xie(36)</t>
  </si>
  <si>
    <t>OEMPRI-2701 pri review</t>
  </si>
  <si>
    <t>3D68EC023EC934408492A941A20053800000000033540000</t>
  </si>
  <si>
    <t>OEMPRI-2728</t>
  </si>
  <si>
    <t>[Meta file] AR758X Meta file updated - Day 1</t>
  </si>
  <si>
    <t>1102502_WP17.1_fix IMS Register failure for customer validation</t>
  </si>
  <si>
    <t>Leo Wang [X]</t>
  </si>
  <si>
    <t>CABC13619704C6418CD791C82D7CDF1C00CCE3A3A0230000</t>
  </si>
  <si>
    <t>update Metadata xml to support for Intial download Image if need.</t>
  </si>
  <si>
    <t>OEMPRI-2723</t>
  </si>
  <si>
    <t>OEMPRI-2722 CLONE - Configure tool for AR7598 DV3.1 sample</t>
  </si>
  <si>
    <t>F119BFDAA76478498C2C5D9BC982B4E600000000258B0000</t>
  </si>
  <si>
    <t>check cfg file format in spkg release folder</t>
  </si>
  <si>
    <t>Colin Lin,Bing Huang</t>
  </si>
  <si>
    <t>OEMPRI-2722</t>
  </si>
  <si>
    <t>1103041_9906062_AR7598(4g4g_Generic)</t>
  </si>
  <si>
    <t>3D68EC023EC934408492A941A200538000000000334D0000</t>
  </si>
  <si>
    <t>[OEMPRI-4164] - SPKG</t>
  </si>
  <si>
    <t>OEMPRI-2698</t>
  </si>
  <si>
    <t>3D68EC023EC934408492A941A200538000000000334E0000</t>
  </si>
  <si>
    <t>[OEMPRI-4164] - TEST</t>
  </si>
  <si>
    <t>1102756_AR8552_Ficosa_Generic_Create package for factory shipment</t>
  </si>
  <si>
    <t>OEMPRI-2690</t>
  </si>
  <si>
    <t>CABC13619704C6418CD791C82D7CDF1C00CCE3A3A01E0000</t>
  </si>
  <si>
    <t>OEMPRI-4471-anlyze</t>
  </si>
  <si>
    <t>OEMPRI-2688 Confirm configuration envrionment for the SKU</t>
  </si>
  <si>
    <t>OEMPRI-2689</t>
  </si>
  <si>
    <t>CABC13619704C6418CD791C82D7CDF1C00CCE3A3A01F0000</t>
  </si>
  <si>
    <t>OEMPRI-4471-generated</t>
  </si>
  <si>
    <t>OEMPRI-2688 confirm FW requirement</t>
  </si>
  <si>
    <t>CABC13619704C6418CD791C82D7CDF1C00CCE3A3A0200000</t>
  </si>
  <si>
    <t>OEMPRI-2686</t>
  </si>
  <si>
    <t>OEMPRI-4453-Check-in</t>
  </si>
  <si>
    <t>OEMPRI-2685 confirm configuration environment requirement</t>
  </si>
  <si>
    <t>OEMPRI-2685</t>
  </si>
  <si>
    <t>Wilson Lin – Shenzhen(11)</t>
  </si>
  <si>
    <t>3D68EC023EC934408492A941A200538000000000334F0000</t>
  </si>
  <si>
    <t>[OEMPRI-4472] - SPKG</t>
  </si>
  <si>
    <t>1103360_9906969_AR7588(4G/2G)_FW(00.04.12.01)_Ficosa</t>
  </si>
  <si>
    <t>OEMPRI-2684</t>
  </si>
  <si>
    <t>3D68EC023EC934408492A941A20053800000000033500000</t>
  </si>
  <si>
    <t>OEMPRI-2682 Confirm FW requirement for AR7582 VW SKU 1103367 release</t>
  </si>
  <si>
    <t>[OEMPRI-4472] - TEST</t>
  </si>
  <si>
    <t>Eco Chen(1)</t>
  </si>
  <si>
    <t>OEMPRI-2683</t>
  </si>
  <si>
    <t>CABC13619704C6418CD791C82D7CDF1C00CCE3A3A0220000</t>
  </si>
  <si>
    <t>OEMPRI-2682 confirm configuration environment requirement</t>
  </si>
  <si>
    <t>Close tickets with 'Integrated' status that report by myself.</t>
  </si>
  <si>
    <t>OEMPRI-2681</t>
  </si>
  <si>
    <t>Fiona Li(2)</t>
  </si>
  <si>
    <t>Fiona Li(0)</t>
  </si>
  <si>
    <t>F119BFDAA76478498C2C5D9BC982B4E600000000258C0000</t>
  </si>
  <si>
    <t>OEMPRI-2679 Confirm configuration environment requirement for the SKU</t>
  </si>
  <si>
    <t>[env]install win8 64 os for OneClick 11</t>
  </si>
  <si>
    <t>Fiona Li(37)</t>
  </si>
  <si>
    <t>OEMPRI-2680</t>
  </si>
  <si>
    <t>F119BFDAA76478498C2C5D9BC982B4E60000000025810000</t>
  </si>
  <si>
    <t>OEMPRI-2679 FW requirement for AR8582 SKU 1103361 release</t>
  </si>
  <si>
    <t>jobfile update to the same with factory</t>
  </si>
  <si>
    <t>OEMPRI-2679</t>
  </si>
  <si>
    <t>Joe Liu(18)</t>
  </si>
  <si>
    <t>F119BFDAA76478498C2C5D9BC982B4E60000000025820000</t>
  </si>
  <si>
    <t>recover modem to enable state after test in test script</t>
  </si>
  <si>
    <t>1103361_9906970_AR8582(4G/2G)_FW(00.04.12.01)_Ficosa</t>
  </si>
  <si>
    <t>OEMPRI-2678</t>
  </si>
  <si>
    <t>F119BFDAA76478498C2C5D9BC982B4E60000000025830000</t>
  </si>
  <si>
    <t>modem label categorize a graft</t>
  </si>
  <si>
    <t>[NVExtra] Update to for 9x40</t>
  </si>
  <si>
    <t>OEMPRI-2677</t>
  </si>
  <si>
    <t>F119BFDAA76478498C2C5D9BC982B4E60000000025840000</t>
  </si>
  <si>
    <t>OEMPRI-2623 PRI review</t>
  </si>
  <si>
    <t>Eco Chen(11)</t>
  </si>
  <si>
    <t>an offten use model list (12 chips)</t>
  </si>
  <si>
    <t>OEMPRI-2682</t>
  </si>
  <si>
    <t>1103367_9906982_AR7582(4G/4G)_FW(00.04.12.01)_VW</t>
  </si>
  <si>
    <t>F119BFDAA76478498C2C5D9BC982B4E60000000025850000</t>
  </si>
  <si>
    <t>change tools svn folder to https://carmd-app30/svn/tools/</t>
  </si>
  <si>
    <t>OEMPRI-2668</t>
  </si>
  <si>
    <t>[Customer template] 9x40 update to add various changes</t>
  </si>
  <si>
    <t>Wilson Lin – Shenzhen(3)</t>
  </si>
  <si>
    <t>F119BFDAA76478498C2C5D9BC982B4E60000000025880000</t>
  </si>
  <si>
    <t>spkg and test script in git change to svn</t>
  </si>
  <si>
    <t>OEMPRI-2621</t>
  </si>
  <si>
    <t>CABC13619704C6418CD791C82D7CDF1C00CCE3A3A0160000</t>
  </si>
  <si>
    <t>OEMPRI-2619 Please confirm requirements from FW side.</t>
  </si>
  <si>
    <t>OEMPRI-4533-check-in</t>
  </si>
  <si>
    <t>Rain Xie(12)</t>
  </si>
  <si>
    <t>Bing Huang(60)</t>
  </si>
  <si>
    <t>OEMPRI-2620</t>
  </si>
  <si>
    <t>F119BFDAA76478498C2C5D9BC982B4E60000000025860000</t>
  </si>
  <si>
    <t>OEMPRI-2619 CLONE - CLONE - Manufacturing Tool</t>
  </si>
  <si>
    <t>can't write file in \\Cnshz-nv-fl01\file\Engineering\Product_Validation\log</t>
  </si>
  <si>
    <t>OEMPRI-2623</t>
  </si>
  <si>
    <t>[AR7592] Create VW PRI for field upgrade purpose</t>
  </si>
  <si>
    <t>F119BFDAA76478498C2C5D9BC982B4E60000000025870000</t>
  </si>
  <si>
    <t>OEMPRI-2614</t>
  </si>
  <si>
    <t>[OEMPRI-NONE]-[proj#4332]-[TDN-012383]-log confirm</t>
  </si>
  <si>
    <t>[MC73xx] Update Carrier PRI [GENNA-UMTS] to SWI9X15C_05.05.69.00</t>
  </si>
  <si>
    <t>CABC13619704C6418CD791C82D7CDF1C00CCE3A3A0190000</t>
  </si>
  <si>
    <t>OEMPRI-2608</t>
  </si>
  <si>
    <t>OEMPRI-4470-anlyze</t>
  </si>
  <si>
    <t>[AR758x][Carrier PRI] Generic-EU Carrier PRI FW update to WP7.31-SWI9X28A_00.04.12.01-Legato16.07.2.9xxx.rc7</t>
  </si>
  <si>
    <t>CABC13619704C6418CD791C82D7CDF1C00CCE3A3A01A0000</t>
  </si>
  <si>
    <t>OEMPRI-2605</t>
  </si>
  <si>
    <t>OEMPRI-4470-Re-generated-2</t>
  </si>
  <si>
    <t>OEMPRI-2603 Please confirm FW requirement for this SKU release</t>
  </si>
  <si>
    <t>CABC13619704C6418CD791C82D7CDF1C00CCE3A3A01B0000</t>
  </si>
  <si>
    <t>OEMPRI-2604</t>
  </si>
  <si>
    <t>OEMPRI-4472-ReleaseNote</t>
  </si>
  <si>
    <t>OEMPRI-2603 Please confirm configuration envrionment for this SKU release</t>
  </si>
  <si>
    <t>F119BFDAA76478498C2C5D9BC982B4E60000000025890000</t>
  </si>
  <si>
    <t>[OEMPRI-4069]-[proj#4174]-[ECO-025206]-svt spkg and approve</t>
  </si>
  <si>
    <t>OEMPRI-2603</t>
  </si>
  <si>
    <t>1103379_9907000_AR7582(4G/2G)_FW(00.04.12.01)_Ficosa</t>
  </si>
  <si>
    <t>F119BFDAA76478498C2C5D9BC982B4E600000000258A0000</t>
  </si>
  <si>
    <t>[OEMPRI-4168]-[proj#4173]-[ECO-025206]-svt spkg and approve</t>
  </si>
  <si>
    <t>OEMPRI-2602</t>
  </si>
  <si>
    <t>OEMPRI-2600 Please confirm FW requirement for this SKU release</t>
  </si>
  <si>
    <t>CABC13619704C6418CD791C82D7CDF1C00CCE3A3A01C0000</t>
  </si>
  <si>
    <t>OEMPRI-4164-anylze</t>
  </si>
  <si>
    <t>OEMPRI-2601</t>
  </si>
  <si>
    <t>OEMPRI-2600 Please confirm configuration environment for this SKU release</t>
  </si>
  <si>
    <t>CABC13619704C6418CD791C82D7CDF1C00CCE3A3A01D0000</t>
  </si>
  <si>
    <t>OEMPRI-4164-generated</t>
  </si>
  <si>
    <t>Shirley Huang</t>
  </si>
  <si>
    <t>OEMPRI-2600</t>
  </si>
  <si>
    <t>Bing Huang*(45)</t>
  </si>
  <si>
    <t>1103372_9906987_AR7584(4G/4G)_FW(00.04.12.01)_Generic</t>
  </si>
  <si>
    <t>3D68EC023EC934408492A941A20053800000000033490000</t>
  </si>
  <si>
    <t>OEMPRI-4591 - SPKG</t>
  </si>
  <si>
    <t>OEMPRI-2599</t>
  </si>
  <si>
    <t>Tiejun Fu(10)</t>
  </si>
  <si>
    <t>OEMPRI-2597 Please confirm FW requirement for this SKU release</t>
  </si>
  <si>
    <t>3D68EC023EC934408492A941A200538000000000334A0000</t>
  </si>
  <si>
    <t>[OEMPRI-4591] - TEST</t>
  </si>
  <si>
    <t>OEMPRI-2598</t>
  </si>
  <si>
    <t>OEMPRI-2597 Please confirm configuration envrionment for this SKU release</t>
  </si>
  <si>
    <t>3D68EC023EC934408492A941A200538000000000334B0000</t>
  </si>
  <si>
    <t>Eco Chen(28)</t>
  </si>
  <si>
    <t>[OEMPRI-4470] -SPKG</t>
  </si>
  <si>
    <t>OEMPRI-2597</t>
  </si>
  <si>
    <t>1103151_9906435_AR7584(4G/4G)_FW(00.04.12.01)_VW</t>
  </si>
  <si>
    <t>3D68EC023EC934408492A941A200538000000000334C0000</t>
  </si>
  <si>
    <t>[OEMPRI-4470] - TEST</t>
  </si>
  <si>
    <t>OEMPRI-2591</t>
  </si>
  <si>
    <t>[AR7594] Create VW PRI for Alpha7 release</t>
  </si>
  <si>
    <t>F119BFDAA76478498C2C5D9BC982B4E600000000257E0000</t>
  </si>
  <si>
    <t>[env]fix 4 chips of model to jenkins server</t>
  </si>
  <si>
    <t>Harris Pang(18)</t>
  </si>
  <si>
    <t>OEMPRI-2590</t>
  </si>
  <si>
    <t>F119BFDAA76478498C2C5D9BC982B4E600000000257C0000</t>
  </si>
  <si>
    <t>[env]auto update device type to jenkins</t>
  </si>
  <si>
    <t>MC7354B 1102602 upgrade FW to 05.05.69.00 for southerlinc MR</t>
  </si>
  <si>
    <t>F119BFDAA76478498C2C5D9BC982B4E600000000257D0000</t>
  </si>
  <si>
    <t>[tool]excel compare plug for beyond compare</t>
  </si>
  <si>
    <t>OEMPRI-2587</t>
  </si>
  <si>
    <t>3D68EC023EC934408492A941A20053800000000033470000</t>
  </si>
  <si>
    <t>OEMPRI-2585 please confirm FW requirement for this SKU release</t>
  </si>
  <si>
    <t>[OEMPRI-4512] - test</t>
  </si>
  <si>
    <t>OEMPRI-2586</t>
  </si>
  <si>
    <t>3D68EC023EC934408492A941A20053800000000033480000</t>
  </si>
  <si>
    <t>[OEMPRI-4510] - TEST</t>
  </si>
  <si>
    <t>OEMPRI-2585 please confirm configuration envrionment requirement for this SKU</t>
  </si>
  <si>
    <t>3D68EC023EC934408492A941A20053800000000033380000</t>
  </si>
  <si>
    <t>OEMPRI-2585</t>
  </si>
  <si>
    <t>[OEMPRI-4512] - SPKG</t>
  </si>
  <si>
    <t>1103378_9906998_AR7584(4G/2G)_Alpha4(00.04.12.01)_Ficosa</t>
  </si>
  <si>
    <t>3D68EC023EC934408492A941A20053800000000033430000</t>
  </si>
  <si>
    <t>[OEMPRI-4510] - SPKG</t>
  </si>
  <si>
    <t>OEMPRI-2584</t>
  </si>
  <si>
    <t>OEMPRI-2582 Please confirm configuration envrionment</t>
  </si>
  <si>
    <t>CABC13619704C6418CD791C82D7CDF1C00CCE3A3A0180000</t>
  </si>
  <si>
    <t>OEMPRI-4469-Anlyze</t>
  </si>
  <si>
    <t>OEMPRI-2583</t>
  </si>
  <si>
    <t>OEMPRI-2582 Please confirm FW requirement for this SKU</t>
  </si>
  <si>
    <t>3D68EC023EC934408492A941A20053800000000033440000</t>
  </si>
  <si>
    <t>[OEMPRI-4469] - SPKG</t>
  </si>
  <si>
    <t>OEMPRI-2579</t>
  </si>
  <si>
    <t>Driver B4618 Validation</t>
  </si>
  <si>
    <t>3D68EC023EC934408492A941A20053800000000033460000</t>
  </si>
  <si>
    <t>[OEMPRI-4469] - TEST</t>
  </si>
  <si>
    <t>OEMPRI-2557</t>
  </si>
  <si>
    <t>AR7554_1102441_9904283_Ficosa_Generic_WP17.3_update SKU package for customer validation</t>
  </si>
  <si>
    <t>F119BFDAA76478498C2C5D9BC982B4E600000000257F0000</t>
  </si>
  <si>
    <t>[env] a power for model to 3 output</t>
  </si>
  <si>
    <t>OEMPRI-2523</t>
  </si>
  <si>
    <t>F119BFDAA76478498C2C5D9BC982B4E60000000025770000</t>
  </si>
  <si>
    <t>[OEMPRI-4465]-[proj#4328]-[TDN-012398]-svt spkg and approve</t>
  </si>
  <si>
    <t>Remove SIMNOTINSTALLED/SDNOTINSTALLED</t>
  </si>
  <si>
    <t>AR755x,AR758x,AR759x,MC73xx,SL808xBTAR</t>
  </si>
  <si>
    <t>CABC13619704C6418CD791C82D7CDF1C00CCE3A3A0140000</t>
  </si>
  <si>
    <t>OEMPRI-4572-Check-Req</t>
  </si>
  <si>
    <t>Joe Liu(4)</t>
  </si>
  <si>
    <t>OEMPRI-2514</t>
  </si>
  <si>
    <t>OEMPRI-2513 Please confirm configuration environment</t>
  </si>
  <si>
    <t>3D68EC023EC934408492A941A200538000000000333A0000</t>
  </si>
  <si>
    <t>[OEMPRI-4495] - TEST</t>
  </si>
  <si>
    <t>OEMPRI-2513</t>
  </si>
  <si>
    <t>F119BFDAA76478498C2C5D9BC982B4E60000000025780000</t>
  </si>
  <si>
    <t>1103039_9906058_AR7588(4G/2G)_Alpha3(00.03.05.00)_Generic</t>
  </si>
  <si>
    <t xml:space="preserve">[env]join 3 vms (as slave node) to the new jenkins server </t>
  </si>
  <si>
    <t>OEMPRI-2511</t>
  </si>
  <si>
    <t>CABC13619704C6418CD791C82D7CDF1C00CCE3A3A0130000</t>
  </si>
  <si>
    <t>OEMPRI-4500-anilyze</t>
  </si>
  <si>
    <t>ParentPRI_AR7582_101103037_Generic</t>
  </si>
  <si>
    <t>Harris Pang(8)</t>
  </si>
  <si>
    <t>F119BFDAA76478498C2C5D9BC982B4E60000000025790000</t>
  </si>
  <si>
    <t>Vincent Chen(39)</t>
  </si>
  <si>
    <t>[OEMPRI-4332]-[Proj#4042]-[TDN-012336]-log confirm</t>
  </si>
  <si>
    <t>OEMPRI-2483</t>
  </si>
  <si>
    <t>F119BFDAA76478498C2C5D9BC982B4E600000000257A0000</t>
  </si>
  <si>
    <t>[OEMPRI-NONE]-[proj#4272]-[TDN-012406]-svt spkg and approve</t>
  </si>
  <si>
    <t>1102493_9904452_AR7552RD_Panasonic_AT&amp;T_update with WP17.2-update APN profile</t>
  </si>
  <si>
    <t>Vincent Chen(41)</t>
  </si>
  <si>
    <t>OEMPRI-2412</t>
  </si>
  <si>
    <t>F119BFDAA76478498C2C5D9BC982B4E600000000257B0000</t>
  </si>
  <si>
    <t>[OEMPRI-4082]-[Proj#4199]-[TDN-012371]-log confirm</t>
  </si>
  <si>
    <t>Add Updated MTU Size of 2000Byte to Cisco SKU 1102029</t>
  </si>
  <si>
    <t>Bing Huang(39)</t>
  </si>
  <si>
    <t>OEMPRI-2411</t>
  </si>
  <si>
    <t>3D68EC023EC934408492A941A200538000000000333C0000</t>
  </si>
  <si>
    <t>[OEMPRI-4500] - SPKG</t>
  </si>
  <si>
    <t>Add Updated MTU Size of 2000Byte to Cisco SKU 1102407</t>
  </si>
  <si>
    <t>Bing Huang(52)</t>
  </si>
  <si>
    <t>OEMPRI-2406</t>
  </si>
  <si>
    <t>3D68EC023EC934408492A941A200538000000000333D0000</t>
  </si>
  <si>
    <t>[OEMPRI-4500] - TEST</t>
  </si>
  <si>
    <t>OEMPRI-2404 Please confirm configuration environment</t>
  </si>
  <si>
    <t>OEMPRI-2405</t>
  </si>
  <si>
    <t>OEMPRI-2404 please confirm FW requirement for the SKU release</t>
  </si>
  <si>
    <t>3D68EC023EC934408492A941A200538000000000333E0000</t>
  </si>
  <si>
    <t>[OEMPRI-4500] - DumpDiff</t>
  </si>
  <si>
    <t>Cassie Sheng(26)</t>
  </si>
  <si>
    <t>Cassie Sheng(24)</t>
  </si>
  <si>
    <t>OEMPRI-2403</t>
  </si>
  <si>
    <t>OEMPRI-2401 Please confirm configuration environment</t>
  </si>
  <si>
    <t>3D68EC023EC934408492A941A200538000000000333F0000</t>
  </si>
  <si>
    <t>[OEMPRI-4500] - MATA_DATA</t>
  </si>
  <si>
    <t>Eco Chen(8)</t>
  </si>
  <si>
    <t>OEMPRI-2402</t>
  </si>
  <si>
    <t>Fannie Zhang(19)</t>
  </si>
  <si>
    <t>Vincent Liu(30)</t>
  </si>
  <si>
    <t>OEMPRI-2401 Please confirm FW requirement for the SKU release</t>
  </si>
  <si>
    <t>CABC13619704C6418CD791C82D7CDF1C00CCE3A3A0150000</t>
  </si>
  <si>
    <t>OEMPRI-4535-anlynize</t>
  </si>
  <si>
    <t>CABC13619704C6418CD791C82D7CDF1C00CCE3A3A0170000</t>
  </si>
  <si>
    <t>OEMPRI-4535-MBN-test build</t>
  </si>
  <si>
    <t>OEMPRI-2401</t>
  </si>
  <si>
    <t>1103362_9906977_AR7586(4G/4G)_Alpha4(00.04.06.00)_Lanyou</t>
  </si>
  <si>
    <t>3D68EC023EC934408492A941A20053800000000033400000</t>
  </si>
  <si>
    <t>[OEMPRI-4533] - SPKG</t>
  </si>
  <si>
    <t>OEMPRI-2400</t>
  </si>
  <si>
    <t>Ailsa Pi(5)</t>
  </si>
  <si>
    <t>OEMPRI-2398 Please confirm configuration environment</t>
  </si>
  <si>
    <t>3D68EC023EC934408492A941A20053800000000033410000</t>
  </si>
  <si>
    <t>[OEMPRI-4533] - TEST</t>
  </si>
  <si>
    <t>OEMPRI-2399</t>
  </si>
  <si>
    <t>Joe Liu(21)</t>
  </si>
  <si>
    <t>Bing Huang(27)</t>
  </si>
  <si>
    <t>3D68EC023EC934408492A941A20053800000000033420000</t>
  </si>
  <si>
    <t>OEMPRI-2398 please confirm FW requirement for this SKU release</t>
  </si>
  <si>
    <t>[OEMPRI-4500] - Stress Test</t>
  </si>
  <si>
    <t>OEMPRI-2397</t>
  </si>
  <si>
    <t>F119BFDAA76478498C2C5D9BC982B4E600000000256B0000</t>
  </si>
  <si>
    <t>[tool]compare information between skutracker and oempri(compare-skutracker-to-oempri)</t>
  </si>
  <si>
    <t>OEMPRI-2395 Please confirm configuration environment</t>
  </si>
  <si>
    <t>F119BFDAA76478498C2C5D9BC982B4E600000000256F0000</t>
  </si>
  <si>
    <t>[env]One-Click-Execution called from validation Jenkins</t>
  </si>
  <si>
    <t>OEMPRI-2396</t>
  </si>
  <si>
    <t>OEMPRI-2395 please confirm FW requirement for this SKU release</t>
  </si>
  <si>
    <t>F119BFDAA76478498C2C5D9BC982B4E60000000025700000</t>
  </si>
  <si>
    <t xml:space="preserve">[env]spkg load test ENV move to VM </t>
  </si>
  <si>
    <t>OEMPRI-2393</t>
  </si>
  <si>
    <t>F119BFDAA76478498C2C5D9BC982B4E60000000025710000</t>
  </si>
  <si>
    <t>[OEMPRI-NONE]-[proj#4201]-[TDN-012267]- log confirm</t>
  </si>
  <si>
    <t>F119BFDAA76478498C2C5D9BC982B4E60000000025720000</t>
  </si>
  <si>
    <t>[OEMPRI-NONE]-[proj#4215]-[TDN-012306]- log confirm</t>
  </si>
  <si>
    <t>OEMPRI-2391 Please confirm configuration environment</t>
  </si>
  <si>
    <t>F119BFDAA76478498C2C5D9BC982B4E60000000025730000</t>
  </si>
  <si>
    <t>[OEMPRI-NONE]-[proj#4175]-[TDN-012338]- log confirm</t>
  </si>
  <si>
    <t>OEMPRI-2392</t>
  </si>
  <si>
    <t>OEMPRI-2391 please confirm FW requirement for this SKU release</t>
  </si>
  <si>
    <t>F119BFDAA76478498C2C5D9BC982B4E60000000025740000</t>
  </si>
  <si>
    <t>OEMPRI-2385</t>
  </si>
  <si>
    <t>[OEMPRI-NONE]-[proj#4163]-[TDN-012232]- log confirm</t>
  </si>
  <si>
    <t>Update AR7554 GCF lab test package with FW 07.10.19.00</t>
  </si>
  <si>
    <t>3D68EC023EC934408492A941A20053800000000033390000</t>
  </si>
  <si>
    <t>[OEMPRI-4495] - SPKG</t>
  </si>
  <si>
    <t>OEMPRI-2364</t>
  </si>
  <si>
    <t>[9x28][Carrier PRI] FW update &amp; remove Band settings.</t>
  </si>
  <si>
    <t>F119BFDAA76478498C2C5D9BC982B4E60000000025750000</t>
  </si>
  <si>
    <t>[OEMPRI-3479]-[Proj#3980]-[ECO-024218]-log confirm</t>
  </si>
  <si>
    <t>OEMPRI-2362</t>
  </si>
  <si>
    <t>F119BFDAA76478498C2C5D9BC982B4E60000000025760000</t>
  </si>
  <si>
    <t>[OEMPRI-4465]-[proj#4328]-update</t>
  </si>
  <si>
    <t>OEMPRI-2360 CLONE - CLONE - Please confirm requirements from FW side.</t>
  </si>
  <si>
    <t>3D68EC023EC934408492A941A200538000000000333B0000</t>
  </si>
  <si>
    <t>OEMPRI-2361</t>
  </si>
  <si>
    <t>[OEMPRI-4495] - DUMPDIFF</t>
  </si>
  <si>
    <t>OEMPRI-2360 CLONE - Manufacturing Tool</t>
  </si>
  <si>
    <t>F119BFDAA76478498C2C5D9BC982B4E600000000256E0000</t>
  </si>
  <si>
    <t>[OEMPRI-4500]-[proj#4365]-[ECO-025122]-svt spkg and approve</t>
  </si>
  <si>
    <t>OEMPRI-2359</t>
  </si>
  <si>
    <t>F119BFDAA76478498C2C5D9BC982B4E600000000256D0000</t>
  </si>
  <si>
    <t>Disable UIM2ENABLE for AR7586 1103095,1103175,1103222,1103223</t>
  </si>
  <si>
    <t>[OEMPRI-4500]-[proj#4365]-update</t>
  </si>
  <si>
    <t>OEMPRI-2348</t>
  </si>
  <si>
    <t>3D68EC023EC934408492A941A20053800000000033370000</t>
  </si>
  <si>
    <t>Harris Pang(92)</t>
  </si>
  <si>
    <t>[OEMPRI-4441] - Updating PRI</t>
  </si>
  <si>
    <t>[AR7592] Create updated PTN PRI for regression purpose</t>
  </si>
  <si>
    <t>F119BFDAA76478498C2C5D9BC982B4E60000000025680000</t>
  </si>
  <si>
    <t>[env]assign pci_usb card for vm</t>
  </si>
  <si>
    <t>OEMPRI-2339</t>
  </si>
  <si>
    <t>F119BFDAA76478498C2C5D9BC982B4E600000000256C0000</t>
  </si>
  <si>
    <t>[OEMPRI-NONE]-[proj#4332]-[TDN-012383]-svt spkg and approve</t>
  </si>
  <si>
    <t>OEMPRI-2337 please confirm configuration environment for this SKU release</t>
  </si>
  <si>
    <t>F119BFDAA76478498C2C5D9BC982B4E600000000256A0000</t>
  </si>
  <si>
    <t>[OEMPRI-4069]-[proj#4174]-[ECO-024683]-svt spkg and approve--rebuild</t>
  </si>
  <si>
    <t>OEMPRI-2338</t>
  </si>
  <si>
    <t>OEMPRI-2337 Pleaser confirm FW requirement for this SKU release</t>
  </si>
  <si>
    <t>CABC13619704C6418CD791C82D7CDF1C00CCE3A3A0050000</t>
  </si>
  <si>
    <t>[NVUP]NVUP MAPUART for AR759x</t>
  </si>
  <si>
    <t>OEMPRI-2335</t>
  </si>
  <si>
    <t>CABC13619704C6418CD791C82D7CDF1C00CCE3A3A0120000</t>
  </si>
  <si>
    <t>OEMPRI-4069-Update SL8 PRI correct SKU</t>
  </si>
  <si>
    <t>OEMPRI-2334 Please confirm FW requirement for this SKU release</t>
  </si>
  <si>
    <t>OEMPRI-2315</t>
  </si>
  <si>
    <t>F119BFDAA76478498C2C5D9BC982B4E60000000025670000</t>
  </si>
  <si>
    <t>[env]auto rename script for vm</t>
  </si>
  <si>
    <t>Add 3rd party SUPL to 9x15 Cisco SKUs</t>
  </si>
  <si>
    <t>Vincent Guan</t>
  </si>
  <si>
    <t>F119BFDAA76478498C2C5D9BC982B4E60000000025690000</t>
  </si>
  <si>
    <t>OEMPRI-2311</t>
  </si>
  <si>
    <t>[OEMPRI-4069]-[proj#4174]-update-rebuild</t>
  </si>
  <si>
    <t>Update Cisco SKU 1102037 to Add 3rd Party SUPL/Google Support</t>
  </si>
  <si>
    <t>CABC13619704C6418CD791C82D7CDF1C00CCE3A3A0110000</t>
  </si>
  <si>
    <t>OEMPRI-4432-NVUP</t>
  </si>
  <si>
    <t>OEMPRI-2303</t>
  </si>
  <si>
    <t>[9x40][Carrier PRI]template update</t>
  </si>
  <si>
    <t>CABC13619704C6418CD791C82D7CDF1C00CCE3A3A00C0000</t>
  </si>
  <si>
    <t>OEMPRI-4465-SPKG</t>
  </si>
  <si>
    <t>OEMPRI-2259</t>
  </si>
  <si>
    <t>[AR7592] Create test PRI for MIBIB change request</t>
  </si>
  <si>
    <t>Harris Pang(11)</t>
  </si>
  <si>
    <t>CABC13619704C6418CD791C82D7CDF1C00CCE3A3A00B0000</t>
  </si>
  <si>
    <t>OEMPRI-4465- anylse</t>
  </si>
  <si>
    <t>OEMPRI-2258</t>
  </si>
  <si>
    <t>CABC13619704C6418CD791C82D7CDF1C00CCE3A3A00D0000</t>
  </si>
  <si>
    <t>OEMPRI-4465-Test</t>
  </si>
  <si>
    <t>[AR7594][GCF][FT][VOD] 9102000_9906910_AR7594_01.03.06.00_00_Vodafone_000.001_000</t>
  </si>
  <si>
    <t>CABC13619704C6418CD791C82D7CDF1C00CCE3A3A00E0000</t>
  </si>
  <si>
    <t>OEMPRI-4465-ReleaseNote</t>
  </si>
  <si>
    <t>OEMPRI-2252</t>
  </si>
  <si>
    <t>MC7350/4_FW package /FOTA package with 05.05.58.02 for VzW MR</t>
  </si>
  <si>
    <t>CABC13619704C6418CD791C82D7CDF1C00CCE3A3A00F0000</t>
  </si>
  <si>
    <t>OEMPRI-4330-anlyse</t>
  </si>
  <si>
    <t>Lufy Zeng</t>
  </si>
  <si>
    <t>OEMPRI-2237</t>
  </si>
  <si>
    <t>CABC13619704C6418CD791C82D7CDF1C00CCE3A3A0100000</t>
  </si>
  <si>
    <t>OEMPRI-2235 CLONE - Please confirm requirements from FW side.</t>
  </si>
  <si>
    <t>OEMPRI-4330-SPKG</t>
  </si>
  <si>
    <t>OEMPRI-2236</t>
  </si>
  <si>
    <t>F119BFDAA76478498C2C5D9BC982B4E60000000025500000</t>
  </si>
  <si>
    <t>OEMPRI-2235 Manufacturing Tool</t>
  </si>
  <si>
    <t>[env] pci card for usb to test mft driver</t>
  </si>
  <si>
    <t>OEMPRI-2233</t>
  </si>
  <si>
    <t>HL7588 MC_Generic_1102748_Create PRI for factory shipment</t>
  </si>
  <si>
    <t>F119BFDAA76478498C2C5D9BC982B4E600000000255E0000</t>
  </si>
  <si>
    <t>Amy Liu(1)</t>
  </si>
  <si>
    <t>[MFTSZ-15]Test on Driver B4720</t>
  </si>
  <si>
    <t>HL75xxMC</t>
  </si>
  <si>
    <t>Sara Liu(21)</t>
  </si>
  <si>
    <t>OEMPRI-2206</t>
  </si>
  <si>
    <t>CABC13619704C6418CD791C82D7CDF1C00CCE3A3A0070000</t>
  </si>
  <si>
    <t xml:space="preserve">Provide DumpDiff tool and report format for Lares </t>
  </si>
  <si>
    <t>OEMPRI-2194 Please confirm requirements from FW side.</t>
  </si>
  <si>
    <t>CABC13619704C6418CD791C82D7CDF1C00CCE3A3A0090000</t>
  </si>
  <si>
    <t>OEMPRI-2205</t>
  </si>
  <si>
    <t>[OEMPRI-4461] - Check-in Req</t>
  </si>
  <si>
    <t>OEMPRI-2203 Please confirm if there is any special requirement frm FW.</t>
  </si>
  <si>
    <t>CABC13619704C6418CD791C82D7CDF1C00CCE3A3A00A0000</t>
  </si>
  <si>
    <t>[OEMPRI-4533]- Update PRI and check-in</t>
  </si>
  <si>
    <t>OEMPRI-2204</t>
  </si>
  <si>
    <t>OEMPRI-2203 Confirm configuration information for SKU 1103040 release</t>
  </si>
  <si>
    <t>F119BFDAA76478498C2C5D9BC982B4E60000000025660000</t>
  </si>
  <si>
    <t>[env]add 7 pci_usb call to the dell machine</t>
  </si>
  <si>
    <t>Ben Zheng(38)</t>
  </si>
  <si>
    <t>CABC13619704C6418CD791C82D7CDF1C00CCE3A3A0080000</t>
  </si>
  <si>
    <t>OEMPRI-2202</t>
  </si>
  <si>
    <t>[OEMPRI-4461]--anilyze</t>
  </si>
  <si>
    <t>OEMPRI-2200 Please confirm if there is any special requirement frm FW.</t>
  </si>
  <si>
    <t>F119BFDAA76478498C2C5D9BC982B4E600000000255D0000</t>
  </si>
  <si>
    <t>[FWTOOLS-101]Set the maximum size of log for Dm-logger (override mode)</t>
  </si>
  <si>
    <t>OEMPRI-2201</t>
  </si>
  <si>
    <t>Vincent Chen(42)</t>
  </si>
  <si>
    <t>OEMPRI-2200 Confirmation configuration tool information for 1103226 release</t>
  </si>
  <si>
    <t>F119BFDAA76478498C2C5D9BC982B4E60000000025630000</t>
  </si>
  <si>
    <t>[env]to buy power cable for pci usb card</t>
  </si>
  <si>
    <t>OEMPRI-2195</t>
  </si>
  <si>
    <t>Vincent Chen(31)</t>
  </si>
  <si>
    <t>OEMPRI-2194 Manufacturing Tool</t>
  </si>
  <si>
    <t>CABC13619704C6418CD791C82D7CDF1C00CCE3A3A0060000</t>
  </si>
  <si>
    <t>Jenkins Build for FOTA error when choice paramter to skip build legato delta image.</t>
  </si>
  <si>
    <t>OEMPRI-2196</t>
  </si>
  <si>
    <t>CABC13619704C6418CD791C82D7CDF1C00CCE3A3A0040000</t>
  </si>
  <si>
    <t>Vincent Chen(45)</t>
  </si>
  <si>
    <t>[tool] Release Note Email Auto Generated task.</t>
  </si>
  <si>
    <t>1103093_9906279_AR7552RD_Panasonic_AT&amp;T_update with WP17.2_update APN profile</t>
  </si>
  <si>
    <t>F119BFDAA76478498C2C5D9BC982B4E60000000025620000</t>
  </si>
  <si>
    <t>[OEMPRI-4282]-[proj#4238]-[ECO-024840]-svt spkg and approve</t>
  </si>
  <si>
    <t>OEMPRI-2189</t>
  </si>
  <si>
    <t>MC7350_SKU1102036_FW package update with FDT4482</t>
  </si>
  <si>
    <t>Bing Huang(45)</t>
  </si>
  <si>
    <t>F119BFDAA76478498C2C5D9BC982B4E600000000255F0000</t>
  </si>
  <si>
    <t>[OEMPRI-4282]-[proj#4238]-update</t>
  </si>
  <si>
    <t>OEMPRI-2188</t>
  </si>
  <si>
    <t>MC7330_SKU1103162_FW package update with FDT4482</t>
  </si>
  <si>
    <t>F119BFDAA76478498C2C5D9BC982B4E60000000025570000</t>
  </si>
  <si>
    <t>[SZAM-88]Compare NV/EFS changes between two SPKG</t>
  </si>
  <si>
    <t>OEMPRI-2187</t>
  </si>
  <si>
    <t>F119BFDAA76478498C2C5D9BC982B4E600000000255A0000</t>
  </si>
  <si>
    <t>Eco Chen(49)</t>
  </si>
  <si>
    <t>[OEMPRI-4332]-[Proj#4042]-[TDN-012087]-svt spkg and approve</t>
  </si>
  <si>
    <t>MC7304_SKU1102029_FW package update with FDT4482</t>
  </si>
  <si>
    <t>OEMPRI-2186</t>
  </si>
  <si>
    <t>F119BFDAA76478498C2C5D9BC982B4E60000000025610000</t>
  </si>
  <si>
    <t>[OEMPRI-4168]-[proj#4173]-[ECO-024683]-svt spkg and approve</t>
  </si>
  <si>
    <t>MC7354_SKU1103327_FW package update with FDT4482</t>
  </si>
  <si>
    <t>F119BFDAA76478498C2C5D9BC982B4E60000000025600000</t>
  </si>
  <si>
    <t>[OEMPRI-4069]-[proj#4174]-[ECO-024683]-svt spkg and approve</t>
  </si>
  <si>
    <t>OEMPRI-2180</t>
  </si>
  <si>
    <t>Eco Chen(6)</t>
  </si>
  <si>
    <t>Rain Xie(15)</t>
  </si>
  <si>
    <t>[AR7592][ATTLab] PRI Carrier PRI update</t>
  </si>
  <si>
    <t>F119BFDAA76478498C2C5D9BC982B4E60000000025590000</t>
  </si>
  <si>
    <t>[tool]weekly report for Jira Ticket and Outlook Tasks</t>
  </si>
  <si>
    <t>OEMPRI-2174</t>
  </si>
  <si>
    <t>CABC13619704C6418CD791C82D7CDF1C00CCE3A3A0010000</t>
  </si>
  <si>
    <t>New Driver for FACT test.</t>
  </si>
  <si>
    <t>1103332_9906851_SL8082BT_OUTPOSTCENTRAL_GENERIC_new SKU</t>
  </si>
  <si>
    <t>Vincent Chen(50)</t>
  </si>
  <si>
    <t>F119BFDAA76478498C2C5D9BC982B4E60000000025580000</t>
  </si>
  <si>
    <t>OEMPRI-2149</t>
  </si>
  <si>
    <t>[OEMPRI-4332]-[Proj#4042]-update</t>
  </si>
  <si>
    <t>Package, mdm6x00 - AR8552, 1102458</t>
  </si>
  <si>
    <t>F119BFDAA76478498C2C5D9BC982B4E600000000255B0000</t>
  </si>
  <si>
    <t>[OEMPRI-4069]-[proj#4174]-update</t>
  </si>
  <si>
    <t>OEMPRI-1568</t>
  </si>
  <si>
    <t>F119BFDAA76478498C2C5D9BC982B4E600000000255C0000</t>
  </si>
  <si>
    <t>[OEMPRI-4168]-[proj#4173]-update</t>
  </si>
  <si>
    <t>F119BFDAA76478498C2C5D9BC982B4E60000000025490000</t>
  </si>
  <si>
    <t>[OEMPRI-3479]-[Proj#3980]-[ECO-024218]-svt spkg and Approve</t>
  </si>
  <si>
    <t>F119BFDAA76478498C2C5D9BC982B4E600000000254F0000</t>
  </si>
  <si>
    <t>[env]win8 ent 64 (vm from joy) test mft driver</t>
  </si>
  <si>
    <t>Please assign factory drivers/tools for AR7552 PRI ticket OEMPRI-1567</t>
  </si>
  <si>
    <t>F119BFDAA76478498C2C5D9BC982B4E60000000025550000</t>
  </si>
  <si>
    <t>OEMPRI-1567</t>
  </si>
  <si>
    <t>[tool]analyze workload for change current excel to MBN format</t>
  </si>
  <si>
    <t>AR7552_1102502_9904443-Ficosa package update with WP17.1</t>
  </si>
  <si>
    <t>CABC13619704C6418CD791C82D7CDF1C00CCE3A3A0020000</t>
  </si>
  <si>
    <t>OEMPRI-1520</t>
  </si>
  <si>
    <t>PRI Process for Generated and In Process.</t>
  </si>
  <si>
    <t>1103327_MC7354_PEOPLENET,AT&amp;T,05.05.58.00, new create</t>
  </si>
  <si>
    <t>OEMPRI-1514</t>
  </si>
  <si>
    <t>OEMPRI-1512 FW requirement for 910xxxx AR7582 AT&amp;T certification</t>
  </si>
  <si>
    <t>F119BFDAA76478498C2C5D9BC982B4E600000000254E0000</t>
  </si>
  <si>
    <t>[env]win10 ent 32 test mft driver</t>
  </si>
  <si>
    <t>OEMPRI-1513</t>
  </si>
  <si>
    <t>OEMPRI-1512 confirm configuration information for 910xxxx AR7582 AT&amp;T certification</t>
  </si>
  <si>
    <t>F119BFDAA76478498C2C5D9BC982B4E60000000025530000</t>
  </si>
  <si>
    <t>[tool] tools requirement standard input model</t>
  </si>
  <si>
    <t>OEMPRI-1512</t>
  </si>
  <si>
    <t>AR7582 package release for AT&amp;T certification</t>
  </si>
  <si>
    <t>F119BFDAA76478498C2C5D9BC982B4E60000000025560000</t>
  </si>
  <si>
    <t xml:space="preserve">[office] finish the qti temp input template </t>
  </si>
  <si>
    <t>OEMPRI-1511</t>
  </si>
  <si>
    <t>OEMPRI-1506 configuration information confirmation for AR7584 GCF certification</t>
  </si>
  <si>
    <t>OEMPRI-1509</t>
  </si>
  <si>
    <t>OEMPRI-1508 Configure tool for AR7598 DV3.1 sample</t>
  </si>
  <si>
    <t>OEMPRI-1507</t>
  </si>
  <si>
    <t>F119BFDAA76478498C2C5D9BC982B4E600000000254D0000</t>
  </si>
  <si>
    <t>[env]win7 ent 64 test mft driver</t>
  </si>
  <si>
    <t>FW requirement for AR7584 GCF certification</t>
  </si>
  <si>
    <t>Vincent Chen</t>
  </si>
  <si>
    <t>Bing Huang(90)</t>
  </si>
  <si>
    <t>OEMPRI-1506</t>
  </si>
  <si>
    <t>F119BFDAA76478498C2C5D9BC982B4E600000000254C0000</t>
  </si>
  <si>
    <t>[env]win7 ent 32 test mft driver</t>
  </si>
  <si>
    <t>AR7584 package release for GCF certification</t>
  </si>
  <si>
    <t>OEMPRI-1504</t>
  </si>
  <si>
    <t>F119BFDAA76478498C2C5D9BC982B4E60000000025470000</t>
  </si>
  <si>
    <t>Rain Xie(63)</t>
  </si>
  <si>
    <t>[SZAM-84]Provide template for standard PRI change request</t>
  </si>
  <si>
    <t>OEMPRI-1503 Configure tool for AR7596 DV4.1 sample</t>
  </si>
  <si>
    <t>OEMPRI-1502</t>
  </si>
  <si>
    <t>F119BFDAA76478498C2C5D9BC982B4E600000000254A0000</t>
  </si>
  <si>
    <t>OEMPRI-1500 Configuration information confirmation for AR7582 PTCRB package release</t>
  </si>
  <si>
    <t>apply write access for Project_Management\MOL_Projects\MOL_PRI\PRI_Test_Result</t>
  </si>
  <si>
    <t>Eco Chen(16)</t>
  </si>
  <si>
    <t>OEMPRI-1501</t>
  </si>
  <si>
    <t>Joe Liu(38)</t>
  </si>
  <si>
    <t>OEMPRI-1500 FW requirement for AR7582 PTCRB certification</t>
  </si>
  <si>
    <t>OEMPRI-1500</t>
  </si>
  <si>
    <t>F119BFDAA76478498C2C5D9BC982B4E600000000254B0000</t>
  </si>
  <si>
    <t>[env]win7 pro 32 test mft driver</t>
  </si>
  <si>
    <t>AR7582 package release for PTCRB certification</t>
  </si>
  <si>
    <t>OEMPRI-1498</t>
  </si>
  <si>
    <t>OEMPRI-1497 Configure tool for AR7592 DV3.1 sample</t>
  </si>
  <si>
    <t>F119BFDAA76478498C2C5D9BC982B4E600000000253C0000</t>
  </si>
  <si>
    <t xml:space="preserve">prepare for Dell Supper machine </t>
  </si>
  <si>
    <t>OEMPRI-1495</t>
  </si>
  <si>
    <t>OEMPRI-1494 Configure tool for AR7594 DV5.1 sample</t>
  </si>
  <si>
    <t>F119BFDAA76478498C2C5D9BC982B4E600000000253F0000</t>
  </si>
  <si>
    <t>clarify tools which we used for building or upgrading package</t>
  </si>
  <si>
    <t>Fannie Zhang(5)</t>
  </si>
  <si>
    <t>OEMPRI-1494</t>
  </si>
  <si>
    <t>1103204_9906619_AR7594(4g4gwGF_VW)</t>
  </si>
  <si>
    <t>OEMPRI-1441</t>
  </si>
  <si>
    <t>OEMPRI-1439 Please confirm if there is any special requirement from FW for AR7588 DV2 SKU</t>
  </si>
  <si>
    <t>F119BFDAA76478498C2C5D9BC982B4E60000000025400000</t>
  </si>
  <si>
    <t>make a tools list for workstation</t>
  </si>
  <si>
    <t>OEMPRI-1440</t>
  </si>
  <si>
    <t>OEMPRI-1439 confirm configuratin information for SKU 1103039</t>
  </si>
  <si>
    <t>Eco Chen(82)</t>
  </si>
  <si>
    <t>Eco Chen(9)</t>
  </si>
  <si>
    <t>F119BFDAA76478498C2C5D9BC982B4E60000000025360000</t>
  </si>
  <si>
    <t>try to create a task in outlook</t>
  </si>
  <si>
    <t>Ben Zheng(18)</t>
  </si>
  <si>
    <t>OEMPRI-1429</t>
  </si>
  <si>
    <t>[AR758x][Carrier PRI] Generic-EU Carrier PRI FW update to WP5.2 SWI9X28A_00.03.05.00</t>
  </si>
  <si>
    <t>F119BFDAA76478498C2C5D9BC982B4E60000000025370000</t>
  </si>
  <si>
    <t>OEMPRI-1433</t>
  </si>
  <si>
    <t>9903271_update vodafone PRI</t>
  </si>
  <si>
    <t>3D68EC023EC934408492A941A20053800000000033350000</t>
  </si>
  <si>
    <t>task function trial one</t>
  </si>
  <si>
    <t>OEMPRI-1424</t>
  </si>
  <si>
    <t>OEMPRI-1417 Please confirm if there is any special requirement frm FW.</t>
  </si>
  <si>
    <t>OEMPRI-1423</t>
  </si>
  <si>
    <t>OEMPRI-1415 Please confirm if there is any special requirement frm FW.</t>
  </si>
  <si>
    <t>F119BFDAA76478498C2C5D9BC982B4E60000000025350000</t>
  </si>
  <si>
    <t>make a todo list for configuration team</t>
  </si>
  <si>
    <t>OEMPRI-1421</t>
  </si>
  <si>
    <t>Bing Huang(83)</t>
  </si>
  <si>
    <t>OEMPRI-1413 Please confirm if there is any special requirement frm FW.</t>
  </si>
  <si>
    <t>OEMPRI-1420</t>
  </si>
  <si>
    <t>OEMPRI-1411 Please confirm if there is any special requirement from FW</t>
  </si>
  <si>
    <t>OEMPRI-1418</t>
  </si>
  <si>
    <t>OEMPRI-1417 confirm configuration information for SKU 1103037</t>
  </si>
  <si>
    <t>Yoyo Bao(0)</t>
  </si>
  <si>
    <t>OEMPRI-1416</t>
  </si>
  <si>
    <t>OEMPRI-1415 Confirm configuration informationf for SKU 1103146</t>
  </si>
  <si>
    <t>F119BFDAA76478498C2C5D9BC982B4E60000000025390000</t>
  </si>
  <si>
    <t>make a folder scan tool and share the tool list for int group</t>
  </si>
  <si>
    <t>OEMPRI-1414</t>
  </si>
  <si>
    <t>Zipeng Sun(1)</t>
  </si>
  <si>
    <t>Yoyo Bao(3)</t>
  </si>
  <si>
    <t>Davy Zhang(21)</t>
  </si>
  <si>
    <t>OEMPRI-1413 Confirm configuration information for SKU1103150</t>
  </si>
  <si>
    <t>17E6D1164FF0B24C8021FBBD8617080F0000000021270000</t>
  </si>
  <si>
    <t>fwtool/oempri/factory/flow web presentation</t>
  </si>
  <si>
    <t>OEMPRI-1412</t>
  </si>
  <si>
    <t>OEMPRI-1411 Confirm configuration information for SKU 1103151</t>
  </si>
  <si>
    <t>1F8063A03FF2CB49A90656195695F9FB00000000372D0000</t>
  </si>
  <si>
    <t>Package and release for OEMPRI-8115</t>
  </si>
  <si>
    <t>OEMPRI-1419</t>
  </si>
  <si>
    <t>Create PRI/CFG for SKU proj #3250/51 config FW to 2.11 on HL7690 PV and DV3.x samples</t>
  </si>
  <si>
    <t>HLxxxx</t>
  </si>
  <si>
    <t>Jay Chen</t>
  </si>
  <si>
    <t>1F8063A03FF2CB49A90656195695F9FB00000000372E0000</t>
  </si>
  <si>
    <t>Package and release for OEMPRI-8171</t>
  </si>
  <si>
    <t>OEMPRI-1410</t>
  </si>
  <si>
    <t>1102202 MC7354,CRADLEPOINT,VERIZON,5.5.58.01,</t>
  </si>
  <si>
    <t>Zipeng Sun(0)</t>
  </si>
  <si>
    <t>3D68EC023EC934408492A941A20053800000000035010000</t>
  </si>
  <si>
    <t>OEMPRI-1409</t>
  </si>
  <si>
    <t>[FWTOOLS][MultipleMBN-Build] Add input option with Metafile for Script</t>
  </si>
  <si>
    <t>1102203 MC7304 CRADLEPOINT,GENERIC,5.5.58.00 update PRI</t>
  </si>
  <si>
    <t>OEMPRI-1377</t>
  </si>
  <si>
    <t>AR7592 Package for PTCRB certificatioin</t>
  </si>
  <si>
    <t>3D68EC023EC934408492A941A20053800000000035020000</t>
  </si>
  <si>
    <t>[FWTOOLS][MultipleMBN-Build] Script complete and initial test pass</t>
  </si>
  <si>
    <t>Package, Tool, Test</t>
  </si>
  <si>
    <t>OEMPRI-1376</t>
  </si>
  <si>
    <t>AR7594 Package for GCF certification</t>
  </si>
  <si>
    <t>OEMPRI-1374</t>
  </si>
  <si>
    <t>[AR759x][ATT Lab] Carrier PRI update with B17 disable</t>
  </si>
  <si>
    <t>OEMPRI-1372</t>
  </si>
  <si>
    <t>3D68EC023EC934408492A941A20053800000000035030000</t>
  </si>
  <si>
    <t>[AR7586][Carrier PRI] CMCC Carrier PRI FW update</t>
  </si>
  <si>
    <t>[FWTOOLS][MultipleMBN-Build] Initial Multiple Excel creation for 9x28 and 9x40</t>
  </si>
  <si>
    <t>Hugh Yao(29)</t>
  </si>
  <si>
    <t>OEMPRI-1355</t>
  </si>
  <si>
    <t>OEMPRI-1354 confirm configuration information for below items</t>
  </si>
  <si>
    <t>OEMPRI-1353</t>
  </si>
  <si>
    <t>3D68EC023EC934408492A941A20053800000000035040000</t>
  </si>
  <si>
    <t>Eco Chen(25)</t>
  </si>
  <si>
    <t>[FWTOOLS][pkg_automation] Active initial download for field test base request</t>
  </si>
  <si>
    <t>OEMPRI-1352 Confirm configuration information for below items</t>
  </si>
  <si>
    <t>Ben Zheng(56)</t>
  </si>
  <si>
    <t>Ben Zheng(29)</t>
  </si>
  <si>
    <t>Ben Zheng(17)</t>
  </si>
  <si>
    <t>OEMPRI-1351</t>
  </si>
  <si>
    <t>3D68EC023EC934408492A941A20053800000000035060000</t>
  </si>
  <si>
    <t>[FWTOOLS][FWTOOLS-400] - Test</t>
  </si>
  <si>
    <t>OEMPRI-1350 Confirm configuration information for below items</t>
  </si>
  <si>
    <t>Bing Huang(158)</t>
  </si>
  <si>
    <t>Bing Huang(63)</t>
  </si>
  <si>
    <t>OEMPRI-1342</t>
  </si>
  <si>
    <t>OEMPRI-1341 please confirm manufacturing driver, configuration tool, download tool credential information in this ticket</t>
  </si>
  <si>
    <t>3D68EC023EC934408492A941A20053800000000035050000</t>
  </si>
  <si>
    <t>[FWTOOLS][FWTOOLS-400] - OCT</t>
  </si>
  <si>
    <t>OEMPRI-1334</t>
  </si>
  <si>
    <t>OEMPRI-1332 Please review ATT requirement in this PRI.</t>
  </si>
  <si>
    <t>OEMPRI-1336</t>
  </si>
  <si>
    <t>CLONE - Please review the package.</t>
  </si>
  <si>
    <t>OEMPRI-1335</t>
  </si>
  <si>
    <t>CLONE - PRI Review Request</t>
  </si>
  <si>
    <t>OEMPRI-1332</t>
  </si>
  <si>
    <t>9101000_9906809_AR7592(4g4g)_Alpha5.1(01.02.02.00)_package for ATTLab</t>
  </si>
  <si>
    <t>OEMPRI-1324</t>
  </si>
  <si>
    <t>1103247_SL3010T_Dummy request for tools migration</t>
  </si>
  <si>
    <t>Bing Huang(233)</t>
  </si>
  <si>
    <t>OEMPRI-1307</t>
  </si>
  <si>
    <t>1103238_9906724_SL8082BTAR_CONTINENTAL_GENERIC_new SKU with R7.54.10.A1</t>
  </si>
  <si>
    <t>Bing Huang(101)</t>
  </si>
  <si>
    <t>OEMPRI-1273</t>
  </si>
  <si>
    <t>HL7588 MC_Dell_SKU 1103155_create PRI for facotry shipment_ 9906452</t>
  </si>
  <si>
    <t>OEMPRI-1247</t>
  </si>
  <si>
    <t>Davy Zhang(46)</t>
  </si>
  <si>
    <t>1103241_9906726_SL8082T_GENERIC_GENERIC_New SKU for 2N</t>
  </si>
  <si>
    <t>OEMPRI-1243</t>
  </si>
  <si>
    <t>OEMPRI-1242 Tool for AR7592 PRI</t>
  </si>
  <si>
    <t>OEMPRI-1237</t>
  </si>
  <si>
    <t>CLONE - ATT VOLTE TEST PRI</t>
  </si>
  <si>
    <t>OEMPRI-1239</t>
  </si>
  <si>
    <t>Eco Chen(5)</t>
  </si>
  <si>
    <t>1103216_9906652_SL8084TR_GENERIC_DOCOMO_New SKU</t>
  </si>
  <si>
    <t>Cassie Sheng(8)</t>
  </si>
  <si>
    <t>OEMPRI-1238</t>
  </si>
  <si>
    <t>MC7354 TELCEL PRI create for TA</t>
  </si>
  <si>
    <t>OEMPRI-1235</t>
  </si>
  <si>
    <t>1102794 MC7354 Cellular NVUP for customer to fixing up NV wipe by mistake.</t>
  </si>
  <si>
    <t>OEMPRI-1204</t>
  </si>
  <si>
    <t>test1 for AR75xx cusotmer PRI</t>
  </si>
  <si>
    <t>OEMPRI-1035</t>
  </si>
  <si>
    <t>CMCC TEST PRI for VOLTE</t>
  </si>
  <si>
    <t>OEMPRI-707</t>
  </si>
  <si>
    <t>1102594 MC7354 Sprint PRI update</t>
  </si>
  <si>
    <t>Bob Lai</t>
  </si>
  <si>
    <t>OEMPRI-706</t>
  </si>
  <si>
    <t>OEMPRI-704</t>
  </si>
  <si>
    <t>1102553 Generic MC7354 Sprint PRI update</t>
  </si>
  <si>
    <t>Vincent Liu(81)</t>
  </si>
  <si>
    <t>OEMPRI-703</t>
  </si>
  <si>
    <t>1102295 Generic MC7354 Sprint PRI update</t>
  </si>
  <si>
    <t>OEMPRI-651</t>
  </si>
  <si>
    <t>Billion MC7354 SKU</t>
  </si>
  <si>
    <t>Vincent Liu(72)</t>
  </si>
  <si>
    <t>OEMPRI-611</t>
  </si>
  <si>
    <t>[9x30] Docomo Carrier PRI Update Request</t>
  </si>
  <si>
    <t>Keven Kwan</t>
  </si>
  <si>
    <t>OEMPRI-310</t>
  </si>
  <si>
    <t>[9x40] 9906167-Generic Initial Creation</t>
  </si>
  <si>
    <t>OEMPRI-1606</t>
  </si>
  <si>
    <t>1103204_9906619_AR7594(4g4g)_Alpha5_VW</t>
  </si>
  <si>
    <t>OEMPRI-1748</t>
  </si>
  <si>
    <t>1102067 SL3010T SL3010T,GENERIC,VERIZON,01.12.25, PRL update to 57027</t>
  </si>
  <si>
    <t>OEMPRI-1747</t>
  </si>
  <si>
    <t>1102332_SL3010T,NAPCO,VERIZON,R7.52.0.A3/WIP 5.57.0.A3,OAT=Y,AVMS=Y,GNSS=A,NO IMEI,UART=115200+USB PRL update</t>
  </si>
  <si>
    <t>Bing Huang(240)</t>
  </si>
  <si>
    <t>OEMPRI-1746</t>
  </si>
  <si>
    <t>1102723_9905112_SL8090RD_Generic, NTT_PRI_initial create with FW SWI6600P_02.04.04.00</t>
  </si>
  <si>
    <t>OEMPRI-1749</t>
  </si>
  <si>
    <t>Package, mdm9x15 - AR7550, 1101737_VZW</t>
  </si>
  <si>
    <t>Alain-Michel Behiri</t>
  </si>
  <si>
    <t>OEMPRI-1666</t>
  </si>
  <si>
    <t>1103047_SL3010BT_HONEYWELL,VERIZON,R7.53.5.A3,OPEN AT,AVMS,GNSS=A,NO IMEI,UART+USB=115200 BDS new create</t>
  </si>
  <si>
    <t>Vincent Liu(85)</t>
  </si>
  <si>
    <t>OEMPRI-1608</t>
  </si>
  <si>
    <t>1103048_9906092_AR7594(4g4g)_alpha 5_VW</t>
  </si>
  <si>
    <t>OEMPRI-1719</t>
  </si>
  <si>
    <t>1103056_9906230 _AR7552RD_Lesswire_AT&amp;T_Package create with WP14.5</t>
  </si>
  <si>
    <t>OEMPRI-1667</t>
  </si>
  <si>
    <t>1103123_9906369_MC7354,BILLION,GENERIC UMTS,05.05.58.00,,,GNSS=AB,SWIR IMEI,USB,,_new create</t>
  </si>
  <si>
    <t>OEMPRI-1607</t>
  </si>
  <si>
    <t>1102559_9904575_AR7554RD_Hino_NTT_with WP13.5.3 + updated PRI with NTT IOT fixes</t>
  </si>
  <si>
    <t>OEMPRI-1674</t>
  </si>
  <si>
    <t>MC7304,1102289, update dummy TAC to 12345673</t>
  </si>
  <si>
    <t>OEMPRI-1671</t>
  </si>
  <si>
    <t>1103093_9906279_AR7552RD_Panasonic_AT&amp;T_FW update with WP14.5</t>
  </si>
  <si>
    <t>Vincent Chen(16)</t>
  </si>
  <si>
    <t>OEMPRI-1670</t>
  </si>
  <si>
    <t>1102493_9904452_AR7552RD_Panasonic_AT&amp;T_FW update with WP14.5</t>
  </si>
  <si>
    <t>OEMPRI-1700</t>
  </si>
  <si>
    <t>1103041_9906062_AR7598(4g2g)_Alpha3_Generic</t>
  </si>
  <si>
    <t>2018-08-21 16:22:37 update 1 Tickets 1 Cells</t>
  </si>
  <si>
    <t>OEMPRI-1579</t>
  </si>
  <si>
    <t>1103247_SL3010T,Q-M2M,GENERIC,R7.53.6.A3/EXT AT,OPEN AT,AVMS,GNSS=A,NO IMEI,UART+USB=115200 BDS,_new create</t>
  </si>
  <si>
    <t>OEMPRI-1783</t>
  </si>
  <si>
    <t>1102242_9903562_SL8090RD_PRI update to fix PTCRB case</t>
  </si>
  <si>
    <t>OEMPRI-1782</t>
  </si>
  <si>
    <t>1102727-9905119_MC8090RD PCM_Generic, Generic_PRI update to fix PTCRB issue</t>
  </si>
  <si>
    <t>OEMPRI-1781</t>
  </si>
  <si>
    <t>1102728-9905120_MC8090RD UART_Generic, Generic_PRI_update to fix PTCRB issue</t>
  </si>
  <si>
    <t>OEMPRI-1729</t>
  </si>
  <si>
    <t>1102723_9905112_SL8090RD_Generic, NTT_PRI_update to setting of AT!MAPUART</t>
  </si>
  <si>
    <t>Vincent Chen(91)</t>
  </si>
  <si>
    <t>OEMPRI-1728</t>
  </si>
  <si>
    <t>1103071_9906191_SL8090RD_new SKU create</t>
  </si>
  <si>
    <t>Bing Huang(118)</t>
  </si>
  <si>
    <t>OEMPRI-1639</t>
  </si>
  <si>
    <t>1102571 MC7354,GENERIC,SPRINT,05.05.63.01,,,GNSS=AB,SWIR IMEI,USB, PRL update</t>
  </si>
  <si>
    <t>OEMPRI-1592</t>
  </si>
  <si>
    <t>[SignatureTool] Release signature tool 9.23.0.0</t>
  </si>
  <si>
    <t>1102503_9904462_AR7554RD_Ficosa _EU_Generic_Update with WP16.1</t>
  </si>
  <si>
    <t>OEMPRI-1591</t>
  </si>
  <si>
    <t>Vincent Chen(17)</t>
  </si>
  <si>
    <t>Bing Huang(108)</t>
  </si>
  <si>
    <t>1102504_9904463_AR7554RD_Ficosa _JP_NTT_Update with WP16.1</t>
  </si>
  <si>
    <t>Bing Huang(142)</t>
  </si>
  <si>
    <t>OEMPRI-1590</t>
  </si>
  <si>
    <t>1102441_9904283_AR7554RD_Ficosa_Generic_package upgrade for WP16.1</t>
  </si>
  <si>
    <t>SWI_Secure9xXXSignature</t>
  </si>
  <si>
    <t>OEMPRI-1807</t>
  </si>
  <si>
    <t>SKU1102783 initiation</t>
  </si>
  <si>
    <t>Tiejun Fu(3)</t>
  </si>
  <si>
    <t>OEMPRI-1806</t>
  </si>
  <si>
    <t>Update SKU1102599</t>
  </si>
  <si>
    <t>Cassie Sheng(30)</t>
  </si>
  <si>
    <t>Bing Huang(88)</t>
  </si>
  <si>
    <t>OEMPRI-1704</t>
  </si>
  <si>
    <t>1102761_9905322_AR7594(4g2g)_Alpha3_VW</t>
  </si>
  <si>
    <t>[FWTOOLS-339][subtask] ICCID item</t>
  </si>
  <si>
    <t>OEMPRI-1703</t>
  </si>
  <si>
    <t>Shell Xiao</t>
  </si>
  <si>
    <t>1103048_9906092_AR7594(4g4g)_Alpha3_VW</t>
  </si>
  <si>
    <t>Bing Huang(138)</t>
  </si>
  <si>
    <t>OEMPRI-1702</t>
  </si>
  <si>
    <t>1102785_9906061_AR7596(4g2g)_Alpha3_VW</t>
  </si>
  <si>
    <t>[FWTOOLS-339][subtask] RegStaEvent item</t>
  </si>
  <si>
    <t>OEMPRI-1790</t>
  </si>
  <si>
    <t>AR8550 Ficosa AT&amp;T SKU 1102755 FW upgrade to ARx550_R2_FP.00.05.12.07 for 2015 PCN factory shipment</t>
  </si>
  <si>
    <t>OEMPRI-1789</t>
  </si>
  <si>
    <t>Vincent Chen(29)</t>
  </si>
  <si>
    <t>AR8550 Ficosa Rogers SKU 1102754 FW upgrade to ARx550_R2_FP.00.05.12.07 for 2015 PCN factory shipment</t>
  </si>
  <si>
    <t>OEMPRI-1788</t>
  </si>
  <si>
    <t>[Firmware one-click]1104152_9908590_AR7582_01.02.05.00_00_MM_001.002_000_101103963 for Eland VZW PreLE</t>
  </si>
  <si>
    <t>1102407 MC7354 Update Verizon PRI to 005.029_001</t>
  </si>
  <si>
    <t>Firmware oneclick</t>
  </si>
  <si>
    <t>OEMPRI-1787</t>
  </si>
  <si>
    <t>1102552 MC7354,Update Verizon PRI to 005.029_001</t>
  </si>
  <si>
    <t>Eco Chen(3)</t>
  </si>
  <si>
    <t>OEMPRI-1786</t>
  </si>
  <si>
    <t>Vincent Chen(28)</t>
  </si>
  <si>
    <t>1102290 MC7354,Update Verizon PRI to 005.029_001</t>
  </si>
  <si>
    <t>[Firmware one-click]1104152_9908590_AR7582_01.02.05.00_00_MM_001.002_000_101103963 for Eland ATT AVL</t>
  </si>
  <si>
    <t>OEMPRI-1680</t>
  </si>
  <si>
    <t>1102202 MC7354,CRADLEPOINT,VERIZON,5.5.58.01,,,PRI update to update NV6264 set to 1738</t>
  </si>
  <si>
    <t>OEMPRI-1609</t>
  </si>
  <si>
    <t>1102626_9904922_AR8652_07.10.05.02_00_MmPsaSigned_007.004_000</t>
  </si>
  <si>
    <t>[KT CM Tool]change the CM tool version to 0.2.2.0</t>
  </si>
  <si>
    <t>Michel Giroux</t>
  </si>
  <si>
    <t>kt-cm tool</t>
  </si>
  <si>
    <t>OEMPRI-1682</t>
  </si>
  <si>
    <t>Vincent Chen(0)</t>
  </si>
  <si>
    <t>1103032_9906054_AR7592(4g2g)_Alpha3_Generic</t>
  </si>
  <si>
    <t>OEMPRI-1681</t>
  </si>
  <si>
    <t>Cassie Sheng(15)</t>
  </si>
  <si>
    <t>Cassie Sheng(22)</t>
  </si>
  <si>
    <t>1103125 -9906379_Legacy MC8092 PCM_Generic, Generic_new SKU create with 1.0.0.28</t>
  </si>
  <si>
    <t>OEMPRI-1611</t>
  </si>
  <si>
    <t>[Firmware one-click]1103211_9906625_AR7598_01.18.07.00_00_VW_001.023_000_101103211 for NTT LE</t>
  </si>
  <si>
    <t>Rain Xie(150)</t>
  </si>
  <si>
    <t>1103197_ MC7354,SWI GENERIC,VERIZON,05.05.58.21,,,GNSS=AB,SWIR IMEI,USB,VERIZON B13 ONLY, new create</t>
  </si>
  <si>
    <t>OEMPRI-1610</t>
  </si>
  <si>
    <t>1102504_9904463_AR7554RD_Ficosa _JP_NTT_with WP15.3+PRI update for NTT VOLTE IOT test</t>
  </si>
  <si>
    <t>OEMPRI-1594</t>
  </si>
  <si>
    <t>[Firmware one-click]1103211_9906625_AR7598_01.18.07.00_00_VW_001.023_000_101103211 for Telstra LE</t>
  </si>
  <si>
    <t>1102502_9904443_AR7552RD_Ficosa_AT&amp;T_FW update with WP14.7</t>
  </si>
  <si>
    <t>OEMPRI-1791</t>
  </si>
  <si>
    <t>1103010_9906032_SL8092_Q-M2M generic_FW package create</t>
  </si>
  <si>
    <t>OEMPRI-1612</t>
  </si>
  <si>
    <t xml:space="preserve"> [FWTOOLS-339][subtask] IDD_RegStaEvent and Make item longer</t>
  </si>
  <si>
    <t>1102559_9904575_AR7554RD_Hino_NTT_with WP13.5.2 update PRI with NTT IOT fixes</t>
  </si>
  <si>
    <t>OEMPRI-1595</t>
  </si>
  <si>
    <t>1103207/9906620_AR7596(4g4g)_Alpha5(01.01.08.00)_VW</t>
  </si>
  <si>
    <t>OEMPRI-1808</t>
  </si>
  <si>
    <t>[FWTOOLS-339][subtask] IMS/P-CSCF Address</t>
  </si>
  <si>
    <t>Harris Pang(58)</t>
  </si>
  <si>
    <t>[FWTOOLS-339][subtask] IMPI/IMPU/SrvDomain</t>
  </si>
  <si>
    <t>James Wang(66)</t>
  </si>
  <si>
    <t>1102586_9904631_MC7330_05.05.66.00_fw package with MEP lock enabled for customer</t>
  </si>
  <si>
    <t>[FWTOOLS-339][subtask] AuthName/Password</t>
  </si>
  <si>
    <t>Rain Xie(11)</t>
  </si>
  <si>
    <t>Bing Huang(174)</t>
  </si>
  <si>
    <t>[nvupcoupler tool] need improve the tool</t>
  </si>
  <si>
    <t>Vincent Chen(64)</t>
  </si>
  <si>
    <t>[Firmware one-click]1104152_9908590_AR7582_01.02.05.00_00_MM_001.002_000_101103963 for Eland TMO PreLE</t>
  </si>
  <si>
    <t>OEMPRI-1752</t>
  </si>
  <si>
    <t>Bing Huang(151)</t>
  </si>
  <si>
    <t>1103050 SL3010T,HONEYWELL,VERIZON,R7.53.4.A3, new create</t>
  </si>
  <si>
    <t>Ben Zheng(148)</t>
  </si>
  <si>
    <t>[Firmware one-click] 1103211_9906625_AR7598_01.18.06.00_00_VW_001.022_000_101103211 for NTT LE</t>
  </si>
  <si>
    <t>OEMPRI-1640</t>
  </si>
  <si>
    <t>Eco Chen(19)</t>
  </si>
  <si>
    <t>Rain Xie(10)</t>
  </si>
  <si>
    <t>OEMPRI-1813</t>
  </si>
  <si>
    <t>1102617_9904775_AR7552RD_Generic_AT&amp;T_Package Upgrade with WP12.7</t>
  </si>
  <si>
    <t>OEMPRI-1812</t>
  </si>
  <si>
    <t>[KT CM Tool] VoLTE/IMS menu change to two.</t>
  </si>
  <si>
    <t>Lares Yang(192)</t>
  </si>
  <si>
    <t>1102244_9903564_SL8092RD_Generic, generic_PRI_update with new NV for GCF failed case</t>
  </si>
  <si>
    <t>OEMPRI-1811</t>
  </si>
  <si>
    <t>1102731-9905125_MC8092RD PCM_Generic, Generic_PRI_update with new NV setting for GCF failed case</t>
  </si>
  <si>
    <t>Eco Chen(134)</t>
  </si>
  <si>
    <t>Eco Chen(23)</t>
  </si>
  <si>
    <t>OEMPRI-1810</t>
  </si>
  <si>
    <t>1102733_9905126_MC8092RD UART_Generic, Generic_PRI update with new NV setting for gcf failed case</t>
  </si>
  <si>
    <t>OEMPRI-1809</t>
  </si>
  <si>
    <t>[KT CM Tool] SMS fails on Korea</t>
  </si>
  <si>
    <t>1102751_9905193_MC7330,SWIR,DOCOMO,05.05.65.00,OAT=N,AVMS=N,GNSS=AB,SWIR IMEI,USB,DATA ONLY update with MEP lock disable</t>
  </si>
  <si>
    <t>Harris Pang(2)</t>
  </si>
  <si>
    <t>OEMPRI-1684</t>
  </si>
  <si>
    <t>1103089_9906265_AR7554RD_Generic_Lesswire_Package Create with WP14.4</t>
  </si>
  <si>
    <t xml:space="preserve"> [KT CM Tool] Crash during dataconnect</t>
  </si>
  <si>
    <t>OEMPRI-1596</t>
  </si>
  <si>
    <t>1103217_ MC7304,CISCO,GENERIC,05.05.58.00,,,GNSS=AB,CUSTMR IMEI,USB, new create</t>
  </si>
  <si>
    <t>OEMPRI-1814</t>
  </si>
  <si>
    <t>[CM tool] CM do not have "IMS Registration Setting Menu"</t>
  </si>
  <si>
    <t>1102616_9904753_AR7554RD_Generic_Package Upgrade with WP12.7</t>
  </si>
  <si>
    <t>Dylan Kim</t>
  </si>
  <si>
    <t>OEMPRI-1799</t>
  </si>
  <si>
    <t>1102625_MC7354,GENERIC,GENERIC,05.05.58.00,_re_enable CDMA</t>
  </si>
  <si>
    <t>OEMPRI-1642</t>
  </si>
  <si>
    <t>[Firmware one-click]1104152_9908590_AR7582_01.02.05.00_00_MM_001.001_000_101103963 for Eland VZW PreLE</t>
  </si>
  <si>
    <t>1102559_9904575_AR7554RD_Hino_NTT_with WP13.5.3</t>
  </si>
  <si>
    <t>OEMPRI-1641</t>
  </si>
  <si>
    <t>1102616_9904753_AR7554RD_Generic_Package Upgrade with WP14.4</t>
  </si>
  <si>
    <t>[Firmware one-click]1104152_9908590_AR7582_01.02.05.00_00_MM_001.001_000_101103963 for Eland ATT AVL</t>
  </si>
  <si>
    <t>OEMPRI-1710</t>
  </si>
  <si>
    <t>1103093_9906279_AR7552RD_Panasonic_AT&amp;T_SKU create with WP13.5</t>
  </si>
  <si>
    <t>OEMPRI-1709</t>
  </si>
  <si>
    <t>9160001_MC8090RD_NTT_FW package for customer.</t>
  </si>
  <si>
    <t>[CM Tool] Caller's Phone number UI is not displayed on CM.</t>
  </si>
  <si>
    <t>OEMPRI-1686</t>
  </si>
  <si>
    <t>1102559_9904575_AR7554RD_Hino_NTT_with WP13.5.2</t>
  </si>
  <si>
    <t>OEMPRI-1616</t>
  </si>
  <si>
    <t>1102617_9904775_AR7552RD_Generic_AT&amp;T_Package Upgrade with WP14.4</t>
  </si>
  <si>
    <t>[CM Tool] CM do not have 'VoLTE media Setting Option' for VoLTE services</t>
  </si>
  <si>
    <t>OEMPRI-1755</t>
  </si>
  <si>
    <t>1103048_9906092_AR7594(4g4g)_Alpha2_VW</t>
  </si>
  <si>
    <t>OEMPRI-1754</t>
  </si>
  <si>
    <t>1102785_9906061_AR7596(4g2g)_Alpha2_VW</t>
  </si>
  <si>
    <t>OEMPRI-1617</t>
  </si>
  <si>
    <t>Harris Pang(6)</t>
  </si>
  <si>
    <t>1103109_ AR7582,FICOSA,,02.11,LEGATO,AVMS,GNSS=ABCD,SWIR IMEI,USB,4G/2G MEMORY; LEGATO_New create</t>
  </si>
  <si>
    <t>[CM Tool] CM do not have 'Registration retry information' menu</t>
  </si>
  <si>
    <t>Suzi Lan(185)</t>
  </si>
  <si>
    <t>Suzi Lan(0)</t>
  </si>
  <si>
    <t>Suzi Lan(156)</t>
  </si>
  <si>
    <t xml:space="preserve"> [KT CM Tool] APN change make IPV6V4 change to IP</t>
  </si>
  <si>
    <t>OEMPRI-1756</t>
  </si>
  <si>
    <t>1102641_EM7355,GENERIC,VERIZON,05.05.58.01,,,GNSS=AB,SWIR IMEI,USB,M2M_PRI update</t>
  </si>
  <si>
    <t>[FactoryConfigBuild] Factory config build tool for TAC update</t>
  </si>
  <si>
    <t>OEMPRI-1757</t>
  </si>
  <si>
    <t>FactoryConfigBuild</t>
  </si>
  <si>
    <t>1102761_9905322_AR7594(4g2g)_Alpha2_VW</t>
  </si>
  <si>
    <t>OEMPRI-1815</t>
  </si>
  <si>
    <t>1102764_9905221_SL8090,GENERIC,AT&amp;T,SWI6600P_02.04.04.00,,,GNSS=AB,SWIR IMEI,USB,CNS;SL8090 RD PRI update to fix PTCRB failure case</t>
  </si>
  <si>
    <t>[SignatureTool] Resign with CERT1 or CERT2 in one time in AR758x/AR759x</t>
  </si>
  <si>
    <t>OEMPRI-1763</t>
  </si>
  <si>
    <t>1102109_xxxxx SL3010T SWIR,VERIZON R7.53.A3 PRL udpate</t>
  </si>
  <si>
    <t>OEMPRI-1762</t>
  </si>
  <si>
    <t>1102178_xxxxx SL3010T,GENERIC,VERIZON,01.12.25,OAT=N,AVMS=N,GPS=Y,NO IMEI,UART=115200 PRL update</t>
  </si>
  <si>
    <t>[CM Tool] Unable to modify EF_PLMNwACT field</t>
  </si>
  <si>
    <t>OEMPRI-1761</t>
  </si>
  <si>
    <t>Bing Huang(201)</t>
  </si>
  <si>
    <t>1102292_9903756_ SL3010T,SWIR,VERIZON,R7.53,OAT=Y,AVMS=Y,GNSS=A,NO IMEI,UART=115200+USB PRL update</t>
  </si>
  <si>
    <t>OEMPRI-1760</t>
  </si>
  <si>
    <t>1102523 SL3010T,QUAL,VERIZON,1.13.11,,,GNSS=A,NO IMEI,UART=115200 bds PRL update</t>
  </si>
  <si>
    <t>[CM tool] Support 'RTCP Setting menu' to enable/disable RTCP</t>
  </si>
  <si>
    <t>OEMPRI-1759</t>
  </si>
  <si>
    <t>1102624_SL3010T,VERIZON T.,VERIZON,R7.53.2.A3,OPEN AT,AVMS,GNSS=A,NO IMEI,UART+USB=115200 BDS_PRL update</t>
  </si>
  <si>
    <t>Suzi Lan(61)</t>
  </si>
  <si>
    <t>Suzi Lan(6)</t>
  </si>
  <si>
    <t>Bing Huang(61)</t>
  </si>
  <si>
    <t>OEMPRI-1758</t>
  </si>
  <si>
    <t>1102677_SL3010T,HONEYWELL,VERIZON,R7.53.2.A3,OPEN AT,AVMS,GNSS=A,NO IMEI,UART+USB=115200 BDS,DMU KEY PRL update</t>
  </si>
  <si>
    <t>OEMPRI-1688</t>
  </si>
  <si>
    <t>1103093_9906279_AR7552RD_Panasonic_AT&amp;T_FW update with WP14.4</t>
  </si>
  <si>
    <t>[CM tool] Writing new value for EF_SMSP is not allowed</t>
  </si>
  <si>
    <t>OEMPRI-1598</t>
  </si>
  <si>
    <t>1103215_9906646_AR7554RD_Generic_Lesswire_Package Create with WP15.3</t>
  </si>
  <si>
    <t>OEMPRI-1734</t>
  </si>
  <si>
    <t>1102502_9904443_AR7552RD_Ficosa_AT&amp;T_FW update with WP13.4.1</t>
  </si>
  <si>
    <t>[KT CM Tool] Mecallopmode disable "emergency call only"</t>
  </si>
  <si>
    <t>OEMPRI-1651</t>
  </si>
  <si>
    <t>1102751_9905193_ MC7330,GENERIC,DOCOMO,05.05.65.00,,,GNSS=AB,SWIR IMEI,USB,M2M_Fix SIM detect issue</t>
  </si>
  <si>
    <t>OEMPRI-1650</t>
  </si>
  <si>
    <t>[CM TOOL] CM do not have 'ISIM information Setting menu' for IMS services</t>
  </si>
  <si>
    <t>1103162_9906465_MC7330,SWIR,DOCOMO,05.05.65.00,,,GNSS=AB,SWIR IMEI,USB,DATA ONLY_new create</t>
  </si>
  <si>
    <t>OEMPRI-1649</t>
  </si>
  <si>
    <t>1103154_9906450_MC7354 QUALIFIED,NETCOMM,GENERIC,05.05.58.00,,,GNSS=AB,SWIR IMEI,USB,CDMA DISABLED _new create</t>
  </si>
  <si>
    <t>OEMPRI-1648</t>
  </si>
  <si>
    <t>[Firmware one-click] 1103211_9906625_AR7598_01.18.06.00_00_VW_001.022_000_101103211 for GCF Field</t>
  </si>
  <si>
    <t>1101442 SL5011,GENERIC,SPRINT,01.05.03 _update PRL only</t>
  </si>
  <si>
    <t>SL501x</t>
  </si>
  <si>
    <t>OEMPRI-1647</t>
  </si>
  <si>
    <t>1102006_SL5011,GENERIC,SPRINT,01.13.01,,,GNSS=A,NO IMEI,UART=115200 BDS,_update PRL only</t>
  </si>
  <si>
    <t>Eco Chen(29)</t>
  </si>
  <si>
    <t>Eco Chen(85)</t>
  </si>
  <si>
    <t>autobuild</t>
  </si>
  <si>
    <t>OEMPRI-1646</t>
  </si>
  <si>
    <t>1102021_SL5011,GENERIC,SPRINT,01.13.01,,,GNSS=A,NO IMEI,USB,,_update PRL only</t>
  </si>
  <si>
    <t>OEMPRI-1645</t>
  </si>
  <si>
    <t>Bing Huang(57)</t>
  </si>
  <si>
    <t>[Firmware one-click] for test only</t>
  </si>
  <si>
    <t>1102409_SL5011,SPEEDSHIED,SPRINT,01.13.01,,,,NO IMEI,UART=115200 BDS,_update PRL only</t>
  </si>
  <si>
    <t>OEMPRI-1644</t>
  </si>
  <si>
    <t>1102583, MC7350,GENERIC,VERIZON,05.05.58.01,,,GNSS=AB,SWIR IMEI,USB, update Verizon PRI</t>
  </si>
  <si>
    <t>OEMPRI-1643</t>
  </si>
  <si>
    <t>1102651 MC7350,GENERIC,VERIZON,05.05.58.01,,,GNSS=AB,SWIR IMEI,USB,QUALIFIED, Verizon PRI update.</t>
  </si>
  <si>
    <t>Zipeng Sun(17)</t>
  </si>
  <si>
    <t>suffix of audio NVUP params created by SWAT 0.6.14 = 001</t>
  </si>
  <si>
    <t>Zipeng Sun(351)</t>
  </si>
  <si>
    <t>OEMPRI-1816</t>
  </si>
  <si>
    <t>[Customer Package] 1102761 VW SKU of AR7594</t>
  </si>
  <si>
    <t>Amine Selmi</t>
  </si>
  <si>
    <t>Qingquan Zeng(342)</t>
  </si>
  <si>
    <t>OEMPRI-1817</t>
  </si>
  <si>
    <t>Qingquan Zeng(0)</t>
  </si>
  <si>
    <t>MC7354 1102788_9905302 MC7354 VERIZON QUALIFIED,GENERIC,VERIZON,05.05.58.01,,,GNSS=AB,SWIR IMEI,USB, new create</t>
  </si>
  <si>
    <t>[Firmware one-click] 1103211_9906625_AR7598_01.18.06.00_00_VW_001.022_000_101103211 for GCFLab</t>
  </si>
  <si>
    <t>OEMPRI-1713</t>
  </si>
  <si>
    <t>1102783_9905377_HL3450RD_IE_UC_PRI update</t>
  </si>
  <si>
    <t>Magneti Marelli | BANMA A88 ITB SignatureTool_v9.22.1.0 fail to sign bootmodem.cwe</t>
  </si>
  <si>
    <t>OEMPRI-1689</t>
  </si>
  <si>
    <t>1102751_9905193_MC7330,SWIR,DOCOMO,05.05.65.00,OAT=N,AVMS=N,GNSS=AB,SWIR IMEI,USB,DATA ONLY update with right reference SKU1102426</t>
  </si>
  <si>
    <t>OEMPRI-1735</t>
  </si>
  <si>
    <t>1103032_9906054_AR7592(4g2g)_Alpha2_Generic</t>
  </si>
  <si>
    <t>OEMPRI-1823</t>
  </si>
  <si>
    <t>Eco Chen [X](7)</t>
  </si>
  <si>
    <t>[Firmware one-click] 1103367_9906982_AR7582_00.17.01.05_00_VW_001.025_000_101103367 for VzW FIT</t>
  </si>
  <si>
    <t>1102493_9904452_AR7552RD_Panasonic_AT&amp;T_FW update with WP12.7</t>
  </si>
  <si>
    <t>Eco Chen [X](0)</t>
  </si>
  <si>
    <t>OEMPRI-1822</t>
  </si>
  <si>
    <t>1102559_9904575_AR7554RD_Hino_NTT_upgrade with WP12.7 package</t>
  </si>
  <si>
    <t>OEMPRI-1821</t>
  </si>
  <si>
    <t>[Firmware one-click] 1103211_9906625_AR7598_01.18.06.00_00_VW_001.021_000_101103211 for KT SAT</t>
  </si>
  <si>
    <t>1102794_9905306_new SKU with 05.05.58.01</t>
  </si>
  <si>
    <t>OEMPRI-1820</t>
  </si>
  <si>
    <t>Signature tool to support signing SBL for repair purpose</t>
  </si>
  <si>
    <t>1102793_9905035_new SKU with 05.05.58.00</t>
  </si>
  <si>
    <t>OEMPRI-1819</t>
  </si>
  <si>
    <t>SKU 1102797 package release for TY duplexer PCN production cut in</t>
  </si>
  <si>
    <t>GTM2/GTM3</t>
  </si>
  <si>
    <t>OEMPRI-1818</t>
  </si>
  <si>
    <t>SKU 1102798 package release(refill) for TY duplexer PCN production cut in</t>
  </si>
  <si>
    <t>OEMPRI-1621</t>
  </si>
  <si>
    <t>[KT CM Tool]change the CM tool version to 0.2.1.0</t>
  </si>
  <si>
    <t>1103190_9906591_AR7554RD_Generic_Lesswire_Package Create with WP14.4+LTE B1 enable</t>
  </si>
  <si>
    <t>Larry Chen(67)</t>
  </si>
  <si>
    <t>Larry Chen(0)</t>
  </si>
  <si>
    <t>Rain Xie(9)</t>
  </si>
  <si>
    <t>OEMPRI-1625</t>
  </si>
  <si>
    <t>1103146_AR7584,FICOSA,,00.02.11.00_16.04.1,LEGATO,AVMS,GNSS=ABCD,SWIR IMEI,USB,4/4 MEMORY; LEGATO_new create</t>
  </si>
  <si>
    <t>[Firmware one-click] AR7598 Telstra NVUP to Enable some CA Bands</t>
  </si>
  <si>
    <t>OEMPRI-1624</t>
  </si>
  <si>
    <t>1103150_AR7584,GENERIC,,00.02.11.00_16.04.1,LEGATO,AVMS,GNSS=ABCD,SWIR IMEI,USB,4G/4G MEMORY;LEGATO_new create</t>
  </si>
  <si>
    <t>OEMPRI-1623</t>
  </si>
  <si>
    <t xml:space="preserve">The image signed with backup cert chain may be not right </t>
  </si>
  <si>
    <t>1103151_AR7584,VW,,00.02.11.00_16.04.1,LEGATO,AVMS,GNSS=ABCD,SWIR IMEI,USB,4G/4G MEMORY;LEGATO_new create</t>
  </si>
  <si>
    <t>Stan Zhang</t>
  </si>
  <si>
    <t>OEMPRI-1622</t>
  </si>
  <si>
    <t>1103174_ AR7584,MM,,00.02.11.00_16.04.1,LEGATO,AVMS,GNSS=ABCD,SWIR IMEI,USB,4G/4G MEMORY;LEGATO_new create</t>
  </si>
  <si>
    <t>[KT CM Tool] messy code about SMS and datacall</t>
  </si>
  <si>
    <t>OEMPRI-1764</t>
  </si>
  <si>
    <t>1102504_9904463_AR7554RD_Ficosa _JP_NTT_Update with WP13.4</t>
  </si>
  <si>
    <t>OEMPRI-1768</t>
  </si>
  <si>
    <t>1102493_9904452_AR7552RD_Panasonic_AT&amp;T_FW update with WP13.5</t>
  </si>
  <si>
    <t>[KT CM Tool] Datacall select the connection profile by default</t>
  </si>
  <si>
    <t>OEMPRI-1767</t>
  </si>
  <si>
    <t>1102502_9904443_AR7552RD_Ficosa_AT&amp;T_FW update with WP13.4</t>
  </si>
  <si>
    <t>OEMPRI-1766</t>
  </si>
  <si>
    <t>1102441_9904283_AR7554RD_Ficosa_Generic_package upgrade for WP13.4</t>
  </si>
  <si>
    <t>Cassie Sheng(350)</t>
  </si>
  <si>
    <t>OEMPRI-1765</t>
  </si>
  <si>
    <t>1102503_9904462_AR7554RD_Ficosa _EU_Generic_Update with WP13.4</t>
  </si>
  <si>
    <t>OEMPRI-1656</t>
  </si>
  <si>
    <t>[Firmware one-click] 1101234_9901234_AR1234_01.10.02.00_00_VW_001.000_000_101101234 for VZW initial TA</t>
  </si>
  <si>
    <t>1102761_9905322_AR7594(4g2g)_Alpha4(00.05.19.00)_VW</t>
  </si>
  <si>
    <t>Jason Liu(103)</t>
  </si>
  <si>
    <t>OEMPRI-1654</t>
  </si>
  <si>
    <t>1103048_9906092_AR7594(4g4g)_Alpha4 (00.05.19.00)_VW</t>
  </si>
  <si>
    <t>OEMPRI-1653</t>
  </si>
  <si>
    <t>1102785_9906061_AR7596(4g2g)_Alpha4(00.05.19.00)_VW</t>
  </si>
  <si>
    <t>Larry Chen(6)</t>
  </si>
  <si>
    <t>OEMPRI-1627</t>
  </si>
  <si>
    <t>1103173/9906506_AR7594(4g4g)_Alpha4 (00.05.23.00)_Actia</t>
  </si>
  <si>
    <t>[KT CM Tool] AT+SCACT=1,1,PC fails to connect  module</t>
  </si>
  <si>
    <t>OEMPRI-1585</t>
  </si>
  <si>
    <t>1103049_9906093_AR7594(4g4g)_Alpha5.1(01.02.02.00)_Generic</t>
  </si>
  <si>
    <t>OEMPRI-1584</t>
  </si>
  <si>
    <t>Hugh Yao(215)</t>
  </si>
  <si>
    <t>1103173/9906506_AR7594(4g4g)_Alpha5.0 (01.01.08.00)_Actia</t>
  </si>
  <si>
    <t>OEMPRI-1583</t>
  </si>
  <si>
    <t>[KT CM Tool] Connect the KT tool , power off /on the module again,“failed open port “ dialog will pops up every few seconds.</t>
  </si>
  <si>
    <t>1103204_9906619_AR7594(4g4g)_Alpha5.1_VW</t>
  </si>
  <si>
    <t>OEMPRI-1770</t>
  </si>
  <si>
    <t>1102783_9905377_HL3450RD_IE_UC_configuration package update</t>
  </si>
  <si>
    <t>OEMPRI-1740</t>
  </si>
  <si>
    <t>[Firmware one-click] 1103210_9906623_AR7592_01.18.05.00_00_VW_001.025_000_101103210 for VZW initial TA</t>
  </si>
  <si>
    <t>1102552 MC7354, FOTA package create for customer testing</t>
  </si>
  <si>
    <t>OEMPRI-1739</t>
  </si>
  <si>
    <t>1102554 MC7304 FW pckage with update PRI for Vodafone.</t>
  </si>
  <si>
    <t>OEMPRI-1736</t>
  </si>
  <si>
    <t>1102559_9904575_AR7554RD_Hino_NTT_with WP13.5.1</t>
  </si>
  <si>
    <t>[KT CM Tool] Pull out  the SIM, the information dailog has no button to close this window.</t>
  </si>
  <si>
    <t>OEMPRI-1655</t>
  </si>
  <si>
    <t>1102502_9904443_AR7552RD_Ficosa_AT&amp;T_FW update with WP14.5</t>
  </si>
  <si>
    <t>Vincent Chen(376)</t>
  </si>
  <si>
    <t>OEMPRI-1632</t>
  </si>
  <si>
    <t>Owen Li(5)</t>
  </si>
  <si>
    <t>1102441_9904283_AR7554RD_Ficosa_Generic_package upgrade for WP15.3</t>
  </si>
  <si>
    <t>[KT CM Tool] When try to change the modem. The tool sometimes stops working.</t>
  </si>
  <si>
    <t>OEMPRI-1631</t>
  </si>
  <si>
    <t>1102503_9904462_AR7554RD_Ficosa _EU_Generic_Update with WP15.3</t>
  </si>
  <si>
    <t>OEMPRI-1630</t>
  </si>
  <si>
    <t>1102504_9904463_AR7554RD_Ficosa _JP_NTT_Update with WP15.3</t>
  </si>
  <si>
    <t>[KT CM Tool] When try to set some VOLTE/IMS value. The tool is stopped working.</t>
  </si>
  <si>
    <t>OEMPRI-1586</t>
  </si>
  <si>
    <t>1103190_9906591_AR7554RD_Generic_Lesswire_Package update with WP15.3</t>
  </si>
  <si>
    <t>OEMPRI-1824</t>
  </si>
  <si>
    <t>Vincent Chen(115)</t>
  </si>
  <si>
    <t>1102721_9905105 SL9090,CISCO,GENERIC,04.07.01, package update to fix no MEID in flat file issue</t>
  </si>
  <si>
    <t>SL/MC909x RD</t>
  </si>
  <si>
    <t>[Firmware one-click] 1103211_9906625_AR7598_01.18.04.00_00_VW_001.020_000_101103211 for Telstra</t>
  </si>
  <si>
    <t>OEMPRI-1744</t>
  </si>
  <si>
    <t>1102804_9906060_AR7594(4g2g)_Alpha2_Generic</t>
  </si>
  <si>
    <t>OEMPRI-1743</t>
  </si>
  <si>
    <t>Wilson Lin – Shenzhen(101)</t>
  </si>
  <si>
    <t>1103035_9906055_AR7596(4g2g)_Alpha2_Generic</t>
  </si>
  <si>
    <t>Davy Zhang(240)</t>
  </si>
  <si>
    <t>[Firmware one-click] 1103211_9906625_AR7598_01.18.04.00_00_VW_001.020_000_101103211 for NTT LE</t>
  </si>
  <si>
    <t>OEMPRI-1742</t>
  </si>
  <si>
    <t>1103049_9906093_AR7594(4g4g)_Alpha2_Generic</t>
  </si>
  <si>
    <t>OEMPRI-1602</t>
  </si>
  <si>
    <t>1103093_9906279_AR7552RD_Panasonic_AT&amp;T_FW update with WP14.5.1</t>
  </si>
  <si>
    <t>OEMPRI-1659</t>
  </si>
  <si>
    <t>[KT CM Tool] SMS base on ME/SM</t>
  </si>
  <si>
    <t>1103097_9906295_AR7596(4g4g)_Alpha4?00.05.19.00?_Generic</t>
  </si>
  <si>
    <t>Vincent Liu(9)</t>
  </si>
  <si>
    <t>OEMPRI-1658</t>
  </si>
  <si>
    <t>1103102_9906297_AR7592(4g4g)_Alpha4_Generic</t>
  </si>
  <si>
    <t>OEMPRI-1657</t>
  </si>
  <si>
    <t>[KT CM Tool] Sometimes,sending SMS failss</t>
  </si>
  <si>
    <t>1103049_9906093_AR7594(4g4g)_Alpha4(00.05.19.00)_Generic</t>
  </si>
  <si>
    <t>OEMPRI-1801</t>
  </si>
  <si>
    <t>AR8552 Ficosa Generic SKU 1102822 release with ARx550_R2_FP.00.05.12.03 for factory shipment</t>
  </si>
  <si>
    <t>OEMPRI-1603</t>
  </si>
  <si>
    <t>[KT CM Tool] When Data call try to connect "bad profile",the tool would corrupted</t>
  </si>
  <si>
    <t>1102493_9904452_AR7552RD_Panasonic_AT&amp;T_FW update with WP14.5.1</t>
  </si>
  <si>
    <t>OEMPRI-1827</t>
  </si>
  <si>
    <t>HL3450 new PRL loader + FW validation</t>
  </si>
  <si>
    <t>[KT CM Tool] Bug fix for reset and unlock function.</t>
  </si>
  <si>
    <t>OEMPRI-1771</t>
  </si>
  <si>
    <t>1102559_9904575_AR7554RD_Hino_NTT_with WP9.4 package PRI update reference to EM7430</t>
  </si>
  <si>
    <t>Harris Pang(4)</t>
  </si>
  <si>
    <t>OEMPRI-1665</t>
  </si>
  <si>
    <t>[KT CM TOOL] Pop up windows ""service registration is failed, if it persists after rebooting, then contact the service center" is displayed</t>
  </si>
  <si>
    <t>1102203, MC7304,CRADLEPOINT,GENERIC,5.5.58.00,,,GNSS=AB,SWIR IMEI,USB, SKU update</t>
  </si>
  <si>
    <t>OEMPRI-1664</t>
  </si>
  <si>
    <t>1102553 MC7354,GENERIC,SPRINT,05.05.63.01,,,GNSS=ABC,SWIR IMEI,USB, PRL update</t>
  </si>
  <si>
    <t>OEMPRI-1663</t>
  </si>
  <si>
    <t xml:space="preserve"> [KT CM Tool] BUG Fix for SMS</t>
  </si>
  <si>
    <t>1103149_9906432_SL8090,Q-M2M,AT&amp;T,02.04.04.00,,,GNSS=AB,SWIR IMEI,USB,CNS;RD_new create</t>
  </si>
  <si>
    <t>OEMPRI-1636</t>
  </si>
  <si>
    <t>1103038_AR7586,GENERIC,,00.02.11.00_16.04.1,LEGATO,AVMS,GNSS=ABCD,SWIR IMEI,USB,4G/2G; LEGATO new create</t>
  </si>
  <si>
    <t>[KT CM Tool] Bug fix for PIN1 function and RSSI.</t>
  </si>
  <si>
    <t>OEMPRI-1635</t>
  </si>
  <si>
    <t>1103105_AR7586,FICOSA,,00.02.11.00_16.04.1,LEGATO,AVMS,GNSS=ABCD,SWIR IMEI,USB,4G/2G MEMORY; LEGATO new create</t>
  </si>
  <si>
    <t>The NVUP tool should support add HASH code for NVUP file</t>
  </si>
  <si>
    <t>OEMPRI-1634</t>
  </si>
  <si>
    <t>1103095_ AR7586,NEUSOFT,,00.02.11.00_16.04.1,LEGATO,AVMS,GNSS=ABCD,SWIR IMEI,USB,4G/2G MEMORY; LEGATO_new create</t>
  </si>
  <si>
    <t>OEMPRI-1633</t>
  </si>
  <si>
    <t>change the CM tool version to 0.2.0.0.</t>
  </si>
  <si>
    <t>1103175_AR7586,MM,,00.02.11.00_16.04.1,LEGATO,AVMS,GNSS=ABCD,SWIR IMEI,USB,4G/2G;LEGATO 16.01.2_new create</t>
  </si>
  <si>
    <t>OEMPRI-1715</t>
  </si>
  <si>
    <t>1102559_9904575_AR7554RD_Hino_NTT_with WP13.5.1_WIPBR PRI update</t>
  </si>
  <si>
    <t>New tool to combine AUDIO NVUP file and SPKG in one file</t>
  </si>
  <si>
    <t>nvupcoupler</t>
  </si>
  <si>
    <t>OEMPRI-1802</t>
  </si>
  <si>
    <t>Jay Chen(2)</t>
  </si>
  <si>
    <t>Jay Chen(0)</t>
  </si>
  <si>
    <t>Henry Cheng(0)</t>
  </si>
  <si>
    <t>Henry Cheng(1)</t>
  </si>
  <si>
    <t>AR8552 Ficosa NTT Docomo SKU(TBD) FW upgrade to ARx550_R2_FP.00.05.18.03 for factory shipment</t>
  </si>
  <si>
    <t>OEMPRI-1697</t>
  </si>
  <si>
    <t>dm-logger.py to support USB interface</t>
  </si>
  <si>
    <t>1102493_9904452_AR7552RD_Panasonic_AT&amp;T_FW update with WP14.4</t>
  </si>
  <si>
    <t>OEMPRI-1696</t>
  </si>
  <si>
    <t>1102502_9904443_AR7552RD_Ficosa_AT&amp;T_FW update with WP14.4</t>
  </si>
  <si>
    <t>Cassie Sheng(12)</t>
  </si>
  <si>
    <t>OEMPRI-1695</t>
  </si>
  <si>
    <t xml:space="preserve"> [KT CM Tool] IPSec Item</t>
  </si>
  <si>
    <t>1102441_9904283_AR7554RD_Ficosa_Generic_package upgrade for WP14.4</t>
  </si>
  <si>
    <t>Zipeng Sun(52)</t>
  </si>
  <si>
    <t>OEMPRI-1694</t>
  </si>
  <si>
    <t>1102503_9904462_AR7554RD_Ficosa _EU_Generic_Update with WP14.4</t>
  </si>
  <si>
    <t>OEMPRI-1693</t>
  </si>
  <si>
    <t>[KT CM Tool] SessionExpires and SessionRefresher Item</t>
  </si>
  <si>
    <t>1102504_9904463_AR7554RD_Ficosa _JP_NTT_Update with WP14.4</t>
  </si>
  <si>
    <t>OEMPRI-1605</t>
  </si>
  <si>
    <t>1103178_SL5011,GENERIC,VERIZON,01.13.01,,,,NO IMEI,UART=115200 BDS,_new create</t>
  </si>
  <si>
    <t>[KT CM Tool] IPCall RetryBaseTime and RetryMaxTime Item</t>
  </si>
  <si>
    <t>OEMPRI-1779</t>
  </si>
  <si>
    <t>1102559_9904575_AR7554RD_Hino_NTT_upgrade with WP9.4 package</t>
  </si>
  <si>
    <t>OEMPRI-1745</t>
  </si>
  <si>
    <t>1103054 mc7304 GMA SKU release</t>
  </si>
  <si>
    <t>[KT CM Tool] IPCall Start/Stop port and payload   Item</t>
  </si>
  <si>
    <t>OEMPRI-1638</t>
  </si>
  <si>
    <t>1102502_9904443_AR7552RD_Ficosa_AT&amp;T_FW update with WP14.4+GPIO 10 change</t>
  </si>
  <si>
    <t>OEMPRI-1637</t>
  </si>
  <si>
    <t>1102503_9904462_AR7554RD_Ficosa _EU_Generic_Update with WP14.4+GPIO 10 change</t>
  </si>
  <si>
    <t>[KT CM Tool] IPCall CodecModeSetArmWb Item</t>
  </si>
  <si>
    <t>OEMPRI-781</t>
  </si>
  <si>
    <t>[NV] Add IMS and VoLTE settings to PRI-XML</t>
  </si>
  <si>
    <t>Zipeng Sun(373)</t>
  </si>
  <si>
    <t>OEMPRI-1969</t>
  </si>
  <si>
    <t>1101829_9904836_SL9090_Generic_2_8 update to 2_9</t>
  </si>
  <si>
    <t>Segmentation fault when using swicwe1.16 to create image for BP5.6B1-SWI9X28A_01.02.00.00-Legato18.04.0.m1.rc4</t>
  </si>
  <si>
    <t>Zipeng Sun(21)</t>
  </si>
  <si>
    <t>OEMPRI-1942</t>
  </si>
  <si>
    <t>New SKU package release for AR5 Harman V79 and TY duplexer PCN for factory implementation</t>
  </si>
  <si>
    <t>AR5550</t>
  </si>
  <si>
    <t>OEMPRI-1941</t>
  </si>
  <si>
    <t>[SignatureTool] Update pyinstaller to 3.3.1</t>
  </si>
  <si>
    <t>[Customer Package] 1102425 AR7556 Generic SKU, Factory build</t>
  </si>
  <si>
    <t>Gerry Yang*(7)</t>
  </si>
  <si>
    <t>OEMPRI-1939</t>
  </si>
  <si>
    <t>MC7354B,GENERIC,SouthernLINC,05.05.64.00</t>
  </si>
  <si>
    <t>[KT CM Tool] VoLTE/IMS Enable Status button Implementation.</t>
  </si>
  <si>
    <t>OEMPRI-2108</t>
  </si>
  <si>
    <t>1102235_9903531_AR7558_Panasonic_Sprint_update 3 settings for customer</t>
  </si>
  <si>
    <t>OEMPRI-2107</t>
  </si>
  <si>
    <t>1101541 update FW package to 3.5.29.3</t>
  </si>
  <si>
    <t>[KT CM Tool] VoLTE/IMS SIP port Editor Implementation.</t>
  </si>
  <si>
    <t>OEMPRI-2077</t>
  </si>
  <si>
    <t>1101830_9902427_AR7552_Ficosa_AT&amp;T_Factory shipment</t>
  </si>
  <si>
    <t>OEMPRI-2076</t>
  </si>
  <si>
    <t>1102512_9904468_AR7552_PASA_AT&amp;T_Field upgrade</t>
  </si>
  <si>
    <t>OEMPRI-2075</t>
  </si>
  <si>
    <t xml:space="preserve"> [KT CM Tool] VoLTE/IMS HD Voice settings Implementation.</t>
  </si>
  <si>
    <t>1102235_9903531_AR7558_Panasonic_AT&amp;T_Field upgrade</t>
  </si>
  <si>
    <t>OEMPRI-2074</t>
  </si>
  <si>
    <t>[Customer Package] 1102441 Generic SKU for AR7554RD Legato customer</t>
  </si>
  <si>
    <t>OEMPRI-2073</t>
  </si>
  <si>
    <t>[KT CM Tool] VoLTE/IMS SIP TIMER Editors Implementation.</t>
  </si>
  <si>
    <t>[Customer Package] 1102503 for European variant</t>
  </si>
  <si>
    <t>OEMPRI-2072</t>
  </si>
  <si>
    <t>[Customer Package] 1102504 for Japanese variant</t>
  </si>
  <si>
    <t>OEMPRI-1883</t>
  </si>
  <si>
    <t>SL9090RD_1102245_9903842 package creation</t>
  </si>
  <si>
    <t>[KT CM Tool] VoLTE/IMS Register Algorithm button Implementation.</t>
  </si>
  <si>
    <t>OEMPRI-1851</t>
  </si>
  <si>
    <t>1102751_9905193_MC7330,SWIR,DOCOMO,05.05.65.00,OAT=N,AVMS=N,GNSS=AB,SWIR IMEI,USB,DATA ONLY</t>
  </si>
  <si>
    <t>Zipeng Sun(76)</t>
  </si>
  <si>
    <t>Zipeng Sun(352)</t>
  </si>
  <si>
    <t>OEMPRI-1850</t>
  </si>
  <si>
    <t>1102616_9904753_AR7554RD_Generic_Package Upgrade with WP11.4</t>
  </si>
  <si>
    <t>[KT CM Tool] VoLTE/IMS Reg Expires Editor Implementation.</t>
  </si>
  <si>
    <t>OEMPRI-2143</t>
  </si>
  <si>
    <t>Package, mdm6x00 - AR8550, 1101979</t>
  </si>
  <si>
    <t>OEMPRI-2078</t>
  </si>
  <si>
    <t>Generic EU PRI 9902674</t>
  </si>
  <si>
    <t>Rain Xie(270)</t>
  </si>
  <si>
    <t>szhao</t>
  </si>
  <si>
    <t>[KT CM Tool] VoLTE/IMS Subscriber Timer Editor Implementation.</t>
  </si>
  <si>
    <t>OEMPRI-1975</t>
  </si>
  <si>
    <t>9903470_SL9090_Generic_2_9_update to 2_10</t>
  </si>
  <si>
    <t>OEMPRI-1974</t>
  </si>
  <si>
    <t>Qingquan Zeng(430)</t>
  </si>
  <si>
    <t>1101859_9903109_SL9090_Generic_2_8 update to 2_9</t>
  </si>
  <si>
    <t>OEMPRI-1973</t>
  </si>
  <si>
    <t>9903467_MC9090_Generic_3_1_4_update to 3_1_5</t>
  </si>
  <si>
    <t>[KT CM Tool] VoLTE/IMS P-CSCF Port Editor Implementation.</t>
  </si>
  <si>
    <t>OEMPRI-1972</t>
  </si>
  <si>
    <t>9903801_MC9090_Generic_3_3_1 update to 3_3_2</t>
  </si>
  <si>
    <t>OEMPRI-1971</t>
  </si>
  <si>
    <t>Victor He(7)</t>
  </si>
  <si>
    <t>1102531_9904600_MC9090_03.01.05_Generic_001.000_000 update to 03.01.06</t>
  </si>
  <si>
    <t>OEMPRI-1884</t>
  </si>
  <si>
    <t>[KT CM Tool] VoLTE/IMS Audio Codec Mode Implementation.</t>
  </si>
  <si>
    <t>AR8552 Ficosa NTT Docomo SKU1102718 FW upgrade to ARx550_R2_FP.00.05.18.01 for factory shipment</t>
  </si>
  <si>
    <t>Zipeng Sun(253)</t>
  </si>
  <si>
    <t>Zipeng Sun(16)</t>
  </si>
  <si>
    <t>Zipeng Sun(159)</t>
  </si>
  <si>
    <t>Bing Huang(161)</t>
  </si>
  <si>
    <t>OEMPRI-2046</t>
  </si>
  <si>
    <t>1102493_9904452_AR7552RD_Panasonic_AT&amp;T_for DV2.2 factory shipment</t>
  </si>
  <si>
    <t>[KT CM Tool] VoLTE/IMS Keep_Alive_Enabled Editor Implementation.</t>
  </si>
  <si>
    <t>OEMPRI-2045</t>
  </si>
  <si>
    <t>1101830_9902427_AR7552_Ficosa_AT&amp;T_field upgrade with Legato 15.05</t>
  </si>
  <si>
    <t>OEMPRI-2147</t>
  </si>
  <si>
    <t>Package, mdm6x00 - AR8550, 1102459</t>
  </si>
  <si>
    <t>[SignatureTool] Print call stack when sys Exit</t>
  </si>
  <si>
    <t>OEMPRI-2146</t>
  </si>
  <si>
    <t>Package, mdm6x00 - AR8552, 1102457</t>
  </si>
  <si>
    <t>OEMPRI-2145</t>
  </si>
  <si>
    <t>Package, mdm6x00 - AR8550, 1102460</t>
  </si>
  <si>
    <t>Bing Huang(116)</t>
  </si>
  <si>
    <t>OEMPRI-2144</t>
  </si>
  <si>
    <t>Package, mdm6x00 - AR8552, 1102456</t>
  </si>
  <si>
    <t>Magneti Marelli | Signature tool RSA2048 signed image verification failure</t>
  </si>
  <si>
    <t>OEMPRI-2140</t>
  </si>
  <si>
    <t>1102492_9904104 MC8705RD GENERIC AT&amp;T PRI</t>
  </si>
  <si>
    <t>MC87xx</t>
  </si>
  <si>
    <t>OEMPRI-2139</t>
  </si>
  <si>
    <t>None(31)</t>
  </si>
  <si>
    <t>1102434_9904211 MC8705RD Telstra</t>
  </si>
  <si>
    <t>The Signature Tool should support to sign image with non-self RootCA</t>
  </si>
  <si>
    <t>OEMPRI-2138</t>
  </si>
  <si>
    <t>9100090_9904397 MC8705RD ATT</t>
  </si>
  <si>
    <t>OEMPRI-2137</t>
  </si>
  <si>
    <t>Bing Huang(187)</t>
  </si>
  <si>
    <t>9100091_9904398 MC8705RD Telstra</t>
  </si>
  <si>
    <t>[SignatureTool] Support certproxy mode in remote_sign mode</t>
  </si>
  <si>
    <t>OEMPRI-2136</t>
  </si>
  <si>
    <t>9100092_9904399 MC8705RD Rogers</t>
  </si>
  <si>
    <t>Tiejun Fu(401)</t>
  </si>
  <si>
    <t>OEMPRI-2135</t>
  </si>
  <si>
    <t>9100093_9904400 MC8705RD Telus</t>
  </si>
  <si>
    <t>OEMPRI-2048</t>
  </si>
  <si>
    <t>Golden Shen(401)</t>
  </si>
  <si>
    <t>[Customer Package] 1102425 AR7556 Generic SKU</t>
  </si>
  <si>
    <t>[SignatureTool] Generate the CSR file once when the openssl req gets the same parameter</t>
  </si>
  <si>
    <t>OEMPRI-1979</t>
  </si>
  <si>
    <t>1102292_9903756_ SL3010T FW package update</t>
  </si>
  <si>
    <t>OEMPRI-1944</t>
  </si>
  <si>
    <t>Package, mdm9600 - MC7750, 1584083, 03.05.10.10_033_012_999</t>
  </si>
  <si>
    <t>Summer Peng</t>
  </si>
  <si>
    <t>OEMPRI-1856</t>
  </si>
  <si>
    <t>[SignatureTool] Generate CSR and DER file only in use in remote_sign mode</t>
  </si>
  <si>
    <t>1102750_9905191_MC7354B_Cisco_generic_new SKU create</t>
  </si>
  <si>
    <t>OEMPRI-1855</t>
  </si>
  <si>
    <t>1102721_9905105 SL9090,CISCO,GENERIC,04.07.01,,,GNSS=AB,CUSTMR IMEI,USB, FW package new create</t>
  </si>
  <si>
    <t>Alain-Michel Behiri(683)</t>
  </si>
  <si>
    <t>OEMPRI-1854</t>
  </si>
  <si>
    <t>1102739_9905182_MC9090,QUALIFIED,AERIS,WP05.03.01,,,GNSS=A,SWIR IMEI,UART=115200 BDS,UART;RD</t>
  </si>
  <si>
    <t>[KT CM Tool] VoLTE/IMS setting frame structure</t>
  </si>
  <si>
    <t>Golden Shen(402)</t>
  </si>
  <si>
    <t>OEMPRI-1853</t>
  </si>
  <si>
    <t>1102740_9905183_MC9090,QUALIFIED,AERIS,WP05.03.01,,,GNSS=A,SWIR IMEI,UART=115200 BDS,USB;RD</t>
  </si>
  <si>
    <t>Tiejun Fu(403)</t>
  </si>
  <si>
    <t>OEMPRI-2148</t>
  </si>
  <si>
    <t>Package, qsc6085 - SL3010T, 1102292</t>
  </si>
  <si>
    <t>Optimize the tool "recoveryimggen"</t>
  </si>
  <si>
    <t>Fiona Li(403)</t>
  </si>
  <si>
    <t>OEMPRI-2109</t>
  </si>
  <si>
    <t>Golden Shen(403)</t>
  </si>
  <si>
    <t>1102512_9904468_AR7552_Panasonic_AT&amp;T_for factory shipment</t>
  </si>
  <si>
    <t>OEMPRI-2050</t>
  </si>
  <si>
    <t>AR8552 Ficosa Generic SKU1102418 FW upgrade to ARx550_R2_FP.00.05.17.00 for factory shipment</t>
  </si>
  <si>
    <t>6.2.1	VoLTE media setting functions	UE enters the engineer menu - VoLTE setting to get/set the VoLTE media setting items</t>
  </si>
  <si>
    <t>OEMPRI-2112</t>
  </si>
  <si>
    <t>SL3010T package with CT PRI and enable EVDO</t>
  </si>
  <si>
    <t>OEMPRI-2111</t>
  </si>
  <si>
    <t>SL3010T package update with DMU bypass functiion</t>
  </si>
  <si>
    <t>Golden Shen(404)</t>
  </si>
  <si>
    <t>OEMPRI-2110</t>
  </si>
  <si>
    <t>MC9090,CISCO,GENERIC,03.07.01,OAT=N,AVMS=N,GNSS=A,CUSTMR IMEI</t>
  </si>
  <si>
    <t>Fiona Li(404)</t>
  </si>
  <si>
    <t xml:space="preserve">[KT CM Tool] Support profile APN setting </t>
  </si>
  <si>
    <t>OEMPRI-1945</t>
  </si>
  <si>
    <t>[Customer Package] 1102330 Generic SKU for AR7554Legacy Legato customer, Field Update</t>
  </si>
  <si>
    <t>OEMPRI-1910</t>
  </si>
  <si>
    <t>1102457_TBA_AR8552_Tesla_Generic_2015PCN for speng test</t>
  </si>
  <si>
    <t>Tiejun Fu(406)</t>
  </si>
  <si>
    <t>OEMPRI-1913</t>
  </si>
  <si>
    <t>SL5011_1102675_9904990_FW package create with FW01.13.01</t>
  </si>
  <si>
    <t>OEMPRI-1912</t>
  </si>
  <si>
    <t>SL8082BT_1102680_9904991_PRI create with FW R7.52.3.A5/EXT AT</t>
  </si>
  <si>
    <t>Qingquan Zeng(687)</t>
  </si>
  <si>
    <t>Qingquan Zeng</t>
  </si>
  <si>
    <t>OEMPRI-1911</t>
  </si>
  <si>
    <t>SL8082T_1102681_9904992_PRI create with FW R7.52.3.A5/EXT AT</t>
  </si>
  <si>
    <t>[KT-CM Tool] use AT command to get EFS then covert to IMS parameters Struct</t>
  </si>
  <si>
    <t>OEMPRI-1857</t>
  </si>
  <si>
    <t>Golden Shen(406)</t>
  </si>
  <si>
    <t>HL3450 new conf tool validation</t>
  </si>
  <si>
    <t>OEMPRI-1983</t>
  </si>
  <si>
    <t>1102595_9904663_ PRI update for FW 3.5.29.5</t>
  </si>
  <si>
    <t>OEMPRI-1982</t>
  </si>
  <si>
    <t>1102564_9904649_SL5018T FW package updaet to WP4</t>
  </si>
  <si>
    <t>4.2	Registration setting menu	"Refer to spec"</t>
  </si>
  <si>
    <t>OEMPRI-1914</t>
  </si>
  <si>
    <t>1102493_9904452_AR7552RD_Panasonic_AT&amp;T_for PV2 factory shipment</t>
  </si>
  <si>
    <t>OEMPRI-1951</t>
  </si>
  <si>
    <t>1102512_9904468_AR7552_PASA_AT&amp;T_Field upgrade with WP9 release</t>
  </si>
  <si>
    <t>OEMPRI-1950</t>
  </si>
  <si>
    <t>1101830_9902427_AR7552 Legacy_Ficosa_AT&amp;T_field upgrade WP9</t>
  </si>
  <si>
    <t>OEMPRI-1949</t>
  </si>
  <si>
    <t>4.4	Registration retry information check menu	Refer to spec</t>
  </si>
  <si>
    <t>OEMPRI-1948</t>
  </si>
  <si>
    <t>OEMPRI-1947</t>
  </si>
  <si>
    <t>Fiona Li(406)</t>
  </si>
  <si>
    <t>OEMPRI-1916</t>
  </si>
  <si>
    <t>4.3	ISIM Information check menu	Provide a menu where user can check the values of Efs at the ADF ISIM stored in ISIM</t>
  </si>
  <si>
    <t>SL8090_1102653_9904910_PRI creation</t>
  </si>
  <si>
    <t>OEMPRI-1915</t>
  </si>
  <si>
    <t>HL3450 FW package</t>
  </si>
  <si>
    <t>OEMPRI-1984</t>
  </si>
  <si>
    <t>[Customer Package] 1102559 Hino Generic SKU Update, Factory Build</t>
  </si>
  <si>
    <t>6.2.2	RTP timer setting functions	UE enters the engineer menu - VoLTE setting to check/set VoLTE RTP timer</t>
  </si>
  <si>
    <t>OEMPRI-1952</t>
  </si>
  <si>
    <t>MC7330,1102640,Proj#1633,New SKU For Generic Docomo In Firmware 05.05.58.00 Into "In Production"</t>
  </si>
  <si>
    <t>OEMPRI-1886</t>
  </si>
  <si>
    <t>6.1.2	Timer	UE enters the engineer menu - VoLTE setting to get/set the session expire timer and the SIP timer</t>
  </si>
  <si>
    <t>1102705_9905076_MC9090 FW package create for production</t>
  </si>
  <si>
    <t>Ryan Lei(407)</t>
  </si>
  <si>
    <t>OEMPRI-1858</t>
  </si>
  <si>
    <t>1101830_9902427_AR7552 Legacy_Ficosa_AT&amp;T_field upgrade WP11.4</t>
  </si>
  <si>
    <t>OEMPRI-2116</t>
  </si>
  <si>
    <t>[Customer Package] 1102502 Generic SKU update for AR7552</t>
  </si>
  <si>
    <t>Ryan Lei(688)</t>
  </si>
  <si>
    <t>[KT CM Tool] 6.1.1 IMS Registration UE enters the engineer menu - get/set the IMS configuration</t>
  </si>
  <si>
    <t>OEMPRI-1859</t>
  </si>
  <si>
    <t>Ryan Lei(0)</t>
  </si>
  <si>
    <t>1102701_9905165_MC9090RD ,SPRINT/ATT/VERIZON,WP 05.02.01 FW package create</t>
  </si>
  <si>
    <t>OEMPRI-2009</t>
  </si>
  <si>
    <t>Tiejun Fu(408)</t>
  </si>
  <si>
    <t>AR8550 Ficosa AT&amp;T SKU1102417 FW upgrade to ARx550_R2_FP.00.05.12.03 for factory shipment</t>
  </si>
  <si>
    <t>OEMPRI-1954</t>
  </si>
  <si>
    <t>1102586_9904631_MC7330_05.05.58.00_New SKU For Production</t>
  </si>
  <si>
    <t>OEMPRI-1953</t>
  </si>
  <si>
    <t>6.3.1	HD Voice setting functions	UE enters the engineer menu - VoLTE setting to check/change the HD voice setttings</t>
  </si>
  <si>
    <t>MC7354,GENERIC,SPRINT,05.05.63.01,,,GNSS=ABC,SWIR IMEI,USB,</t>
  </si>
  <si>
    <t>OEMPRI-1919</t>
  </si>
  <si>
    <t>SL3010_1102624_9904975 create with R7.53.2.A3</t>
  </si>
  <si>
    <t>OEMPRI-1917</t>
  </si>
  <si>
    <t>Golden Shen(408)</t>
  </si>
  <si>
    <t>SL3010_1102677_9904965 create with R7.53.2.A3</t>
  </si>
  <si>
    <t>AR758x, Hybrid Secure Boot, Dual certificate chain not supported</t>
  </si>
  <si>
    <t>OEMPRI-1860</t>
  </si>
  <si>
    <t>1102245_9903842 SL9090,GENERIC,AT&amp;T,04.01.04,OAT=N,AVMS=N,GNSS=AB,SWIR IMEI,USB,SL9090RD</t>
  </si>
  <si>
    <t>OEMPRI-1844</t>
  </si>
  <si>
    <t>AR8552 Ficosa Generic SKU 1102758 FW upgrade to ARx550_R2_FP.00.05.18.02 for factory shipment</t>
  </si>
  <si>
    <t>OEMPRI-1843</t>
  </si>
  <si>
    <t>[dm-logger] Auto convert dm file to dlf in windows enviroment</t>
  </si>
  <si>
    <t>AR8552 Ficosa NTT Docomo SKU 1102759 release with ARx550_R2_FP.00.05.18.02</t>
  </si>
  <si>
    <t>OEMPRI-1955</t>
  </si>
  <si>
    <t>[MC7354 Customer SKU] CRADLEPOINT SKU update</t>
  </si>
  <si>
    <t>[dm-logger] Auto convert dm file to dlf in linux enviroment</t>
  </si>
  <si>
    <t>OEMPRI-1866</t>
  </si>
  <si>
    <t>1102441_9904283_AR7554RD_Ficosa_Generic_package upgrade for WP11.4</t>
  </si>
  <si>
    <t>OEMPRI-1865</t>
  </si>
  <si>
    <t>Michel Giroux(689)</t>
  </si>
  <si>
    <t>[Signature Tool] Support to sign Linux RAM recovery image</t>
  </si>
  <si>
    <t>Michel Giroux(0)</t>
  </si>
  <si>
    <t>Frederic De Graeve(96)</t>
  </si>
  <si>
    <t>Frederic De Graeve(0)</t>
  </si>
  <si>
    <t>1102493_9904452_AR7552RD_Panasonic_AT&amp;T_FW update with WP11.4</t>
  </si>
  <si>
    <t>Tiejun Fu(409)</t>
  </si>
  <si>
    <t>OEMPRI-1864</t>
  </si>
  <si>
    <t>1102502_9904443_AR7552RD_Ficosa_AT&amp;T_FW update with WP11.4</t>
  </si>
  <si>
    <t>support to unlock modem before read/write EFS for IMS settings</t>
  </si>
  <si>
    <t>OEMPRI-1863</t>
  </si>
  <si>
    <t>Harris Pang(409)</t>
  </si>
  <si>
    <t>1102503_9904462_AR7554RD_Ficosa _EU_Generic_Update with WP11.4</t>
  </si>
  <si>
    <t>OEMPRI-1862</t>
  </si>
  <si>
    <t>1102504_9904463_AR7554RD_Ficosa _JP_NTT_Update with WP11.4</t>
  </si>
  <si>
    <t>[dm-logger] Support start adb shell diag_socket_log with command line</t>
  </si>
  <si>
    <t>OEMPRI-1861</t>
  </si>
  <si>
    <t>1101978_9903261_MC7330_05.05.39.11_00_Generic_005.005_000 delta image create</t>
  </si>
  <si>
    <t>OEMPRI-2118</t>
  </si>
  <si>
    <t>AR8550 Ficosa 2014PCN Rogers SKU1102472 FW ARx550_R2_FP.00.05.12.01</t>
  </si>
  <si>
    <t>Golden Shen(409)</t>
  </si>
  <si>
    <t xml:space="preserve"> [KT CM Tool] Support to set/get Service domain</t>
  </si>
  <si>
    <t>OEMPRI-2011</t>
  </si>
  <si>
    <t>OEMPRI-1867</t>
  </si>
  <si>
    <t>MC9090,HONEYWELL,ATT/SPRINT/VERIZON,WP 05.01.05,OPEN AT,AVMS,GNSS=A,SWIR IMEI,USB,MC9090 RD;UART</t>
  </si>
  <si>
    <t>OEMPRI-2085</t>
  </si>
  <si>
    <t>Fiona Li(409)</t>
  </si>
  <si>
    <t xml:space="preserve"> [KT CM Tool] Support to set/get Band Selection</t>
  </si>
  <si>
    <t>SL9090,CISCO, 1102346_9903917 FW package update with enable LED</t>
  </si>
  <si>
    <t>OEMPRI-2015</t>
  </si>
  <si>
    <t>OEMPRI-2059</t>
  </si>
  <si>
    <t>Golden Shen(410)</t>
  </si>
  <si>
    <t xml:space="preserve">[KT CM Tool] Support to set/get RAT mode </t>
  </si>
  <si>
    <t>1102531_9904600_MC9090,WP 03.01.05 package creation</t>
  </si>
  <si>
    <t>OEMPRI-2058</t>
  </si>
  <si>
    <t>Fiona Li(410)</t>
  </si>
  <si>
    <t>1102550_9904599_MC8705 T3.5.6.7 FW package create</t>
  </si>
  <si>
    <t>OEMPRI-1922</t>
  </si>
  <si>
    <t>1102617_9904775_AR7552RD_Generic_AT&amp;T_with WP9.4 package for field upgrade</t>
  </si>
  <si>
    <t>Tiejun Fu(411)</t>
  </si>
  <si>
    <t>OEMPRI-1921</t>
  </si>
  <si>
    <t>1102502_9904443_AR7552RD_Ficosa_AT&amp;T_ Factory build with WP9.4</t>
  </si>
  <si>
    <t>[KT CM Tool] Support to get/delete LTE Acquistition DB</t>
  </si>
  <si>
    <t>OEMPRI-2091</t>
  </si>
  <si>
    <t>Golden Shen(411)</t>
  </si>
  <si>
    <t>MC7700 SKU1101770 PRI update to 3.5.29.3</t>
  </si>
  <si>
    <t>OEMPRI-2090</t>
  </si>
  <si>
    <t>MC8705RD FW package 9100094_9904444 Bell</t>
  </si>
  <si>
    <t>[KT CM Tool] Support to get/set LTE CA</t>
  </si>
  <si>
    <t>OEMPRI-2089</t>
  </si>
  <si>
    <t>1102494_9904405 MC8705RD Airlink Telstra PRI</t>
  </si>
  <si>
    <t>OEMPRI-2088</t>
  </si>
  <si>
    <t>SL3010T SKU1102523 FW package update with 1.13,11</t>
  </si>
  <si>
    <t>[KT CM Tool] Support SMS</t>
  </si>
  <si>
    <t>OEMPRI-1956</t>
  </si>
  <si>
    <t>1102593_9904642_SL8084BT_Generic_Generic_Initial create</t>
  </si>
  <si>
    <t>Fiona Li(412)</t>
  </si>
  <si>
    <t>OEMPRI-2064</t>
  </si>
  <si>
    <t>Q2698_1102158_PRI_9903250</t>
  </si>
  <si>
    <t xml:space="preserve"> [KT CM Tool] Support to check/modify EF profile setting</t>
  </si>
  <si>
    <t>Q2698</t>
  </si>
  <si>
    <t>Golden Shen(412)</t>
  </si>
  <si>
    <t>OEMPRI-2017</t>
  </si>
  <si>
    <t>SKU1102592 create with FW R7.53.A3</t>
  </si>
  <si>
    <t>OEMPRI-1959</t>
  </si>
  <si>
    <t>1102633_9904850_SL8080TR_Generic_ATT_Initial create</t>
  </si>
  <si>
    <t>OEMPRI-1958</t>
  </si>
  <si>
    <t>[KT CM Tool] Support basic modem status/info display</t>
  </si>
  <si>
    <t>1102337_9903880_SL8082T_Gerenic_Initial create with FW S4.1.0.21</t>
  </si>
  <si>
    <t>OEMPRI-1891</t>
  </si>
  <si>
    <t>AR8652 PRI 1102422_9904476_AR8652_07.04.01.00_00_Generic_007.004_000</t>
  </si>
  <si>
    <t>OEMPRI-1868</t>
  </si>
  <si>
    <t xml:space="preserve"> [KT CM Tool] Support data call operation</t>
  </si>
  <si>
    <t>AR8652 PRI 1102422_9904476_AR8652_07.04.08.00_00_Generic_007.005_000</t>
  </si>
  <si>
    <t>OEMPRI-2120</t>
  </si>
  <si>
    <t>AR8552 Ficosa 2014PCN Generic SKU1102418 FW upgrade to ARx550_R2_FP.00.05.12.01</t>
  </si>
  <si>
    <t>OEMPRI-2065</t>
  </si>
  <si>
    <t>[KT CM Tool] Support Debug Screen</t>
  </si>
  <si>
    <t>OEMPRI-2018</t>
  </si>
  <si>
    <t>1102595_9904663_MC7700_Airlink_Generic_initial create with FW3.5.29.3</t>
  </si>
  <si>
    <t>OEMPRI-1871</t>
  </si>
  <si>
    <t xml:space="preserve"> [KT CM Tool] Support WCDMA Channel Setting</t>
  </si>
  <si>
    <t>OEMPRI-1870</t>
  </si>
  <si>
    <t>1102731-9905125_MC8092RD PCM_Generic, Generic_PRI_initial create with FW SWI6600P_02.04.04.00</t>
  </si>
  <si>
    <t>OEMPRI-1869</t>
  </si>
  <si>
    <t>Fiona Li(413)</t>
  </si>
  <si>
    <t>1102733_9905126_MC8092RD UART_Generic, Generic_PRI_initial create with FW SWI6600P_02.04.04.00</t>
  </si>
  <si>
    <t>[KT CM Tool] Support VoLTE/IMS setting</t>
  </si>
  <si>
    <t>OEMPRI-2122</t>
  </si>
  <si>
    <t>Create NTT Docomo package for AR8552 for Ficosa</t>
  </si>
  <si>
    <t>Golden Shen(414)</t>
  </si>
  <si>
    <t>OEMPRI-2121</t>
  </si>
  <si>
    <t>[kt-cm tool] Translate the Korean language of the tool into English.</t>
  </si>
  <si>
    <t>Create Package for AR7558 Panasonic Sprint SKU with 15.02 Legato and FW</t>
  </si>
  <si>
    <t>OEMPRI-2019</t>
  </si>
  <si>
    <t>Fiona Li(414)</t>
  </si>
  <si>
    <t>1102564_9904649_SL5018T new FW package creation</t>
  </si>
  <si>
    <t>OEMPRI-1895</t>
  </si>
  <si>
    <t>[dm-logger] Support send .txt request(export from QXDM) message</t>
  </si>
  <si>
    <t>1102687_9905039_SL5018T FW package create with WP6 R7.53.1.A3</t>
  </si>
  <si>
    <t>OEMPRI-1894</t>
  </si>
  <si>
    <t>SL8080T_1102696_9905065_PRI create with FW R7.52.2.A5/EXT AT</t>
  </si>
  <si>
    <t>Fiona Li(415)</t>
  </si>
  <si>
    <t>[SignatureTool] Move release to share folder will cause error</t>
  </si>
  <si>
    <t>OEMPRI-1893</t>
  </si>
  <si>
    <t>SL8082T_1102697_9905066_PRI create with FW R7.52.2.A5/EXT AT</t>
  </si>
  <si>
    <t>[dm-logger] New repository in gerrit which convenience to review</t>
  </si>
  <si>
    <t>Golden Shen(415)</t>
  </si>
  <si>
    <t>OEMPRI-1892</t>
  </si>
  <si>
    <t>SL8082BT_1102698_9905067_PRI create with FW R7.52.2.A5/EXT AT</t>
  </si>
  <si>
    <t>OEMPRI-1874</t>
  </si>
  <si>
    <t>1102692_9903756_ SL3010T PRL update</t>
  </si>
  <si>
    <t>Fix bug in swiLogUtil for WCDMA logs and GNSS logs</t>
  </si>
  <si>
    <t>OEMPRI-1873</t>
  </si>
  <si>
    <t>Wukui Sun</t>
  </si>
  <si>
    <t>1102691_9903180_ SL3010T PRL update</t>
  </si>
  <si>
    <t>OEMPRI-1872</t>
  </si>
  <si>
    <t>Tiejun Fu(416)</t>
  </si>
  <si>
    <t xml:space="preserve">We cannot rely on Sierra debug tools to take logs </t>
  </si>
  <si>
    <t>1102694_9904558_ SL3010T PRL update</t>
  </si>
  <si>
    <t>OEMPRI-2094</t>
  </si>
  <si>
    <t>1101830_9902427_AR7552_Generic_AT&amp;T_for Ficosa shipment</t>
  </si>
  <si>
    <t>A tool to generate special images to support SPI recovery</t>
  </si>
  <si>
    <t>Golden Shen(417)</t>
  </si>
  <si>
    <t>OEMPRI-2093</t>
  </si>
  <si>
    <t>SL5018T FW package with QSC6085 HW , SL3010T FW</t>
  </si>
  <si>
    <t>OEMPRI-2029</t>
  </si>
  <si>
    <t>1102235_9903531_AR7558_Panasonic_AT&amp;T_PV3 factory shipment with WP7 releas</t>
  </si>
  <si>
    <t>[kt-cm tool] New repository in gerrit which convenience to review</t>
  </si>
  <si>
    <t>Tiejun Fu(418)</t>
  </si>
  <si>
    <t>OEMPRI-2028</t>
  </si>
  <si>
    <t>1102512_9904468_AR7552_PASA_AT&amp;T_Field upgrade with WP7 release</t>
  </si>
  <si>
    <t>Golden Shen(418)</t>
  </si>
  <si>
    <t>OEMPRI-2027</t>
  </si>
  <si>
    <t>[SignatureTool] Release signature tool 9.22.0.0</t>
  </si>
  <si>
    <t>OEMPRI-2026</t>
  </si>
  <si>
    <t>OEMPRI-2025</t>
  </si>
  <si>
    <t>OEMPRI-2024</t>
  </si>
  <si>
    <t>[AR7594] PRI cannot update between different product SKU while same parent SKU</t>
  </si>
  <si>
    <t>1102245_9903842_ SL9090RD_ FW upgrade to 4.1.2</t>
  </si>
  <si>
    <t>OEMPRI-2023</t>
  </si>
  <si>
    <t>1102318_9903841_ SL9090RD_ FW upgrade to 4.6.2</t>
  </si>
  <si>
    <t>OEMPRI-1896</t>
  </si>
  <si>
    <t>1102425_9904182_AR7556_Generic_ Factory build with WP9.4</t>
  </si>
  <si>
    <t>OEMPRI-1875</t>
  </si>
  <si>
    <t>1102602_9904686_MC7354B_generic_shouthernlinc_PRI update</t>
  </si>
  <si>
    <t>[SignatureTool] Execute openssl failed when run binary mode</t>
  </si>
  <si>
    <t>OEMPRI-1846</t>
  </si>
  <si>
    <t>1102764_9905221_SL8090,GENERIC,AT&amp;T,SWI6600P_02.04.04.00,,,GNSS=AB,SWIR IMEI,USB,CNS;SL8090 RD PRI create</t>
  </si>
  <si>
    <t>OEMPRI-2095</t>
  </si>
  <si>
    <t>[SignatureTool] Generate local Private key with FIFO, make sure it will not be leaked</t>
  </si>
  <si>
    <t>OEMPRI-1994</t>
  </si>
  <si>
    <t>1102617_9904775_AR7552RD_Generic_AT&amp;T_for DV2.2 factory shipment</t>
  </si>
  <si>
    <t>Fiona Li(418)</t>
  </si>
  <si>
    <t>[SignatureTool] save the sudo user pwd for automation test only</t>
  </si>
  <si>
    <t>OEMPRI-1927</t>
  </si>
  <si>
    <t>Package, mdm9600 - MC7750, 1584083, 03.05.10.10_033_012_997</t>
  </si>
  <si>
    <t>OEMPRI-1926</t>
  </si>
  <si>
    <t>Package, mdm9600 - MC7750, 1584083, 03.05.10.10_033_012_996</t>
  </si>
  <si>
    <t>Fiona Li(419)</t>
  </si>
  <si>
    <t>OEMPRI-2101</t>
  </si>
  <si>
    <t>[SignatureTool] New command line in AttestationCACertificateCreation.sh for automation test</t>
  </si>
  <si>
    <t>1102458_TBA_AR8552_MMGZ_Generic_2015PCN customer sample submissin</t>
  </si>
  <si>
    <t>Golden Shen(419)</t>
  </si>
  <si>
    <t>OEMPRI-2100</t>
  </si>
  <si>
    <t>1102456_TBA_AR8552_Ficosa_Generic_2015PCN customer sample submissin</t>
  </si>
  <si>
    <t>OEMPRI-2099</t>
  </si>
  <si>
    <t>[SignatureTool] new repository in gerrit which convenience to review</t>
  </si>
  <si>
    <t>1102460_TBA_AR8550_Ficosa_AT&amp;T_2015PCN customer sample submissin</t>
  </si>
  <si>
    <t>OEMPRI-2098</t>
  </si>
  <si>
    <t>1102459_TBA_AR8550_Tesla_AT&amp;T_2015PCN customer sample submissin</t>
  </si>
  <si>
    <t>OEMPRI-2097</t>
  </si>
  <si>
    <t>1102457_TBA_AR8552_Tesla_Generic_2015PCN customer sample submissin</t>
  </si>
  <si>
    <t>OEMPRI-2066</t>
  </si>
  <si>
    <t>[SignatureTool] generate debug log  in unified execute entry</t>
  </si>
  <si>
    <t>[Customer Package] 1102559 Hino Generic SKU Creation</t>
  </si>
  <si>
    <t>OEMPRI-1996</t>
  </si>
  <si>
    <t>1102608_9904558_ SL3010T FW package initical create</t>
  </si>
  <si>
    <t>OEMPRI-2141</t>
  </si>
  <si>
    <t>[SignatureTool] Unified execute entry  for .py or 32/64bit executable file</t>
  </si>
  <si>
    <t>OEMPRI-1997</t>
  </si>
  <si>
    <t>1102292_903756_SL3010T FW package update</t>
  </si>
  <si>
    <t>OEMPRI-1962</t>
  </si>
  <si>
    <t>[SignatureTool] No buffer for stdout to improve the raw_input in log redirect mode</t>
  </si>
  <si>
    <t>1102493_9904452_AR7552RD_Panasonic_AT&amp;T_for PV1 factory shipment</t>
  </si>
  <si>
    <t>OEMPRI-1961</t>
  </si>
  <si>
    <t>Package, mdm9600 - MC7750, 1584083, 03.05.13.02_033_012_996</t>
  </si>
  <si>
    <t>OEMPRI-1960</t>
  </si>
  <si>
    <t>Tiejun Fu(420)</t>
  </si>
  <si>
    <t>OEMPRI-1932</t>
  </si>
  <si>
    <t>[SWAT][ v0.6.12] creating consecutive ".cwe" baseline files in the same location/directory results in cwe files will all the profiles ever read before</t>
  </si>
  <si>
    <t>1101830_9902427_AR7552 Legacy_Ficosa_AT&amp;T_field upgrade WP9.4</t>
  </si>
  <si>
    <t>SWAT</t>
  </si>
  <si>
    <t>OEMPRI-1931</t>
  </si>
  <si>
    <t>Golden Shen(420)</t>
  </si>
  <si>
    <t>[Customer Package] 1102616 Generic SKU for EU, Factory Build</t>
  </si>
  <si>
    <t>OEMPRI-1930</t>
  </si>
  <si>
    <t>Ryan Lei(420)</t>
  </si>
  <si>
    <t>OEMPRI-1929</t>
  </si>
  <si>
    <t>[SignatureTool ]  unpack and pack UBI image with file struct instead of mount command line</t>
  </si>
  <si>
    <t>OEMPRI-1928</t>
  </si>
  <si>
    <t>OEMPRI-1965</t>
  </si>
  <si>
    <t>GTM3 NA Brew(v13.06) package update with SKU 1102630</t>
  </si>
  <si>
    <t>Tiejun Fu(421)</t>
  </si>
  <si>
    <t>OEMPRI-1964</t>
  </si>
  <si>
    <t>[SignatureTool ]  remove all the command line with sudo user</t>
  </si>
  <si>
    <t>GTM3 NA Brew(v13.06) package update with SKU 1102629 (refill)</t>
  </si>
  <si>
    <t>Fiona Li(421)</t>
  </si>
  <si>
    <t>OEMPRI-1963</t>
  </si>
  <si>
    <t>Package, mdm9600 - MC7750, 1584083, 03.05.13.02_033_012_997</t>
  </si>
  <si>
    <t>[SignatureTool]Add an option to output only the images hashes (MM ID: Req_sigtool_1)</t>
  </si>
  <si>
    <t>OEMPRI-2126</t>
  </si>
  <si>
    <t>AR8550 AT&amp;T Ficosa SKU1101979 FW upgrade to ARx550_R2_FP.00.05.12.01</t>
  </si>
  <si>
    <t>OEMPRI-2031</t>
  </si>
  <si>
    <t>[Customer Package] 1102407 IMAGE SWITCHING ENABLED</t>
  </si>
  <si>
    <t>Golden Shen(421)</t>
  </si>
  <si>
    <t>OEMPRI-1968</t>
  </si>
  <si>
    <t>AR8552 Ficosa Generic SKU(TBC) FW upgrade to ARx550_R2_FP.00.05.18.00 for factory shipment</t>
  </si>
  <si>
    <t>OEMPRI-1967</t>
  </si>
  <si>
    <t>AR8552 Ficosa NTT Docomo SKU1102501 FW upgrade to ARx550_R2_FP.00.05.18.00 for factory shipment</t>
  </si>
  <si>
    <t>[SignatureTool]Add an option to pass images signatures and certificates (MM IDs: Req_sigtool_2/Req_sigtool_4)</t>
  </si>
  <si>
    <t>OEMPRI-1880</t>
  </si>
  <si>
    <t>Harris Pang(421)</t>
  </si>
  <si>
    <t>OEMPRI-1879</t>
  </si>
  <si>
    <t>[SignatureTool]signing server interact with Sierra PKI and RA server to request signing certificates.</t>
  </si>
  <si>
    <t>1102724_9905113_SL8090RD_Generic,Bell, Telus_PRI_initial create with FW SWI6600P_02.04.04.00</t>
  </si>
  <si>
    <t>OEMPRI-1878</t>
  </si>
  <si>
    <t>1102244_9903564_SL8092RD_Generic, generic_PRI_update with FW SWI6600P_02.04.04.00</t>
  </si>
  <si>
    <t>OEMPRI-1933</t>
  </si>
  <si>
    <t>AR8652 PRI 1102652_9904476_AR8652_07.03.05.00_00_Pateo_007.000_000</t>
  </si>
  <si>
    <t>Remi Lascoux</t>
  </si>
  <si>
    <t>OEMPRI-2142</t>
  </si>
  <si>
    <t xml:space="preserve">[SignatureTool ]  Sign a signed spkg will get two Signed_ in the spkg name </t>
  </si>
  <si>
    <t>OEMPRI-2130</t>
  </si>
  <si>
    <t>1102483_9904375_PRI creation</t>
  </si>
  <si>
    <t>Golden Shen(422)</t>
  </si>
  <si>
    <t>OEMPRI-2039</t>
  </si>
  <si>
    <t>[SKU 1102585] MC7354,AIRLINK,GENERIC</t>
  </si>
  <si>
    <t>OEMPRI-2038</t>
  </si>
  <si>
    <t>[SignatureTool ]  Sign an unsigned spkg then sign the signed spkg will get different index in the output</t>
  </si>
  <si>
    <t>[SKU 1102297] Generic</t>
  </si>
  <si>
    <t>OEMPRI-2037</t>
  </si>
  <si>
    <t>Magneti Marelli | ATB4G Secure Boot RSA2048 Support</t>
  </si>
  <si>
    <t>[SKU 1102584] M7354D - MC7354 no CDMA</t>
  </si>
  <si>
    <t>OEMPRI-2036</t>
  </si>
  <si>
    <t>[SKU 1102583] Generic MC7350,CDMA</t>
  </si>
  <si>
    <t>OEMPRI-2035</t>
  </si>
  <si>
    <t>Re-sign signed image without having to force it by command line option</t>
  </si>
  <si>
    <t>[SKU 1102581 ]MC7354,GENERIC,AT&amp;T,05.05.58.00,,,GNSS=AB,SWIR IMEI,USB,Qualified</t>
  </si>
  <si>
    <t>Fiona Li(422)</t>
  </si>
  <si>
    <t>OEMPRI-2034</t>
  </si>
  <si>
    <t>[SKU 1102573] EM7355,GENERIC,AT&amp;T,05.05.58.00,,,GNSS=AB,SWIR IMEI,USB,M2M</t>
  </si>
  <si>
    <t xml:space="preserve">[SignatureTool ]  FILE image(multi NVUP) will loss file contents </t>
  </si>
  <si>
    <t>OEMPRI-2033</t>
  </si>
  <si>
    <t>Fiona Li(423)</t>
  </si>
  <si>
    <t>[SKU 1102572]EM7305,GENERIC,GENERIC,05.05.58.00,,,GNSS=AB,SWIR IMEI,USB,M2M</t>
  </si>
  <si>
    <t>OEMPRI-1998</t>
  </si>
  <si>
    <t>1102564_9904649_SL5018T FW package updaet to WP3</t>
  </si>
  <si>
    <t>swicwe is way slow when concatenating SPK+yocto+legato+MCU image</t>
  </si>
  <si>
    <t>David Pochet</t>
  </si>
  <si>
    <t>OEMPRI-2102</t>
  </si>
  <si>
    <t>1102471_9904332_SL8092 SWIR,GENERIC,P1.0.0.28,OAT=N,AVMS=N,GNSS=A,SWIR IMEI,USB,I2S</t>
  </si>
  <si>
    <t>OEMPRI-1999</t>
  </si>
  <si>
    <t xml:space="preserve">[swicwe] nvu file not updated when concatenated with a delta package </t>
  </si>
  <si>
    <t>OEMPRI-1882</t>
  </si>
  <si>
    <t>Update FW version for Telstra PRI</t>
  </si>
  <si>
    <t>Signing modem image has “MODM image is not unpacked properly” error</t>
  </si>
  <si>
    <t>OEMPRI-2000</t>
  </si>
  <si>
    <t>AR8550 Ficosa Rogers SKU1102472 FW upgrade to ARx550_R2_FP.00.05.12.03 for factory shipment</t>
  </si>
  <si>
    <t>OEMPRI-1938</t>
  </si>
  <si>
    <t>swicwe: Allow LK only CWE output</t>
  </si>
  <si>
    <t>Tiejun Fu(424)</t>
  </si>
  <si>
    <t>Ryan Kirk</t>
  </si>
  <si>
    <t>OEMPRI-1849</t>
  </si>
  <si>
    <t>AR8550 Ficosa AT&amp;T SKU FW upgrade to ARx550_R2_FP.00.05.12.05 for 2015 PCN factory shipment</t>
  </si>
  <si>
    <t>SWI Logger</t>
  </si>
  <si>
    <t>OEMPRI-1848</t>
  </si>
  <si>
    <t>AR8550 Ficosa Rogers SKU FW upgrade to ARx550_R2_FP.00.05.12.05 for 2015 PCN factory shipment</t>
  </si>
  <si>
    <t>1104154_9908592_AR7586_Eland Beta_China Unicom_MM_BP3.4B1-SWI9X28A_01.01.05.00-Legato18.05.0.rc5</t>
  </si>
  <si>
    <t>EC/NR and audio quality</t>
  </si>
  <si>
    <t>1103367_9906982_AR7582(4G/4G)_RC2.1(00.18.03.00)_VW_ATT/VZW/TMO</t>
  </si>
  <si>
    <t>Customer Support Tools</t>
  </si>
  <si>
    <t>1103151_9906435_AR7584(4G/4G)_RC2.1(00.18.03.00)_VW_Vodafone</t>
  </si>
  <si>
    <t>Delta update</t>
  </si>
  <si>
    <t xml:space="preserve">[AR7592-1]_VzW_1103210_9906623_VW_SWI9X40A_01.18.05.00 </t>
  </si>
  <si>
    <t>Customer Linux System Partition</t>
  </si>
  <si>
    <t>Ryan Lei(424)</t>
  </si>
  <si>
    <t xml:space="preserve">Enable UART2 in MM TBM2 beta release PRI files </t>
  </si>
  <si>
    <t>Golden Shen(424)</t>
  </si>
  <si>
    <t>MC7354 2nd FOTA test packages for the recent 5 FAI units</t>
  </si>
  <si>
    <t>SWFlash Tool (or the new "Configuration Tool")</t>
  </si>
  <si>
    <t>Fiona Li(424)</t>
  </si>
  <si>
    <t>QXDM logger</t>
  </si>
  <si>
    <t>1103211_9906625_AR7598_01.18.05.00_00_VW (for GCF lab)</t>
  </si>
  <si>
    <t>Flash Tool</t>
  </si>
  <si>
    <t>Fix QTI9X28-4159 on OEMPRI-7530:COUGAR_Lab_1103367_9906982_AR7582_SWI9X28A_00.17.01.03_VW_TMO</t>
  </si>
  <si>
    <t>Security</t>
  </si>
  <si>
    <t>[AR7592-1] 1103210_9906623_VW_SWI9X40A_01.16.03.02-T-Mobile Aproval</t>
  </si>
  <si>
    <t>Service capabilities for Tracing</t>
  </si>
  <si>
    <t>COUGAR_Lab_1103367_9906982_AR7582_SWI9X28A_00.17.01.05_VW</t>
  </si>
  <si>
    <t>[Signature Tool] To support resigning of Mdm 9x15 images</t>
  </si>
  <si>
    <t>1103373_9906988_AR7582(4G/4G)_FW(00.18.03.00)_Generic</t>
  </si>
  <si>
    <t>[Signature Tool] User Guide not managed and approved on FileHold</t>
  </si>
  <si>
    <t>[ cwetool9x15 ] create tool for supporting concatenating and replacing CWE files, such as boot cwe file, partitions wipe cwe files</t>
  </si>
  <si>
    <t>Johnson Huang</t>
  </si>
  <si>
    <t>[Configuration][AR759x] PRI baselines to be aligned with [ar7598-Lab-for-KT-GCF]</t>
  </si>
  <si>
    <t>Golden Shen(425)</t>
  </si>
  <si>
    <t xml:space="preserve">Flash a SPK without SKU number limitation </t>
  </si>
  <si>
    <t>[AR7594] 1103204_9906619_VW_WP17.3B3 lead SKU package</t>
  </si>
  <si>
    <t>Tiejun Fu(426)</t>
  </si>
  <si>
    <t>1103993_9908133_AR7594_VW_EMU_BP4.4B1_lead_package</t>
  </si>
  <si>
    <t>[SWICWE] reset flag in a spk file should not be changed when using --REPL</t>
  </si>
  <si>
    <t>1103211_9906625_AR7598_01.18.06.00_VW (for KT-SAT)</t>
  </si>
  <si>
    <t>Raghu Chaitanya</t>
  </si>
  <si>
    <t>IntermidateVersion Cougar-VW-RC2.2-WP14.3B4 :LeadSKU 1103223_9906693_AR7586(4G/4G)--Manufacturing MBN+FUSE for VW SKU(AR7586)</t>
  </si>
  <si>
    <t>Fiona Li(426)</t>
  </si>
  <si>
    <t>[Signature Tool]Remove the SBL2 RootCA Certification hash from the SBL2 signed image format</t>
  </si>
  <si>
    <t>NVUP File for COUGAR-3048</t>
  </si>
  <si>
    <t>infosys_Tools</t>
  </si>
  <si>
    <t>Tiejun Fu(427)</t>
  </si>
  <si>
    <t>1103211_9906625_AR7598_01.18.06.00_VW (for DT &amp; GCF Lab)</t>
  </si>
  <si>
    <t>develop a universal tool for DM log capturing can be used Linux/Windows via DM/Ethernet</t>
  </si>
  <si>
    <t>[AR7594] 1103204_9906619_VW_WP17.4B3 lead SKU package</t>
  </si>
  <si>
    <t>Reduce audio tuning parameters to within 4K</t>
  </si>
  <si>
    <t>[Configuration][AR759x] PRI baselines to be aligned with WP17.4B3-SWI9X40A_01.16.07.10-Legato17.10.0.m1.rc28</t>
  </si>
  <si>
    <t>Harris Pang(427)</t>
  </si>
  <si>
    <t>DELTA IMAGE : WP11.14B5 &lt;---&gt; WP11.13B5</t>
  </si>
  <si>
    <t>[AR758x][Ficosa] swicwe: segmentation fault using -i filename.xml to build a cwe for repartitioning</t>
  </si>
  <si>
    <t>[AR7592-1] 1103210_9906623_VW_WP16.2B2</t>
  </si>
  <si>
    <t>Fiona Li(427)</t>
  </si>
  <si>
    <t>Generate Sierra fastboot.exe for manufacturing and customer usage</t>
  </si>
  <si>
    <t>fastboot</t>
  </si>
  <si>
    <t>[AR7596]1103207_9906620_VW_WP17.4B3</t>
  </si>
  <si>
    <t>Ryan Lei(428)</t>
  </si>
  <si>
    <t>[Signature Tool] Study to check the behavior of Pil-Splitter on Ubuntu 16.10</t>
  </si>
  <si>
    <t>Fiona Li(428)</t>
  </si>
  <si>
    <t>[Signature Tool] Improve signature tool and install tools once for signing all UBI images in one run tool</t>
  </si>
  <si>
    <t>Golden Shen(428)</t>
  </si>
  <si>
    <t>[AR7592-1] 1103210_9906623_VW_WP17.4B3</t>
  </si>
  <si>
    <t>Package the Signature tool to a Linux environment excecute program</t>
  </si>
  <si>
    <t>[AR7598] 1103211_9906625_VW_WP17.4B3</t>
  </si>
  <si>
    <t>Run and review pylint output in Secure9xXXSignature tool</t>
  </si>
  <si>
    <t>Kevin Walton</t>
  </si>
  <si>
    <t>1103151_9906435_AR7584(4G/4G)_RC2.2(00.19.02.01)_VW_Vodafone</t>
  </si>
  <si>
    <t>swicwe cannot build 1 CWE for MDM9x40 with Legato inside</t>
  </si>
  <si>
    <t>1103367_9906982_AR7582(4G/4G)-RC3.0(00.19.03.00)_VW_ATT/VZW/TMO</t>
  </si>
  <si>
    <t>Golden Shen(429)</t>
  </si>
  <si>
    <t>[Firmware one-click] 1103211_9906625_AR7598_01.18.08.00_00_VW_001.024_000_101103211 for GCF</t>
  </si>
  <si>
    <t>[Configuration][AR758x] PRI baselines to be aligned with RC2.2 RC3</t>
  </si>
  <si>
    <t xml:space="preserve"> [KT CM Tool] If cmd is filled with Korean ,Crash during dataconnect</t>
  </si>
  <si>
    <t>1104152_9908155_AR7582_01.02.05.00_MM (for ATT/VzW 1st internal test))</t>
  </si>
  <si>
    <t>[KT CM Tool] need to caller's number display Function enhance the popup menu on CM</t>
  </si>
  <si>
    <t>1103049_9906093_AR7594(4g4g_Generic)_RC2.2</t>
  </si>
  <si>
    <t>[Firmware one-click] 1103210_9906623_AR7592_01.18.05.01_00_VW_001.029_000_101103210 for VZW FFW FT</t>
  </si>
  <si>
    <t>00875883: [AR7598][Internal][LTE][CM] APN reset (Initial setting restoration) function is not available on CM</t>
  </si>
  <si>
    <t>Create NVUP file to contain EFS prune_ca_combos in order to enable some RF CA bands</t>
  </si>
  <si>
    <t>[KT CM tool] "Caller's number display is restrictied" UI is not displayed on CM</t>
  </si>
  <si>
    <t>Fiona Li(429)</t>
  </si>
  <si>
    <t>Harris Pang(430)</t>
  </si>
  <si>
    <t>[Firmware one-click]1104152_9908590_AR7582_01.04.01.00_00_MM_001.003_000_101103963 for ATT AVL</t>
  </si>
  <si>
    <t>1103831_9907853_AR7584(4G/2G)_RC1(01.02.01.00_00)_Ficosa_Generic</t>
  </si>
  <si>
    <t>Fiona Li(430)</t>
  </si>
  <si>
    <t>[Firmware one-click]1104152_9908590_AR7582_01.04.01.00_00_MM_001.003_000_101103963 for VZW PreLE</t>
  </si>
  <si>
    <t xml:space="preserve"> Cougar-VW-RC2.2-WP14.4B8 :1103223_9906693_AR7586(4G/4G)--Manufacturing MBN+FUSE for VW SKU(AR7586)</t>
  </si>
  <si>
    <t xml:space="preserve">Signature Tool should locate Hash Part right not matter whether 4K aligned when sign kernel image  </t>
  </si>
  <si>
    <t>COUGAR VW RC2.2:WP14.4B8 1103367_9906982_AR7582(4G/4G)-Manufacturing MBN  +FUSE + ATT/VzW/TMO for VW SKU(AR7582)</t>
  </si>
  <si>
    <t>Validation of TDN work flow - AR8652 bonpile rework process</t>
  </si>
  <si>
    <t>[Firmware one-click] 1103367_9906982_AR7582_00.19.03.00_00_VW_001.027_000_101103367 for RC3 ATT PTN</t>
  </si>
  <si>
    <t>[Firmware one-click] 1103210_9906623_AR7592_01.18.07.00_00_VW_001.028_000_101103210 for RC3 ATT PTN</t>
  </si>
  <si>
    <t>MC-HL7588 Cradlepoint SKU FW update to v3.15</t>
  </si>
  <si>
    <t>1103992_9908132_AR7592_EMU_BETA2_VW</t>
  </si>
  <si>
    <t>[Firmware one-click] 1103211_9906625_AR7598_01.19.01.00_00_VW_001.025_000_101103211 for KT QAT</t>
  </si>
  <si>
    <t>Golden Shen(430)</t>
  </si>
  <si>
    <t>1104152_9908155_AR7582_01.02.05.00_MM (add TMO mbn for internal test)</t>
  </si>
  <si>
    <t>[Firmware one-click] 1103211_9906625_AR7598_01.18.06.00_00_VW_001.022_000_101103211 for Telstra PreIOT</t>
  </si>
  <si>
    <t>Fiona Li(431)</t>
  </si>
  <si>
    <t>[Firmware one-click]1104152_9908590_AR7582_01.04.01.00_00_MM_001.003_000_101103963 for VZW PreLE-Update</t>
  </si>
  <si>
    <t>[AR7586][Ficosa][Gen2Evo] Need to have !GPSNMEASENTENCE=0x0 by default directly in PRI</t>
  </si>
  <si>
    <t>Golden Shen(431)</t>
  </si>
  <si>
    <t>Provide NVUP File to fix COUGAR-3144  on oempri-7383/oempri-7384/oempri-7385</t>
  </si>
  <si>
    <t>Sara Liu(5)</t>
  </si>
  <si>
    <t>1103964_9908156_AR7584_Eland_Beta_LeadSKU_MM_BP4.1B1-SWI9X28A_01.03.00.00-Legato18.07.0.rc2</t>
  </si>
  <si>
    <t>1103211_9906625_AR7598_01.18.0x.00_VW (GCF FT test)</t>
  </si>
  <si>
    <t>Bing Huang*(49)</t>
  </si>
  <si>
    <t>[INT-Test] not close</t>
  </si>
  <si>
    <t>AR769x</t>
  </si>
  <si>
    <t>Jerome Berdin(7)</t>
  </si>
  <si>
    <t>Larry Chen(33)</t>
  </si>
  <si>
    <t>Bing Huang*(7)</t>
  </si>
  <si>
    <t>Gavin Peng(27)</t>
  </si>
  <si>
    <t>Gavin Peng(0)</t>
  </si>
  <si>
    <t>1103223_9906693_AR7586(4G/4G)_RC2.1(00.18.03.00)_VW_CMCC_CU</t>
  </si>
  <si>
    <t>Bing Huang*(21)</t>
  </si>
  <si>
    <t>1103211_9906625_AR7598_01.18.0x.00_00_VW (for Telstra &amp; NTT lab)</t>
  </si>
  <si>
    <t>Bing Huang*(32)</t>
  </si>
  <si>
    <t>Bing Huang(99)</t>
  </si>
  <si>
    <t xml:space="preserve"> [AR7592-1] 1103210_9906623_VW_WP16.2B2</t>
  </si>
  <si>
    <t>Gerry Yang*(6)</t>
  </si>
  <si>
    <t>Xin Wang(33)</t>
  </si>
  <si>
    <t>Sara Liu(25)</t>
  </si>
  <si>
    <t xml:space="preserve">1103996_9908136_AR7596_BETA2_EMU_VW package request </t>
  </si>
  <si>
    <t>Rock Li-Zhi Quan*(57)</t>
  </si>
  <si>
    <t>[AR7594]1103993_9908133 EMU_Create VW PRI for Rel2-Beta2 release</t>
  </si>
  <si>
    <t>Golden Shen(766)</t>
  </si>
  <si>
    <t>1103992_9908132_AR7592(EMU_VW)_Rel2-Beta2 for factory shipment</t>
  </si>
  <si>
    <t>2018-08-21 15:23:14 update 1 Tickets 1 Cells</t>
  </si>
  <si>
    <t xml:space="preserve">1103996_9908136_AR7596_Rel2-Beta2_EMU_VW package request </t>
  </si>
  <si>
    <t>Harris Pang(766)</t>
  </si>
  <si>
    <t xml:space="preserve"> 1103151_9906435_AR7584(4G/4G)_RC2.2(00.19.02.01)_VW_Vodafone</t>
  </si>
  <si>
    <t>Tiejun Fu(1047)</t>
  </si>
  <si>
    <t>1104152_9908155_AR7582_01.04.01.00_MM (Update for ATT/VZW/TMO pre LE)</t>
  </si>
  <si>
    <t>Factory</t>
  </si>
  <si>
    <t>Xin Wang(766)</t>
  </si>
  <si>
    <t>[SL8RD]Q-M2M,GENERIC,R7.54.2.A1/EXT AT,OPEN AT,AVMS,SWIR IMEI,UART+USB=115200 BDS,SL8 RD</t>
  </si>
  <si>
    <t>SKU Number</t>
  </si>
  <si>
    <t>Part Number</t>
  </si>
  <si>
    <t>Fiona Li(767)</t>
  </si>
  <si>
    <t>Agile</t>
  </si>
  <si>
    <t>Customers</t>
  </si>
  <si>
    <t>Work Package</t>
  </si>
  <si>
    <t xml:space="preserve">1103831_9906998_AR7584(4G/2G)_BP6.2B1(SWI9X28A_01.04.00.00)_Ficosa	</t>
  </si>
  <si>
    <t>Golden Shen(767)</t>
  </si>
  <si>
    <t>Bing Huang*(71)</t>
  </si>
  <si>
    <t>[Configuration][AR758x][EEL] PRI baselines to be aligned with BP6.2B1</t>
  </si>
  <si>
    <t>1103964_9908156_AR7584_Eland_Beta_LeadSKU_MM_BP4.2B1-SWI9X28A_01.03.01.00-Legato18.07.0.rc3</t>
  </si>
  <si>
    <t>1103102_9906297_AR7592(Generic)_RC2.2 for factory shipment</t>
  </si>
  <si>
    <t>Tiejun Fu(767)</t>
  </si>
  <si>
    <t>AT&amp;T,Verizon</t>
  </si>
  <si>
    <t>WP17.4B3-SWI9X40A_01.16.07.10-Legato17.10.0.m1.rc28</t>
  </si>
  <si>
    <t>1103415_9906995_AR7598(4g4g_Generic)_RC2.2 for facotry</t>
  </si>
  <si>
    <t>Update PASA 1103818 SKU with WP 21.x - MR4 RC4--30 samples</t>
  </si>
  <si>
    <t>Bing Huang*(74)</t>
  </si>
  <si>
    <t>Generic</t>
  </si>
  <si>
    <t>[AR7592-1]_Lab_1103210_9906623_VW_SWI9X40A_01.18.05.01_VZW</t>
  </si>
  <si>
    <t xml:space="preserve">1103831_9906998_AR7584(4G/2G)_BP6.3B1(SWI9X28A_01.04.02.00)_Ficosa	</t>
  </si>
  <si>
    <t>Bing Huang*(79)</t>
  </si>
  <si>
    <t xml:space="preserve">PRI for SKU 1102626 WP14.1.2 007-009 - disable UART2 </t>
  </si>
  <si>
    <t>Q-M2M</t>
  </si>
  <si>
    <t>Rock Li-Zhi Quan(4)</t>
  </si>
  <si>
    <t>R7.54.2.A1/EXT AT</t>
  </si>
  <si>
    <t>1103211_9906625_AR7598_01.19.01.00_VW</t>
  </si>
  <si>
    <t>PASA 1103818 SKU with MR4 RC4 with production key--256pcs+1200pcs samples</t>
  </si>
  <si>
    <t>Leven Li</t>
  </si>
  <si>
    <t>Leven Li(1)</t>
  </si>
  <si>
    <t>Leven Li(0)</t>
  </si>
  <si>
    <t>VW</t>
  </si>
  <si>
    <t>BP4.4B1-SWI9X40A_02.03.15.00-Legato18.06.0</t>
  </si>
  <si>
    <t>1104153_9908591_AR7584_Eland_RC1_LeadSKU_MM_BP4.3B1-SWI9X28A_01.04.01.00-Legato18.08.0.rc1</t>
  </si>
  <si>
    <t>Xin Wang*(80)</t>
  </si>
  <si>
    <t>Jason Liu(768)</t>
  </si>
  <si>
    <t>[Configuration][AR758x][ELAND] PRI baselines to be aligned with BP4.3B1-SWI9X28A_01.04.01.00</t>
  </si>
  <si>
    <t>szhao(1049)</t>
  </si>
  <si>
    <t>szhao(0)</t>
  </si>
  <si>
    <t>AT&amp;T,VW,Verizon</t>
  </si>
  <si>
    <t xml:space="preserve">1103362_9906977_AR7586(4G/2G)_WP11.15B5(SWI9X28L_00.12.06.02)_Lanyou </t>
  </si>
  <si>
    <t>Golden Shen(768)</t>
  </si>
  <si>
    <t>1103371_9906986_AR7586(4G/2G)_WP12.3B6(SWI9X28G_00.12.06.04)_MM</t>
  </si>
  <si>
    <t>Vodafone</t>
  </si>
  <si>
    <t>Harris Pang(768)</t>
  </si>
  <si>
    <t>Fiona Li(769)</t>
  </si>
  <si>
    <t>OEMTP-1397</t>
  </si>
  <si>
    <t>Resolved</t>
  </si>
  <si>
    <t>Jorgen Quan</t>
  </si>
  <si>
    <t>Adam L DeMarco(5)</t>
  </si>
  <si>
    <t>Jorgen Quan*(0)</t>
  </si>
  <si>
    <t>Bing Huang*(15)</t>
  </si>
  <si>
    <t>Bing Huang*(0)</t>
  </si>
  <si>
    <t>VW_AT&amp;T_VZW_TMO</t>
  </si>
  <si>
    <t xml:space="preserve">SWI9X28A_00.18.03.00-Legato17.10.0.m1.rc25 </t>
  </si>
  <si>
    <t>Amy Liu(12)</t>
  </si>
  <si>
    <t>Amy Liu(0)</t>
  </si>
  <si>
    <t>Jason Liu(770)</t>
  </si>
  <si>
    <t>VW_Vodafone</t>
  </si>
  <si>
    <t>Bing Huang*(98)</t>
  </si>
  <si>
    <t>CradlePoint</t>
  </si>
  <si>
    <t>Golden Shen(770)</t>
  </si>
  <si>
    <t>Christophe Gottheimer(8)</t>
  </si>
  <si>
    <t>Christophe Gottheimer(0)</t>
  </si>
  <si>
    <t>MM</t>
  </si>
  <si>
    <t>07.10.05.02</t>
  </si>
  <si>
    <t>Davy Zhang(96)</t>
  </si>
  <si>
    <t>Joe Liu(319)</t>
  </si>
  <si>
    <t>Davy Zhang(319)</t>
  </si>
  <si>
    <t>Stone Li*(134)</t>
  </si>
  <si>
    <t>Ficosa_Generic</t>
  </si>
  <si>
    <t xml:space="preserve">SWI9X28A_01.02.01.00-Legato18.04.0.m1.rc4 </t>
  </si>
  <si>
    <t>Bing Huang*(81)</t>
  </si>
  <si>
    <t>Stone Li*(168)</t>
  </si>
  <si>
    <t>Stone Li(90)</t>
  </si>
  <si>
    <t>Stone Li*(81)</t>
  </si>
  <si>
    <t>Tiejun Fu(770)</t>
  </si>
  <si>
    <t>Generic_ATT_VZW_TMO</t>
  </si>
  <si>
    <t>SWI9X28A_00.18.03.00-Legato17.10.0.m1.rc25</t>
  </si>
  <si>
    <t>Bing Huang(98)</t>
  </si>
  <si>
    <t>Bing Huang(87)</t>
  </si>
  <si>
    <t>Bing Huang*(196)</t>
  </si>
  <si>
    <t>Ben Zheng(42)</t>
  </si>
  <si>
    <t>Bing Huang(148)</t>
  </si>
  <si>
    <t>Bing Huang*(23)</t>
  </si>
  <si>
    <t>Stone Li*(301)</t>
  </si>
  <si>
    <t>Bing Huang*(329)</t>
  </si>
  <si>
    <t>Summer Peng(1051)</t>
  </si>
  <si>
    <t>Summer Peng(0)</t>
  </si>
  <si>
    <t>01.16.07.04</t>
  </si>
  <si>
    <t>Jason Liu(771)</t>
  </si>
  <si>
    <t>Fiona Li(771)</t>
  </si>
  <si>
    <t>Harris Pang(771)</t>
  </si>
  <si>
    <t>Golden Shen(772)</t>
  </si>
  <si>
    <t>Tiejun Fu(772)</t>
  </si>
  <si>
    <t>Summer Peng(1053)</t>
  </si>
  <si>
    <t>Golden Shen(773)</t>
  </si>
  <si>
    <t>SWI9X28A_00.17.04.00-Legato17.10.0.m1.rc20</t>
  </si>
  <si>
    <t>Ryan Lei(773)</t>
  </si>
  <si>
    <t>TBA</t>
  </si>
  <si>
    <t>Golden Shen(774)</t>
  </si>
  <si>
    <t>M</t>
  </si>
  <si>
    <t>01.16.06.00</t>
  </si>
  <si>
    <t>Bing Huang*(4)</t>
  </si>
  <si>
    <t>generic</t>
  </si>
  <si>
    <t>05.05.58.05</t>
  </si>
  <si>
    <t>Fiona Li(774)</t>
  </si>
  <si>
    <t>Fiona Li(776)</t>
  </si>
  <si>
    <t>Tiejun Fu(776)</t>
  </si>
  <si>
    <t>Golden Shen(776)</t>
  </si>
  <si>
    <t>Ryan Lei(776)</t>
  </si>
  <si>
    <t xml:space="preserve">01.16.06.00 </t>
  </si>
  <si>
    <t>Tiejun Fu(777)</t>
  </si>
  <si>
    <t>APSystems</t>
  </si>
  <si>
    <t>R7.52.7.A5/EXT</t>
  </si>
  <si>
    <t>Golden Shen(777)</t>
  </si>
  <si>
    <t>Wilson Lin</t>
  </si>
  <si>
    <t>Fiona Li(777)</t>
  </si>
  <si>
    <t>Tiejun Fu(778)</t>
  </si>
  <si>
    <t>07.10.26.00</t>
  </si>
  <si>
    <t>Golden Shen(778)</t>
  </si>
  <si>
    <t>VW_CMCC_CU</t>
  </si>
  <si>
    <t>Tiejun Fu(779)</t>
  </si>
  <si>
    <t>ZIV</t>
  </si>
  <si>
    <t>R7.54.14.A1/EXT</t>
  </si>
  <si>
    <t>Jeff Collis</t>
  </si>
  <si>
    <t>Bing Huang*(13)</t>
  </si>
  <si>
    <t>Golden Shen(779)</t>
  </si>
  <si>
    <t>Louis Tam</t>
  </si>
  <si>
    <t>Rain Xie*(0)</t>
  </si>
  <si>
    <t>subjects for weekly meeting</t>
  </si>
  <si>
    <t>Harris Pang(779)</t>
  </si>
  <si>
    <t>Panasonic</t>
  </si>
  <si>
    <t>07.10.02.00</t>
  </si>
  <si>
    <t>Vinh Vo Thai</t>
  </si>
  <si>
    <t>id</t>
  </si>
  <si>
    <t>06.02.05.44</t>
  </si>
  <si>
    <t>Harris Pang(780)</t>
  </si>
  <si>
    <t>subject</t>
  </si>
  <si>
    <t>time（min）</t>
  </si>
  <si>
    <t>description</t>
  </si>
  <si>
    <t>Tiejun Fu(780)</t>
  </si>
  <si>
    <t>Fiona Li(780)</t>
  </si>
  <si>
    <t>leftover problem for last week</t>
  </si>
  <si>
    <t>plan for oempri</t>
  </si>
  <si>
    <t>plan for outlook tasks</t>
  </si>
  <si>
    <t>share your work</t>
  </si>
  <si>
    <t>brain storm for team work</t>
  </si>
  <si>
    <t>1.QTI auto commit and build spkg
2. secure boot new process</t>
  </si>
  <si>
    <t>China_Unicom,Lanyou</t>
  </si>
  <si>
    <t>SWI9X28G_00.12.06.00-Legato17.06.0.m1.rc14</t>
  </si>
  <si>
    <t>Bing Huang(697)</t>
  </si>
  <si>
    <t>ficosa</t>
  </si>
  <si>
    <t>7.10.19.0</t>
  </si>
  <si>
    <t>Fiona Li(781)</t>
  </si>
  <si>
    <t>Tiejun Fu(781)</t>
  </si>
  <si>
    <t>Golden Shen(781)</t>
  </si>
  <si>
    <t>Qualified</t>
  </si>
  <si>
    <t>S4.1.0.25</t>
  </si>
  <si>
    <t>Golden Shen(782)</t>
  </si>
  <si>
    <t>ISKRA</t>
  </si>
  <si>
    <t>A00.02.07.00</t>
  </si>
  <si>
    <t>Tiejun Fu(782)</t>
  </si>
  <si>
    <t>Fiona Li(783)</t>
  </si>
  <si>
    <t>Golden Shen(784)</t>
  </si>
  <si>
    <t>WP14.1.2</t>
  </si>
  <si>
    <t>Gavin Peng(31)</t>
  </si>
  <si>
    <t>China_Unicom,MMGZ</t>
  </si>
  <si>
    <t>CMCC,Ficosa</t>
  </si>
  <si>
    <t>Bing Huang*(24)</t>
  </si>
  <si>
    <t>Bing Huang*(16)</t>
  </si>
  <si>
    <t>All</t>
  </si>
  <si>
    <t>categary</t>
  </si>
  <si>
    <t>01.00.19.00</t>
  </si>
  <si>
    <t>Ben Zheng(784)</t>
  </si>
  <si>
    <t>Ryan Lei(785)</t>
  </si>
  <si>
    <t>01.13.03.00</t>
  </si>
  <si>
    <t>model</t>
  </si>
  <si>
    <t>Golden Shen(785)</t>
  </si>
  <si>
    <t>status</t>
  </si>
  <si>
    <t>finder</t>
  </si>
  <si>
    <t>supporter</t>
  </si>
  <si>
    <t>happen time</t>
  </si>
  <si>
    <t>fix time</t>
  </si>
  <si>
    <t>detail log path</t>
  </si>
  <si>
    <t>other</t>
  </si>
  <si>
    <t>Ben Zheng(785)</t>
  </si>
  <si>
    <t>please insert 1 below in second row</t>
  </si>
  <si>
    <t>FW</t>
  </si>
  <si>
    <t>AR758x/AR759x</t>
  </si>
  <si>
    <t>Failure desc: nvup failure with new fw version upgrade
Solution: after new  fw version, nvup must contain the hash, so provide a signed nvup file</t>
  </si>
  <si>
    <t>bing</t>
  </si>
  <si>
    <t>xin wang</t>
  </si>
  <si>
    <t>None(785)</t>
  </si>
  <si>
    <t>AR7552</t>
  </si>
  <si>
    <t>Failure desc: OEMPRI-6210 hash from the query cmd had delete the check sum, cuase write condition not success
correct the return hash to ignore</t>
  </si>
  <si>
    <t>rain</t>
  </si>
  <si>
    <t>Failure desc: OEMPRI-6210 hash for private key can write only once, cause fact test failure
add condition write to ignore</t>
  </si>
  <si>
    <t>env</t>
  </si>
  <si>
    <t>Bing Huang*(27)</t>
  </si>
  <si>
    <t>AR7584</t>
  </si>
  <si>
    <t xml:space="preserve">EFS file dump fail with complete Jenkins test but success with Sanity check only.
JIRA ticket: OEMPRI-3009
Description: Plan to dump EFS file for old Factory Release ver. for SKU1103372 of OEMPRI-6211. But EFS file dump failure occur even the Jenkins test run successful.
LogPath:\\cnshz-ev-int-10\UserData\OEMPRI\OEMPRI-debug\OEMPRI-6211_old-ver_filedump\1103372_9906987_AR7584_00.04.17.00_00_Generic_000.002_000\Testing
</t>
  </si>
  <si>
    <t>Fiona Li(786)</t>
  </si>
  <si>
    <t>\\cnshz-ev-int-10\UserData\OEMPRI\OEMPRI-debug\OEMPRI-6211_old-ver_filedump\1103372_9906987_AR7584_00.04.17.00_00_Generic_000.002_000\Testing</t>
  </si>
  <si>
    <t>AR7582</t>
  </si>
  <si>
    <t>One-Click-Prepare-PCS-Samples.
log:2018-02-26 17:02:26  223 DEBUG: AT write:  at!mcfgsel?
2018-02-26 17:02:26  247 DEBUG: AT read port \\.\COM17 : ['at!mcfgsel?', '!MCFGSEL: ', 'OK']
2018-02-26 17:02:26  271 DEBUG: AT command ok: ['at!mcfgsel?', '!MCFGSEL: ', 'OK']
2018-02-26 17:02:26  747 DEBUG: port \\.\COM17 query mbn fail: ['at!mcfgsel?', '!MCFGSEL: ', 'OK']
2018-02-26 17:02:26  974 ERROR: | FAIL: in set mcfgsel  |
when run at！mcfgsel? ,return ['at!mcfgsel?', '!MCFGSEL: ', 'OK'],the result is error.
if try again ,it will sucess.</t>
  </si>
  <si>
    <t>spkg</t>
  </si>
  <si>
    <t>Golden Shen(786)</t>
  </si>
  <si>
    <t xml:space="preserve">Failure desc:OEMPRI-6119 , PRI-XML PATH searching error
http://cnshz-ev-int-10:8080/job/PRI-Build-Process/532/console
Traceback (most recent call last):WindowsError: [Error 3] The system cannot find the path specified: '.\\temp_folder\\pri-xml/*.*'    for files in os.listdir(srcpath):  File "FWpackagecreator.py", line 1215, in GenerateNVUP    GenerateNVUP(config, srcdataXMLpath, parserToolOption, efsfilelist, efsfieldfilelist, efsspecfilelist, [], dumpdiff, sanitycheck, multicarrier, reset)  File "FWpackagecreator.py", line 950, in ConfigurationXML    ConfigurationXML( [custsheet, custsheetpath[:custsheetpath.rfind("\\")], "" ], parserToolOption, dumpdifflist, sanityatlist, multicarrier , "YES")  File "FWpackagecreator.py", line 3357, in &lt;module&gt;
Solution:    modify FWpackagecreator.py with "srcpath = srcpath[:(srcpath.find('/',srcpath.rfind("SWI")))]"
if srcpath.startswith("http"):
        # Source path is from getLegato page
        # srcpath = srcpath[:(srcpath.rfind('/'))]
        srcpath = srcpath[:(srcpath.find('/',srcpath.rfind("SWI")))]
        srcpath = srcpath + "/pri-xml/"
        logger.info(srcpath)
        list = []
        GetHTMLFilesList(srcpath,"xml", list)
        for file in list:
            GetFile(file, workdir + "\\pri-xml")
        srcpath = workdir + "\\pri-xml" </t>
  </si>
  <si>
    <t>Ryan Lei(786)</t>
  </si>
  <si>
    <t>test</t>
  </si>
  <si>
    <t>the device given by PM is wrong one, which missing B7.
cause by this device manually change by add B7 hw component 
but actually the QFUSE already define it as a None B7 HW already.</t>
  </si>
  <si>
    <t>Bing. Huang</t>
  </si>
  <si>
    <t>ALL</t>
  </si>
  <si>
    <t xml:space="preserve">SDT/ENGen with PN# missmatch when fdt emergency download.
## FDT ##
--fdt_pn=9907128
--fdt_build=\\cnshz-nv-fl01\file\Engineering\Product_Integration\04_Release\01_SPKG\04_Utilities\scripts\SDT\Eng5
</t>
  </si>
  <si>
    <t>lares</t>
  </si>
  <si>
    <t>Bing Huang*(1)</t>
  </si>
  <si>
    <t>MFT</t>
  </si>
  <si>
    <t>SLxx</t>
  </si>
  <si>
    <t>OEMPRI-5704 BinUpdate tool prompt confirm Box invoke by  FACT-9907795_1.2.4.2</t>
  </si>
  <si>
    <t>james</t>
  </si>
  <si>
    <t>should restore qcn or not for AR755x Secureboot  Test</t>
  </si>
  <si>
    <t>Fiona Li(787)</t>
  </si>
  <si>
    <t>MCxx</t>
  </si>
  <si>
    <t xml:space="preserve">Failure desc: OEMPRI-5954, Module Port Stuck in PC's Device Manager Window when Port scanning executing and Program still running. 
                      It leads to every ports frozen on Test machine. User can reboot the test machine to continue the test with FACT manully.
                      Same suitation with AR7592 moulde pluging in but low Probability refer to it on Win10 test surrounding.
</t>
  </si>
  <si>
    <t>OEMPRI-5704 bad block check at command not support in FACT-9904568-1.2.2.0</t>
  </si>
  <si>
    <t>AR7594</t>
  </si>
  <si>
    <t>OEMPRI-5683: copy an error spkg released path to OEMPRI</t>
  </si>
  <si>
    <t>dilys</t>
  </si>
  <si>
    <t>stone</t>
  </si>
  <si>
    <t>Failure desc:OEMPRI-5652 , Auto answer is opened
Solution:Provide new sample from PM</t>
  </si>
  <si>
    <t>samuel</t>
  </si>
  <si>
    <t>AR7586</t>
  </si>
  <si>
    <t>Failure desc: OEMPRI-5674 vilidation, Modem crash, cannot Reg on Network:
Solution:Provide new sample from PM</t>
  </si>
  <si>
    <t>Failure desc:OEMPRI-5652 , at!selrat=06
ERROR
Solution:Restore the correct QCN file</t>
  </si>
  <si>
    <t>Golden Shen(787)</t>
  </si>
  <si>
    <t>FDT</t>
  </si>
  <si>
    <t xml:space="preserve">Jenkins test after download the binary, the port will lost and the test will faild the first time before the calibration. And you can success at the second  or third time with nothing changed. </t>
  </si>
  <si>
    <t>jobfile</t>
  </si>
  <si>
    <t>SWI9X28F_01.00.14.02 Jobfile DL failure during Jenkins Process, which executed on AR758x RC2 module FSN# capitaled from Z. It occured sometimes when manual load the FW, but it might be fixed after refresh module port driver.</t>
  </si>
  <si>
    <t>Fiona Li(788)</t>
  </si>
  <si>
    <t>Golden Shen(788)</t>
  </si>
  <si>
    <t>Tiejun Fu(788)</t>
  </si>
  <si>
    <t>Bing Huang(1069)</t>
  </si>
  <si>
    <t>WP14.5B1-SWI9X40A_01.13.03.00-Legato17.10.0.m1.rc4</t>
  </si>
  <si>
    <t>05.05.16.02</t>
  </si>
  <si>
    <t>Golden Shen(789)</t>
  </si>
  <si>
    <t>Fiona Li(789)</t>
  </si>
  <si>
    <t>07.10.18.00</t>
  </si>
  <si>
    <t>Summer Peng(1070)</t>
  </si>
  <si>
    <t>Fiona Li(790)</t>
  </si>
  <si>
    <t>Vodafone-01.13.03.00</t>
  </si>
  <si>
    <t>WP14.5B1- SWI9X40A_01.13.03.00-Legato17.10.0</t>
  </si>
  <si>
    <t>iskra</t>
  </si>
  <si>
    <t>A00.02.06.00</t>
  </si>
  <si>
    <t>Tiejun Fu(790)</t>
  </si>
  <si>
    <t>Golden Shen(790)</t>
  </si>
  <si>
    <t>Jason Liu(791)</t>
  </si>
  <si>
    <t>Bing Huang*(18)</t>
  </si>
  <si>
    <t>Golden Shen(791)</t>
  </si>
  <si>
    <t>Fiona Li(791)</t>
  </si>
  <si>
    <t>Summer Peng(1072)</t>
  </si>
  <si>
    <t>Tiejun Fu(791)</t>
  </si>
  <si>
    <t>CONTINENTAL</t>
  </si>
  <si>
    <t>R7.54.10.A1</t>
  </si>
  <si>
    <t>New Feature</t>
  </si>
  <si>
    <t>VW_AT&amp;T_VZW</t>
  </si>
  <si>
    <t>SWI9X28A_00.12.06.00-Legato17.10.0.m1.rc2</t>
  </si>
  <si>
    <t>SWI9X28A_00.07.05.00-Legato17.06.0.rc4</t>
  </si>
  <si>
    <t>Bing Huang*(6)</t>
  </si>
  <si>
    <t>Harris Pang(792)</t>
  </si>
  <si>
    <t>Ficosa</t>
  </si>
  <si>
    <t>Summer Peng(1073)</t>
  </si>
  <si>
    <t>Ficosa_AT&amp;T</t>
  </si>
  <si>
    <t>Bing Huang*(12)</t>
  </si>
  <si>
    <t>airlink</t>
  </si>
  <si>
    <t>05.05.58.01</t>
  </si>
  <si>
    <t>R7.54.14.A1</t>
  </si>
  <si>
    <t>Bing Huang*(78)</t>
  </si>
  <si>
    <t>Gavin Peng</t>
  </si>
  <si>
    <t>Fiona Li(793)</t>
  </si>
  <si>
    <t>S4.1.0.21</t>
  </si>
  <si>
    <t>Nguyen Quoc Quan</t>
  </si>
  <si>
    <t>Tiejun Fu(793)</t>
  </si>
  <si>
    <t>Harris Pang(793)</t>
  </si>
  <si>
    <t>SWI9X28A_00.12.06.00</t>
  </si>
  <si>
    <t>Golden Shen(793)</t>
  </si>
  <si>
    <t>Jason Liu(794)</t>
  </si>
  <si>
    <t>01.09.03.04</t>
  </si>
  <si>
    <t>Golden Shen(794)</t>
  </si>
  <si>
    <t>Tiejun Fu(794)</t>
  </si>
  <si>
    <t>WP11.3B2-SWI9X28G_00.08.09.00-Legato17.06.0.m1.rc8</t>
  </si>
  <si>
    <t>Verizon</t>
  </si>
  <si>
    <t>R7.53.6.A3/EXT AT</t>
  </si>
  <si>
    <t>Michel Giroux(1076)</t>
  </si>
  <si>
    <t>Michel Giroux(115)</t>
  </si>
  <si>
    <t>Golden Shen(795)</t>
  </si>
  <si>
    <t>07.10.19.00</t>
  </si>
  <si>
    <t>Tiejun Fu(795)</t>
  </si>
  <si>
    <t>Xin Wang(795)</t>
  </si>
  <si>
    <t>Harris Pang(796)</t>
  </si>
  <si>
    <t>Ryan Lei(796)</t>
  </si>
  <si>
    <t>7.10.19.0_7.11</t>
  </si>
  <si>
    <t>lesswire</t>
  </si>
  <si>
    <t>07.10.12.00</t>
  </si>
  <si>
    <t>MAGNETI</t>
  </si>
  <si>
    <t>R7.54.16.A1 WP1</t>
  </si>
  <si>
    <t>Hugh Yao(133)</t>
  </si>
  <si>
    <t>Hugh Yao(138)</t>
  </si>
  <si>
    <t>VW_CMCC</t>
  </si>
  <si>
    <t>SWI9X28A_00.08.05.00-Legato17.08.0.rc1</t>
  </si>
  <si>
    <t>2.54.15.A1 WP1</t>
  </si>
  <si>
    <t>GENERIC</t>
  </si>
  <si>
    <t>Hugh Yao(132)</t>
  </si>
  <si>
    <t>05.05.63.01</t>
  </si>
  <si>
    <t>05.05.58.00</t>
  </si>
  <si>
    <t>Bing Huang(117)</t>
  </si>
  <si>
    <t>Samuel Sun(15)</t>
  </si>
  <si>
    <t>05.05.58.21</t>
  </si>
  <si>
    <t>Davy Zhang(29)</t>
  </si>
  <si>
    <t>Stone Li(33)</t>
  </si>
  <si>
    <t>Joe Liu(41)</t>
  </si>
  <si>
    <t>Wilson Lin – Shenzhen(26)</t>
  </si>
  <si>
    <t xml:space="preserve">SWI9X28A_00.07.05.00-Legato17.06.0.rc4 </t>
  </si>
  <si>
    <t>Dell</t>
  </si>
  <si>
    <t>01.11.05.01</t>
  </si>
  <si>
    <t>Changcun Ma(3)</t>
  </si>
  <si>
    <t>07.10.27.00</t>
  </si>
  <si>
    <t>FICOSA</t>
  </si>
  <si>
    <t>Alex Gu(7)</t>
  </si>
  <si>
    <t xml:space="preserve">WP9.4B1-SWI9X28A_00.07.05.00-Legato17.06.0.rc4 </t>
  </si>
  <si>
    <t>Alex Gu(0)</t>
  </si>
  <si>
    <t>Ethan Guan(16)</t>
  </si>
  <si>
    <t>Roger Wang(42)</t>
  </si>
  <si>
    <t>Mary Shan(57)</t>
  </si>
  <si>
    <t>Mary Shan(13)</t>
  </si>
  <si>
    <t>Ethan Guan(6)</t>
  </si>
  <si>
    <t>Stone Li(68)</t>
  </si>
  <si>
    <t>Roger Wang(41)</t>
  </si>
  <si>
    <t>Changcun Ma(51)</t>
  </si>
  <si>
    <t>Joanna Xia(56)</t>
  </si>
  <si>
    <t>WP12.3B1-SWI9X40A_01.09.09.00-Legato17.06.1.rc1</t>
  </si>
  <si>
    <t>Lares Yang(19)</t>
  </si>
  <si>
    <t>Roger Wang(36)</t>
  </si>
  <si>
    <t>WP9.4B1-SWI9X28A_00.07.05.00-Legato17.06.0.rc4</t>
  </si>
  <si>
    <t>Ben Zheng(40)</t>
  </si>
  <si>
    <t>Joe Liu(22)</t>
  </si>
  <si>
    <t>AirLink,SWIR</t>
  </si>
  <si>
    <t>Stone Li(111)</t>
  </si>
  <si>
    <t>Joanna Xia(27)</t>
  </si>
  <si>
    <t>Stone Li(112)</t>
  </si>
  <si>
    <t>Joanna Xia(26)</t>
  </si>
  <si>
    <t>Ethan Guan(4)</t>
  </si>
  <si>
    <t>Roger Wang(35)</t>
  </si>
  <si>
    <t>Roger Wang(69)</t>
  </si>
  <si>
    <t>MMGZ</t>
  </si>
  <si>
    <t>Ethan Guan(10)</t>
  </si>
  <si>
    <t>Roger Wang(33)</t>
  </si>
  <si>
    <t>Lanyou</t>
  </si>
  <si>
    <t>Mary Shan(20)</t>
  </si>
  <si>
    <t>Stone Li*(8)</t>
  </si>
  <si>
    <t>Generic,Qualified</t>
  </si>
  <si>
    <t>Stone Li(65)</t>
  </si>
  <si>
    <t>Mary Shan(34)</t>
  </si>
  <si>
    <t>SWI9X28A_00.06.05.00-Legato16.07.0.9xxxRO.rc4</t>
  </si>
  <si>
    <t xml:space="preserve">SWI9X28A_00.04.17.00-Legato16.07.3.9xxx.rc1 </t>
  </si>
  <si>
    <t>Mary Shan(26)</t>
  </si>
  <si>
    <t>WP11.3B1-SWI9X40A_01.08.05.00-Legato17.05.0.rc6</t>
  </si>
  <si>
    <t>Roger Wang(46)</t>
  </si>
  <si>
    <t>Mary Shan(14)</t>
  </si>
  <si>
    <t>AT&amp;T,Generic</t>
  </si>
  <si>
    <t>01.08.05.00</t>
  </si>
  <si>
    <t>Mary Shan(15)</t>
  </si>
  <si>
    <t xml:space="preserve">9907406 - CONFIGURATION PACKAGE,1103556 MC7354 GENERIC SPRINT  </t>
  </si>
  <si>
    <t>Samuel Sun*(4)</t>
  </si>
  <si>
    <t>SWI9X28A_00.04.17.02-Legato16.07.3.9xxx.rc1</t>
  </si>
  <si>
    <t>Winegard</t>
  </si>
  <si>
    <t>Stone Li(125)</t>
  </si>
  <si>
    <t>WP10.4-SWI9X40A_01.06.08.00-Legato16.07.0.9xxxRO.rc2</t>
  </si>
  <si>
    <t>Joe Liu(13)</t>
  </si>
  <si>
    <t>01.06.08.00</t>
  </si>
  <si>
    <t>Samuel Sun(20)</t>
  </si>
  <si>
    <t>SW9X28A_00.04.17.00-Legato17.03.0.rc2</t>
  </si>
  <si>
    <t>SWI9X28A_00.04.17.00-Legato16.07.3.9xxx.rc1</t>
  </si>
  <si>
    <t>Stone Li*(5)</t>
  </si>
  <si>
    <t>AT&amp;T,Panasonic</t>
  </si>
  <si>
    <t>WP13.5: SWI9X15A_07.10.02.00-Legato16.01.2.m1</t>
  </si>
  <si>
    <t>00.04.17.00</t>
  </si>
  <si>
    <t>Mary Shan*(1)</t>
  </si>
  <si>
    <t>Bing Huang(67)</t>
  </si>
  <si>
    <t>Mary Shan(1)</t>
  </si>
  <si>
    <t>Davy Zhang(74)</t>
  </si>
  <si>
    <t>Bing Huang(91)</t>
  </si>
  <si>
    <t>Joanna Xia(3)</t>
  </si>
  <si>
    <t>Rock Li-Zhi Quan(219)</t>
  </si>
  <si>
    <t>Davy Zhang(94)</t>
  </si>
  <si>
    <t>Actia</t>
  </si>
  <si>
    <t>\\cnshz-nr-fl01\file\Engineering\Project_Management\Coronado_AR759x\01_Engineering\10_Integration\09_Work-Package\WP10.4-SWI9X40A_01.06.08.00-Legato16.07.0.9xxxRO.rc2</t>
  </si>
  <si>
    <t>Davy Zhang(49)</t>
  </si>
  <si>
    <t>AR8550_00.05.12.08_00</t>
  </si>
  <si>
    <t>Davy Zhang(76)</t>
  </si>
  <si>
    <t>Lolly Cao(7)</t>
  </si>
  <si>
    <t>alpha7 (01.05.07.00)</t>
  </si>
  <si>
    <t>Hugh Yao(16)</t>
  </si>
  <si>
    <t>01.06.01.00</t>
  </si>
  <si>
    <t>WP9.5-SWI9X40A_01.05.07.00-Legato16.07.2.9xxx.rc5</t>
  </si>
  <si>
    <t>Ethan Guan(8)</t>
  </si>
  <si>
    <t>Ethan Guan(17)</t>
  </si>
  <si>
    <t>Stone Li*(6)</t>
  </si>
  <si>
    <t>（WP9.5-SWI9X40A_01.05.07.00-Legato16.07.2.9xxx.rc5）</t>
  </si>
  <si>
    <t>00.05.12.07</t>
  </si>
  <si>
    <t>SWI9X28A_00.04.12.01-Legato16.07.2.9xxx.rc7</t>
  </si>
  <si>
    <t>Samuel Sun(16)</t>
  </si>
  <si>
    <t>WP8.3-SWI9X40A_01.03.06.00-Legato16.07.0.9xxx.rc6</t>
  </si>
  <si>
    <t>Ethan Guan(34)</t>
  </si>
  <si>
    <t>Zipeng Sun(8)</t>
  </si>
  <si>
    <t>Zipeng Sun*(4)</t>
  </si>
  <si>
    <t>SWI9X28A_00.04.06.00-Legato16.07.1.9xxx.rc4</t>
  </si>
  <si>
    <t>Nicky Zheng(0)</t>
  </si>
  <si>
    <t>Nicky Zheng*(22)</t>
  </si>
  <si>
    <t>WP5.2-SWI9X28A_00.03.05.00-Legato16.07.0.9xxx.rc3</t>
  </si>
  <si>
    <t xml:space="preserve">SWI9X28A_00.04.06.00-Legato16.07.1.9xxx.rc4 </t>
  </si>
  <si>
    <t>Neusoft</t>
  </si>
  <si>
    <t>Magneti,Marelli</t>
  </si>
  <si>
    <t>Stone Li*(39)</t>
  </si>
  <si>
    <t>AR758X</t>
  </si>
  <si>
    <t>Davy Zhang(37)</t>
  </si>
  <si>
    <t>Ethan Guan(25)</t>
  </si>
  <si>
    <t>AR759X</t>
  </si>
  <si>
    <t>Victor He(3)</t>
  </si>
  <si>
    <t>CustomPrjName</t>
  </si>
  <si>
    <t>Bing Huang*(47)</t>
  </si>
  <si>
    <t>SWIPrjName</t>
  </si>
  <si>
    <t>ParentSKU</t>
  </si>
  <si>
    <t>SKU</t>
  </si>
  <si>
    <t>PackagePN</t>
  </si>
  <si>
    <t>Product</t>
  </si>
  <si>
    <t>Customer</t>
  </si>
  <si>
    <t>CarrierPN</t>
  </si>
  <si>
    <t>Category</t>
  </si>
  <si>
    <t>Golden Shen(9)</t>
  </si>
  <si>
    <t>OCU3-L</t>
  </si>
  <si>
    <t>Victor He(4)</t>
  </si>
  <si>
    <t>Ben Zheng(27)</t>
  </si>
  <si>
    <t>Cougar</t>
  </si>
  <si>
    <t>AR7582-1</t>
  </si>
  <si>
    <t>9907611_ATT/
 9907676_VZW/
 9907613_T-Mobile</t>
  </si>
  <si>
    <t>Commercial</t>
  </si>
  <si>
    <t>OCU3-H</t>
  </si>
  <si>
    <t>Coronado</t>
  </si>
  <si>
    <t>Stone Li*(2)</t>
  </si>
  <si>
    <t>Stone Li*(41)</t>
  </si>
  <si>
    <t>AR7592</t>
  </si>
  <si>
    <t>9906444_ATT</t>
  </si>
  <si>
    <t>Ethan Guan(9)</t>
  </si>
  <si>
    <t>OUTPOSTCENTRAL</t>
  </si>
  <si>
    <t>R7.52.3.A5/EXT AT</t>
  </si>
  <si>
    <t>PN 9906837 - CONFIGURATION PACKAGE,1103327 MC7354 PEOPLENET</t>
  </si>
  <si>
    <t>AR7592-1</t>
  </si>
  <si>
    <t>9906444_ATT
 9907852_VZW</t>
  </si>
  <si>
    <t>Peoplenet</t>
  </si>
  <si>
    <t>Gen2-Kai-Evo</t>
  </si>
  <si>
    <t>Samuel Sun(17)</t>
  </si>
  <si>
    <t>9906554_ATT</t>
  </si>
  <si>
    <t>OCU4</t>
  </si>
  <si>
    <t xml:space="preserve">WP5.2-SWI9X28A_00.03.05.00-Legato16.07.0.9xxx.rc3 </t>
  </si>
  <si>
    <t>EMU</t>
  </si>
  <si>
    <t>Wilson Lin(0)</t>
  </si>
  <si>
    <t>Davy Zhang(7)</t>
  </si>
  <si>
    <t>Gen2-Kai-LL</t>
  </si>
  <si>
    <t>Eel</t>
  </si>
  <si>
    <t>Bing Huang*(63)</t>
  </si>
  <si>
    <t>9906910_Vodafone</t>
  </si>
  <si>
    <t>TBM2</t>
  </si>
  <si>
    <t>Jack Liu*(1)</t>
  </si>
  <si>
    <t>Eland</t>
  </si>
  <si>
    <t>Victor He*(1)</t>
  </si>
  <si>
    <t>WP3.3-SWI9X28A_00.02.16.00-Legato16.04.1.9xxx.rc7</t>
  </si>
  <si>
    <t>Hugh Yao(80)</t>
  </si>
  <si>
    <t>9906910_Vodafone/
 9906910_Vodafone-IOT/
 9906831_Russia</t>
  </si>
  <si>
    <t>9907614_Vodafone</t>
  </si>
  <si>
    <t>AR7596</t>
  </si>
  <si>
    <t>9906167_Generic</t>
  </si>
  <si>
    <t>ATB4G</t>
  </si>
  <si>
    <t>9906553_GENNEU</t>
  </si>
  <si>
    <t>Stone Li*(60)</t>
  </si>
  <si>
    <t>9906448_CMCC
 9907812_CU</t>
  </si>
  <si>
    <t>Mary Shan(10)</t>
  </si>
  <si>
    <t>AR7598</t>
  </si>
  <si>
    <t>9906161_DOCOMO/
 9907024_Telstra/
 9908452_KT</t>
  </si>
  <si>
    <t>9906161_DOCOMO/
 9907024_Telstra/
 9908452_KT</t>
  </si>
  <si>
    <t>Ben Zheng*(74)</t>
  </si>
  <si>
    <t>Davy Zhang(9)</t>
  </si>
  <si>
    <t>Lares Yang*(75)</t>
  </si>
  <si>
    <t>N/A</t>
  </si>
  <si>
    <t>ATT</t>
  </si>
  <si>
    <t>Lares Yang*(76)</t>
  </si>
  <si>
    <t>9906552_CMCC/
 9907718_CU</t>
  </si>
  <si>
    <t>Bing Huang*(82)</t>
  </si>
  <si>
    <t>Bing Huang*(89)</t>
  </si>
  <si>
    <t>VZW</t>
  </si>
  <si>
    <t>9907852_VZW</t>
  </si>
  <si>
    <t>9906552_CMCC</t>
  </si>
  <si>
    <t>EE-UK</t>
  </si>
  <si>
    <t>9906909_EE-UK</t>
  </si>
  <si>
    <t>Stone Li*(68)</t>
  </si>
  <si>
    <t>GENEU</t>
  </si>
  <si>
    <t>9906446_GENEU</t>
  </si>
  <si>
    <t>9907718_CU</t>
  </si>
  <si>
    <t>Hugh Yao(88)</t>
  </si>
  <si>
    <t>Telstra</t>
  </si>
  <si>
    <t>9907024_Telstra</t>
  </si>
  <si>
    <t>KT</t>
  </si>
  <si>
    <t>9908452_KT</t>
  </si>
  <si>
    <t>Hugh Yao(89)</t>
  </si>
  <si>
    <t>01.02.02.00</t>
  </si>
  <si>
    <t>T-Mobile</t>
  </si>
  <si>
    <t>9907653_T-Mobile</t>
  </si>
  <si>
    <t>Hugh Yao(59)</t>
  </si>
  <si>
    <t>GCFLab</t>
  </si>
  <si>
    <t>9906446_GCFLab</t>
  </si>
  <si>
    <t>Lab</t>
  </si>
  <si>
    <t>AR7588</t>
  </si>
  <si>
    <t>9906803_DoCoMo</t>
  </si>
  <si>
    <t>PTCRB</t>
  </si>
  <si>
    <t>9906830_PTCRB</t>
  </si>
  <si>
    <t>Hugh Yao(106)</t>
  </si>
  <si>
    <t>2N</t>
  </si>
  <si>
    <t>9906468_Generic</t>
  </si>
  <si>
    <t>R7.54.0.A1/EXT AT</t>
  </si>
  <si>
    <t>AR8582</t>
  </si>
  <si>
    <t>9907582_Generic-UMTS</t>
  </si>
  <si>
    <t>Wilson Lin(7)</t>
  </si>
  <si>
    <t>CMCC</t>
  </si>
  <si>
    <t>CU</t>
  </si>
  <si>
    <t>Hugh Yao(121)</t>
  </si>
  <si>
    <t>na</t>
  </si>
  <si>
    <t>9906833_GCFLab</t>
  </si>
  <si>
    <t>9907614_MCFG_Vodafone</t>
  </si>
  <si>
    <t>Napco,Verizon</t>
  </si>
  <si>
    <t>R7.52.0.A3</t>
  </si>
  <si>
    <t>9906833_GCFLab-Telefonica</t>
  </si>
  <si>
    <t>NA</t>
  </si>
  <si>
    <t>Mary Shan*(98)</t>
  </si>
  <si>
    <t>01.12.25,</t>
  </si>
  <si>
    <t>9906833_GCFLab-AR8582</t>
  </si>
  <si>
    <t>Hugh Yao(84)</t>
  </si>
  <si>
    <t>PCTRB</t>
  </si>
  <si>
    <t>9906832_PCTRB</t>
  </si>
  <si>
    <t>AVL</t>
  </si>
  <si>
    <t>9907611_MCFG-ATT</t>
  </si>
  <si>
    <t>DoCoMo,NTT</t>
  </si>
  <si>
    <t>SWI6600P_02.04.05.00</t>
  </si>
  <si>
    <t>9907676_MCFG-VZW</t>
  </si>
  <si>
    <t>Stone Li*(87)</t>
  </si>
  <si>
    <t>to be assign</t>
  </si>
  <si>
    <t>Cricket</t>
  </si>
  <si>
    <t>9908219_MCFG-Cricket</t>
  </si>
  <si>
    <t>9907613_MCFG-T-Mobile</t>
  </si>
  <si>
    <t>Mary Shan(5)</t>
  </si>
  <si>
    <t>HSM,Verizon</t>
  </si>
  <si>
    <t>R7.53.5.A3</t>
  </si>
  <si>
    <t>Stone Li(76)</t>
  </si>
  <si>
    <t>Bing Huang*(25)</t>
  </si>
  <si>
    <t>Bing Huang*(119)</t>
  </si>
  <si>
    <t>AT&amp;T,Lesswire</t>
  </si>
  <si>
    <t>WP14.5</t>
  </si>
  <si>
    <t>Bing Huang*(111)</t>
  </si>
  <si>
    <t>Hugh Yao(25)</t>
  </si>
  <si>
    <t>Hugh Yao(124)</t>
  </si>
  <si>
    <t>AT&amp;T</t>
  </si>
  <si>
    <t>WP13.5.3 with FW07.10.03.02</t>
  </si>
  <si>
    <t>Hugh Yao(76)</t>
  </si>
  <si>
    <t>Hugh Yao(42)</t>
  </si>
  <si>
    <t>Mary Shan(24)</t>
  </si>
  <si>
    <t>SWI6600P_02.04.04.00</t>
  </si>
  <si>
    <t>Joanna Xia*(40)</t>
  </si>
  <si>
    <t>Stone Li*(109)</t>
  </si>
  <si>
    <t>alpha 3?SWI9X40A_00.05.14.00-Legato16.01.3.9x40Alpha</t>
  </si>
  <si>
    <t>R7.53.5.A3(WP2)</t>
  </si>
  <si>
    <t>Mary Shan(41)</t>
  </si>
  <si>
    <t>Golden Shen*(0)</t>
  </si>
  <si>
    <t>Joanna Xia*(82)</t>
  </si>
  <si>
    <t>Joanna Xia(28)</t>
  </si>
  <si>
    <t>Joanna Xia*(1)</t>
  </si>
  <si>
    <t>Sprint,Verizon</t>
  </si>
  <si>
    <t>Joanna Xia*(2)</t>
  </si>
  <si>
    <t>Projecct</t>
  </si>
  <si>
    <t>PN</t>
  </si>
  <si>
    <t>subFW</t>
  </si>
  <si>
    <t>PRI</t>
  </si>
  <si>
    <t>subPRI</t>
  </si>
  <si>
    <t>parent SKU</t>
  </si>
  <si>
    <t>Bing Huang*(197)</t>
  </si>
  <si>
    <t>1103367_9906982_AR7582_00.17.04.00_00_VW_001.024_000_101103367</t>
  </si>
  <si>
    <t>Bing Huang*(38)</t>
  </si>
  <si>
    <t>Connective,Utinity</t>
  </si>
  <si>
    <t>Stone Li*(175)</t>
  </si>
  <si>
    <t>Bing Huang*(204)</t>
  </si>
  <si>
    <t>1103379_9907000_AR7582_00.12.06.00_00_Ficosa_001.009_000_101103379</t>
  </si>
  <si>
    <t>Stone Li*(209)</t>
  </si>
  <si>
    <t>1103963_9908155_AR7582_01.01.01.00_00_MM_001.003_000_101103963</t>
  </si>
  <si>
    <t>ELAND</t>
  </si>
  <si>
    <t>DIGI,Sprint,Verizon</t>
  </si>
  <si>
    <t>1103151_9906435_AR7584_00.18.03.00_00_VW_001.018_000_101103151</t>
  </si>
  <si>
    <t>1103831_9907853_AR7584_01.02.01.00_00_Ficosa_002.002_000_101103378</t>
  </si>
  <si>
    <t>Alpha 3?WI9X40A_00.05.14.00-Legato16.01.3.9x40Alpha</t>
  </si>
  <si>
    <t>NC</t>
  </si>
  <si>
    <t>EEL</t>
  </si>
  <si>
    <t>CradlePoint,Verizon</t>
  </si>
  <si>
    <t>5.5.58.01</t>
  </si>
  <si>
    <t>1103378_9906998_AR7584_01.00.19.00_00_Ficosa_001.011_000_101103378</t>
  </si>
  <si>
    <t>1103372_9906987_AR7584_00.12.06.00_00_Generic_001.009_000_101103378</t>
  </si>
  <si>
    <t>1103964_9908156_AR7584_01.01.05.00_00_MM_001.010_000_101103964</t>
  </si>
  <si>
    <t>Stone Li*(196)</t>
  </si>
  <si>
    <t>1.0.0.28</t>
  </si>
  <si>
    <t>1103223_9906693_AR7586_00.18.03.00_00_VW_001.022_000_101103223</t>
  </si>
  <si>
    <t>1103965_9908157_AR7586_01.00.33.00_00_MM_001.002_000_101103965</t>
  </si>
  <si>
    <t>1103494_9907253_AR7588_00.16.02.00_00_VW_001.014_000_101103494</t>
  </si>
  <si>
    <t>Ficosa,Rogers</t>
  </si>
  <si>
    <t>ARx550_R2_FP.00.05.12.07</t>
  </si>
  <si>
    <t>TBC</t>
  </si>
  <si>
    <t>1103102_9906297_AR7592_01.13.03.00_00_Generic_001.005_000_101103102</t>
  </si>
  <si>
    <t>AT&amp;T,Ficosa</t>
  </si>
  <si>
    <t>1103992_9908132_AR7592_02.03.07.00_00_VW_002.001_000_101103210</t>
  </si>
  <si>
    <t>1103210_9906623_AR7592_01.18.01.00_00_VW_001.022_000_101103210</t>
  </si>
  <si>
    <t>1103049_9906093_AR7594_01.13.03.00_00_Generic_001.005_000_101103049</t>
  </si>
  <si>
    <t>Cisco,DoCoMo,NTT</t>
  </si>
  <si>
    <t>5.5.66.00</t>
  </si>
  <si>
    <t>1103993_9908133_AR7594_02.03.09.00_00_VW_002.005_000_101103204</t>
  </si>
  <si>
    <t>1103204_9906619_AR7594_01.16.07.04_00_VW_001.026_000_101103204</t>
  </si>
  <si>
    <t>1103996_9908136_AR7596_01.13.03.00_00_VW_001.000_000_101103207</t>
  </si>
  <si>
    <t>R7.53.4.A3 (wp4)</t>
  </si>
  <si>
    <t>Roger Wang(19)</t>
  </si>
  <si>
    <t>Stone Li*(218)</t>
  </si>
  <si>
    <t>alpha 5?SWI9X40A_01.01.08.00</t>
  </si>
  <si>
    <t>1103207_9906620_AR7596_01.16.07.04_00_VW_001.010_000_101103207</t>
  </si>
  <si>
    <t>Keith Noble*(92)</t>
  </si>
  <si>
    <t>Rain Xie*(128)</t>
  </si>
  <si>
    <t>1103997_9908137_AR7598_01.13.03.00_00_VW_001.010_000_101103211</t>
  </si>
  <si>
    <t>05.05.65.00</t>
  </si>
  <si>
    <t>1103211_9906625_AR7598_01.17.00.00_00_VW_001.016_000_101103211</t>
  </si>
  <si>
    <t>1103998_9908146_AR8582_01.00.33.00_00_MM_001.002_000_101103377</t>
  </si>
  <si>
    <t>Stone Li*(267)</t>
  </si>
  <si>
    <t>WP12.7: 07.06.03.00 (Legato 15.12.3.Beta)</t>
  </si>
  <si>
    <t>1103362_9906977_AR7586_00.07.05.00_00_Lanyou_001.006_000</t>
  </si>
  <si>
    <t>Harris Pang*(315)</t>
  </si>
  <si>
    <t>Lesswire</t>
  </si>
  <si>
    <t>WP14.4</t>
  </si>
  <si>
    <t>Victor He*(501)</t>
  </si>
  <si>
    <t>1103362_9906977_AR7586_00.12.06.03_00_Lanyou_001.009_000_101103362</t>
  </si>
  <si>
    <t>1104059_9908316_AR7586_00.12.06.00_00_Lanyou_001.000_000_101103362</t>
  </si>
  <si>
    <t>Cisco</t>
  </si>
  <si>
    <t>1103371_9906986_AR7586_00.12.06.04_00_MM_001.013_000_101103371</t>
  </si>
  <si>
    <t>WP12.7: 07.06.03.00 (Legato 15.12.4.Beta)</t>
  </si>
  <si>
    <t>1103359_9906968_AR7586_00.12.06.03_00_Ficosa_001.011_000_101103359</t>
  </si>
  <si>
    <t>WP13.5.2</t>
  </si>
  <si>
    <t>alpha 2</t>
  </si>
  <si>
    <t>00.02.11.00_16.04.1</t>
  </si>
  <si>
    <t>R7.53.2.A3</t>
  </si>
  <si>
    <t>tbc</t>
  </si>
  <si>
    <t>R7.53.2.A3.201507060847</t>
  </si>
  <si>
    <t>CCT package</t>
  </si>
  <si>
    <t>1.13.11</t>
  </si>
  <si>
    <t>SWIR,Verizon</t>
  </si>
  <si>
    <t>01.12.25</t>
  </si>
  <si>
    <t>SKU#</t>
  </si>
  <si>
    <t>PCA#</t>
  </si>
  <si>
    <t>PCA</t>
  </si>
  <si>
    <t>Product ID</t>
  </si>
  <si>
    <t>#FSN</t>
  </si>
  <si>
    <t>Count</t>
  </si>
  <si>
    <t>VM</t>
  </si>
  <si>
    <t>R7.53.A3</t>
  </si>
  <si>
    <t>Result</t>
  </si>
  <si>
    <t>Test on</t>
  </si>
  <si>
    <t>Update Time</t>
  </si>
  <si>
    <t>WP15.3(SWI9X15A_07.10.12.00-Legato16.01.6.m1.rc2)</t>
  </si>
  <si>
    <t>4G/4G(4k page) without codec, no band 7, no Band13 w/o antenna diagnostic</t>
  </si>
  <si>
    <t>UJ</t>
  </si>
  <si>
    <t>UJ711300190605</t>
  </si>
  <si>
    <t>CNSHZ-EV-INT-07</t>
  </si>
  <si>
    <t>FAIL</t>
  </si>
  <si>
    <t>OEMPRI-7592</t>
  </si>
  <si>
    <t>Alpha 5?WI9X40A_01.01.08.00</t>
  </si>
  <si>
    <t>Ficosa, MM</t>
  </si>
  <si>
    <t>Netcomm</t>
  </si>
  <si>
    <t>1103373, 1103379</t>
  </si>
  <si>
    <t>Sprint</t>
  </si>
  <si>
    <t>01.05.03</t>
  </si>
  <si>
    <t>4G/2G(4k page) with codec, no B13</t>
  </si>
  <si>
    <t>UU</t>
  </si>
  <si>
    <t>UU70730017020502</t>
  </si>
  <si>
    <t>CNSHZ-EV-INT-08</t>
  </si>
  <si>
    <t>OEMPRI-6795</t>
  </si>
  <si>
    <t>4G/4G(4k page) without codec, with B13, no band 7, w/o antenna diagnostic</t>
  </si>
  <si>
    <t>W4</t>
  </si>
  <si>
    <t>W473120083040702</t>
  </si>
  <si>
    <t>CNSHZ-ED-000054</t>
  </si>
  <si>
    <t>OEMPRI-6324</t>
  </si>
  <si>
    <t>01.13.01</t>
  </si>
  <si>
    <t>VW, Generic</t>
  </si>
  <si>
    <t>1103151, 1103372</t>
  </si>
  <si>
    <t>4G/4G(4k page) without codec, full band, w/o antenna diagnostic</t>
  </si>
  <si>
    <t>VA</t>
  </si>
  <si>
    <t>VA71820119031004</t>
  </si>
  <si>
    <t>CNSHZ-EV-INT-05</t>
  </si>
  <si>
    <t>OK</t>
  </si>
  <si>
    <t>OEMPRI-7835</t>
  </si>
  <si>
    <t>4G/2G(4k page) with codec, no B28A</t>
  </si>
  <si>
    <t>UV</t>
  </si>
  <si>
    <t>UV70440002081004</t>
  </si>
  <si>
    <t>CNSHZ-EL-000171</t>
  </si>
  <si>
    <t>OEMPRI-8063</t>
  </si>
  <si>
    <t>4G/2G(4k page) without codec, no b28A</t>
  </si>
  <si>
    <t>UK</t>
  </si>
  <si>
    <t>UK71320012061004</t>
  </si>
  <si>
    <t>OEMPRI-6504</t>
  </si>
  <si>
    <t>sanity</t>
  </si>
  <si>
    <t>1103223, 1103369</t>
  </si>
  <si>
    <t>4G/4G(4k page) without codec, no band 7, w/o antenna diagnostic</t>
  </si>
  <si>
    <t>UY</t>
  </si>
  <si>
    <t>UY70450029021006</t>
  </si>
  <si>
    <t>OEMPRI-7876</t>
  </si>
  <si>
    <t>4G/2G(4k page) with codec, no b7, no b28</t>
  </si>
  <si>
    <t>UW</t>
  </si>
  <si>
    <t>UW65330038051006</t>
  </si>
  <si>
    <t>Lanyou, MM</t>
  </si>
  <si>
    <t>1103362, 1103371</t>
  </si>
  <si>
    <t>4G/2G(4k page) without codec,no b7, no b28</t>
  </si>
  <si>
    <t>UM</t>
  </si>
  <si>
    <t>UM73340149061006</t>
  </si>
  <si>
    <t>OEMPRI-7435</t>
  </si>
  <si>
    <t>4G/2G(4k page) with codec, full band</t>
  </si>
  <si>
    <t>PN71230057031008</t>
  </si>
  <si>
    <t>CNSHZ-ED-000163</t>
  </si>
  <si>
    <t>4G/4G(4k page) without codec, full band, without antenna diagnostic</t>
  </si>
  <si>
    <t>UQ</t>
  </si>
  <si>
    <t>UQ71740032070308</t>
  </si>
  <si>
    <t>Ficosa, Generic</t>
  </si>
  <si>
    <t>1103361, 1103040</t>
  </si>
  <si>
    <t>4G/2G(4k page) with codec</t>
  </si>
  <si>
    <t>QG</t>
  </si>
  <si>
    <t>QG71120035051052</t>
  </si>
  <si>
    <t>4G/2G(4k page) without codec</t>
  </si>
  <si>
    <t>UT</t>
  </si>
  <si>
    <t>UT71730048050252</t>
  </si>
  <si>
    <t>OEMPRI-6487</t>
  </si>
  <si>
    <t>PCA,AR7592,LTE CAT6,AUTOMOTIVE MODULE,NA _4G/4G Memory</t>
  </si>
  <si>
    <t>Q1</t>
  </si>
  <si>
    <t>Q1640300300202</t>
  </si>
  <si>
    <t>OEMPRI-7531</t>
  </si>
  <si>
    <t>PCA,AR7592,LTE CAT6,AUTOMOTIVE MODULE,NA _4G/4G Memory_VW w/ GF</t>
  </si>
  <si>
    <t>TJ</t>
  </si>
  <si>
    <t>TJ739100030304</t>
  </si>
  <si>
    <t>OEMPRI-7811</t>
  </si>
  <si>
    <t>Generic, VW, Actia</t>
  </si>
  <si>
    <t>1103048/1103173/1103049</t>
  </si>
  <si>
    <t>PCA,AR7594,LTE CAT6,AUTOMOTIVE MODULE,EU_4G/4G</t>
  </si>
  <si>
    <t>PW</t>
  </si>
  <si>
    <t>PW614200580401</t>
  </si>
  <si>
    <t>OEMPRI-7757</t>
  </si>
  <si>
    <t>PCA,AR7594,LTE CAT6,AUTOMOTIVE MODULE,EU_4G/4G Memory_VW w/ GF</t>
  </si>
  <si>
    <t>TG</t>
  </si>
  <si>
    <t>TG61420058040104</t>
  </si>
  <si>
    <t>PCA,AR7596,LTE CAT6,AUTOMOTIVE MODULE,China_4G/4G</t>
  </si>
  <si>
    <t>Q2</t>
  </si>
  <si>
    <t>Q2620200030401</t>
  </si>
  <si>
    <t>ok</t>
  </si>
  <si>
    <t>PCA,AR7596,LTE CAT6,AUTOMOTIVE MODULE,China_4G/4G Memory_VW w/ GF</t>
  </si>
  <si>
    <t>TL</t>
  </si>
  <si>
    <t>TL707200090210</t>
  </si>
  <si>
    <t>OEMPRI-7925</t>
  </si>
  <si>
    <t>PCA,AR7598,LTE CAT6,AUTOMOTIVE MODULE,ROW_4G/4G Memory</t>
  </si>
  <si>
    <t>Q3</t>
  </si>
  <si>
    <t>Q372630008010508</t>
  </si>
  <si>
    <t>OEMPRI-7660</t>
  </si>
  <si>
    <t>PCA,AR7598,LTE CAT6,AUTOMOTIVE MODULE,ROW_4G/4G Memory_VW w/ GF</t>
  </si>
  <si>
    <t>alpha 1.1</t>
  </si>
  <si>
    <t>TN</t>
  </si>
  <si>
    <t>TN746400050210</t>
  </si>
  <si>
    <t>OEMPRI-7725</t>
  </si>
  <si>
    <t>MJ748505550410</t>
  </si>
  <si>
    <t>MJ748401460810</t>
  </si>
  <si>
    <t>MJ748504560310</t>
  </si>
  <si>
    <t>00.02.06.00</t>
  </si>
  <si>
    <t>OEMPRI-6726</t>
  </si>
  <si>
    <t>W4759300130408</t>
  </si>
  <si>
    <t>OEMPRI-7011</t>
  </si>
  <si>
    <t>UJ712300190605</t>
  </si>
  <si>
    <t>UK718300530710</t>
  </si>
  <si>
    <t>OEMPRI-6767</t>
  </si>
  <si>
    <t>MJ546400460310</t>
  </si>
  <si>
    <t>core_bin</t>
  </si>
  <si>
    <t>MJ748508770710</t>
  </si>
  <si>
    <t>MJ642200660410</t>
  </si>
  <si>
    <t>PW709400030610</t>
  </si>
  <si>
    <t>MJ748506820610</t>
  </si>
  <si>
    <t>YP806100070101</t>
  </si>
  <si>
    <t>OEMPRI-7155</t>
  </si>
  <si>
    <t>UQ725200030210</t>
  </si>
  <si>
    <t>OEMPRI-6897</t>
  </si>
  <si>
    <t>UJ712300190705</t>
  </si>
  <si>
    <t>MJ642102630310</t>
  </si>
  <si>
    <t>OEMPRI-6458</t>
  </si>
  <si>
    <t>LY809300360505</t>
  </si>
  <si>
    <t>OEMPRI-6312</t>
  </si>
  <si>
    <t>MJ748501370510</t>
  </si>
  <si>
    <t>OEMPRI-6610</t>
  </si>
  <si>
    <t>MJ748500490810</t>
  </si>
  <si>
    <t>LY809300310105</t>
  </si>
  <si>
    <t>LY809300010205</t>
  </si>
  <si>
    <t>OEMPRI-5431</t>
  </si>
  <si>
    <t>E1234512345123</t>
  </si>
  <si>
    <t>LY809200950105</t>
  </si>
  <si>
    <t>OEMPRI-6334</t>
  </si>
  <si>
    <t>YP806100040601</t>
  </si>
  <si>
    <t>ZN812200610710</t>
  </si>
  <si>
    <t>WP12.7: SWI9X15A_07.06.03.00-Legato15.12.4.Beta</t>
  </si>
  <si>
    <t>OEMPRI-8023</t>
  </si>
  <si>
    <t>ZP813400190410</t>
  </si>
  <si>
    <t>MC7354</t>
  </si>
  <si>
    <t>FL407701030610</t>
  </si>
  <si>
    <t>OEMPRI-7137</t>
  </si>
  <si>
    <t>UT813500350210</t>
  </si>
  <si>
    <t>OEMPRI-7460</t>
  </si>
  <si>
    <t>W4731200500407</t>
  </si>
  <si>
    <t>MC7350</t>
  </si>
  <si>
    <t>TL637400200603</t>
  </si>
  <si>
    <t>UW805300850510</t>
  </si>
  <si>
    <t>W4749300130408</t>
  </si>
  <si>
    <t>OEMPRI-7728</t>
  </si>
  <si>
    <t>VA718200680810</t>
  </si>
  <si>
    <t>va718200680810</t>
  </si>
  <si>
    <t>OEMPRI-7485</t>
  </si>
  <si>
    <t>TJ739100470504</t>
  </si>
  <si>
    <t>YP742300090208</t>
  </si>
  <si>
    <t>TN746400150310</t>
  </si>
  <si>
    <t>TN752500440510</t>
  </si>
  <si>
    <t>PW709400080410</t>
  </si>
  <si>
    <t>OEMPRI-7634</t>
  </si>
  <si>
    <t>WP3.2-SWI9X40A_00.05.05.00-Legato16.01.2.9x40Alpha.rc3</t>
  </si>
  <si>
    <t>Denso,Verizon</t>
  </si>
  <si>
    <t>1) FW v2.40   2) Brew v1.91 (see 1101329 baseline)</t>
  </si>
  <si>
    <t>1) FW v2.40; 2) Brew v1.91</t>
  </si>
  <si>
    <t>DoCoMo,Ficosa,NTT</t>
  </si>
  <si>
    <t>WP13.4 (SWI9X15A_07.10.02.00-Legato16.01.1.m1)</t>
  </si>
  <si>
    <t>WP13.4: SWI9X15A_07.10.02.00-Legato16.01.2.m1</t>
  </si>
  <si>
    <t>SWI9X15A_07.10.03.00</t>
  </si>
  <si>
    <t>Alpha 4?WI9X40A_00.05.19.00</t>
  </si>
  <si>
    <t>WP7.2 Release Notes :: SWI9X40A_01.02.02.00-Legato16.04.2.9xxx.rc4</t>
  </si>
  <si>
    <t>SWI9X40A_00.05.23.00-Legato16.04.1.9xxx.rc2</t>
  </si>
  <si>
    <t>01.01.08.00</t>
  </si>
  <si>
    <t>WP7.2 SWI9X40A_01.02.02.00-Legato16.04.2.9xxx.rc4</t>
  </si>
  <si>
    <t>05.05.61.0</t>
  </si>
  <si>
    <t>SWI9X28A_00.02.17.00-Legato16.04.1.9xxx.rc7</t>
  </si>
  <si>
    <t>04.07.01</t>
  </si>
  <si>
    <t>758x</t>
  </si>
  <si>
    <t>759x</t>
  </si>
  <si>
    <t>Package PN</t>
  </si>
  <si>
    <t>alpha 4?SWI9X40A_00.05.19.00</t>
  </si>
  <si>
    <t>Variant</t>
  </si>
  <si>
    <t>Carrier PN</t>
  </si>
  <si>
    <t>MBN Solution</t>
  </si>
  <si>
    <t>MBN solution</t>
  </si>
  <si>
    <t>WP6.0-SWI9X40A_00.05.23.00-Legato16.04.1.9xxx.rc2</t>
  </si>
  <si>
    <t>Already</t>
  </si>
  <si>
    <t>9906444_ATT
9907852_VZW</t>
  </si>
  <si>
    <t>ARx550_R2_FP.00.05.12.03</t>
  </si>
  <si>
    <t>9906448_CMCC
9908031_CU</t>
  </si>
  <si>
    <t>9906161_DOCOMO</t>
  </si>
  <si>
    <t>9906552_CMCC
9907718_CU</t>
  </si>
  <si>
    <t>9906167_GENERIC</t>
  </si>
  <si>
    <t>00.02.04.00</t>
  </si>
  <si>
    <t>Legato_15.08.1-and-FW_07.03.05.00</t>
  </si>
  <si>
    <t>ATTLab</t>
  </si>
  <si>
    <t>9906089_ATTLab</t>
  </si>
  <si>
    <t>Not Yet</t>
  </si>
  <si>
    <t>5102010_VZWLab</t>
  </si>
  <si>
    <t>9908031_CU</t>
  </si>
  <si>
    <t>5.5.58.00</t>
  </si>
  <si>
    <t>9906833_GCFLab-DoCoMo</t>
  </si>
  <si>
    <t>9908032_TMO</t>
  </si>
  <si>
    <t>9906833_GCFLab-Vodafone</t>
  </si>
  <si>
    <t>9906833_GCFLab-T-Mobile</t>
  </si>
  <si>
    <t>To be provided</t>
  </si>
  <si>
    <t>SWI9X28A_00.02.11.00- Legato16.04.1.9xxx.rc3</t>
  </si>
  <si>
    <t>TBD</t>
  </si>
  <si>
    <t>ARx550_R2_FP.00.05.18.03</t>
  </si>
  <si>
    <t>05.05.66.00</t>
  </si>
  <si>
    <t>Emu</t>
  </si>
  <si>
    <t>Customer program Milestone</t>
  </si>
  <si>
    <t>VW/LGE OCU3-L Ficosa Gen2-Kai-Evo MM ATB4G Lanyou</t>
  </si>
  <si>
    <t>Ficosa Gen2-Kai-Longlife MM Banma Panasonic VP4R Others</t>
  </si>
  <si>
    <t>MM TBM_Next</t>
  </si>
  <si>
    <t>VW/LGE OCU3-H Fuba</t>
  </si>
  <si>
    <t>VW/LGE OCU4 others</t>
  </si>
  <si>
    <t>AT&amp;T,China,Rogers,Sprint,Telecom,Verizon</t>
  </si>
  <si>
    <t>Alpha-1</t>
  </si>
  <si>
    <t>2_9</t>
  </si>
  <si>
    <t>4/8/2016 (WP1.0)</t>
  </si>
  <si>
    <t>8/31/2017 (BP1.0B1)</t>
  </si>
  <si>
    <t>3/14/2018 (BP1.xB1)</t>
  </si>
  <si>
    <t>1/8/2016 (WP1.0)</t>
  </si>
  <si>
    <t>12/30/2017 (BP1.0)</t>
  </si>
  <si>
    <t>Alpha-1.1</t>
  </si>
  <si>
    <t>6/3/2016 (WP2.2)</t>
  </si>
  <si>
    <t>2/2/2016 (WP2.1)</t>
  </si>
  <si>
    <t>Alpha-2</t>
  </si>
  <si>
    <t>8/31/2016 (WP3.3)</t>
  </si>
  <si>
    <t>CMCC,China,Unicom</t>
  </si>
  <si>
    <t>10/31/2017 (BP2.0B1)</t>
  </si>
  <si>
    <t>07.03.04.00</t>
  </si>
  <si>
    <t>4/30/2018 (BP2.xB1)</t>
  </si>
  <si>
    <t>3/16/2016 (WP3.2)</t>
  </si>
  <si>
    <t>3/15/2018 (BP2.xB1)</t>
  </si>
  <si>
    <t>Alpha-3</t>
  </si>
  <si>
    <t>10/31/2016 (WP5.2)</t>
  </si>
  <si>
    <t>1/26/2018 (BP3.xB1)</t>
  </si>
  <si>
    <t>5/11/2016 (WP4.4)</t>
  </si>
  <si>
    <t>Alpha-4</t>
  </si>
  <si>
    <t>12/16/2016 (WP6.5)</t>
  </si>
  <si>
    <t>6/30/2016 (WP5.4)</t>
  </si>
  <si>
    <t>Alpha-5</t>
  </si>
  <si>
    <t>3/15/2017 (WP7.5/7.5B1)</t>
  </si>
  <si>
    <t>8/31/2016 (WP6.5)</t>
  </si>
  <si>
    <t>Alpha-5.1</t>
  </si>
  <si>
    <t>Harman,Sprint</t>
  </si>
  <si>
    <t>9/30/2016 (WP7.2)</t>
  </si>
  <si>
    <t>ARX550_FP.01.08.27.79</t>
  </si>
  <si>
    <t>Alpha-6</t>
  </si>
  <si>
    <t>5/25/2017 (WP8.3/8.5B1)</t>
  </si>
  <si>
    <t>11/15/2016 (WP8.3)</t>
  </si>
  <si>
    <t>Alpha-7</t>
  </si>
  <si>
    <t>1/31/2017 (WP9.5)</t>
  </si>
  <si>
    <t>Alpha-8</t>
  </si>
  <si>
    <t>3/31/2017 (WP10.4)</t>
  </si>
  <si>
    <t>Alpha-9</t>
  </si>
  <si>
    <t>5/31/2017 (WP11.3)</t>
  </si>
  <si>
    <t>Alpha 10</t>
  </si>
  <si>
    <t>7/31/2017 (WP12.3B1)</t>
  </si>
  <si>
    <t>Beta</t>
  </si>
  <si>
    <t>7/14/2017 (WP9.4B1)</t>
  </si>
  <si>
    <t>3/30/2018 (BP4.xB1AR7584 For FICOSA:LeadSKU 1103378_9906998_AR7584(4G/2G))</t>
  </si>
  <si>
    <t>Panasonic,Sprint</t>
  </si>
  <si>
    <t>FW version:SWI9x15A_06.03.39.02; Legato: legato-15.02.0.Beta</t>
  </si>
  <si>
    <t>6/30/2018 (BP3.xB1)</t>
  </si>
  <si>
    <t>9/29/2017 (WP13.4B1)</t>
  </si>
  <si>
    <t>4/30/2018 (BP3.xB1)</t>
  </si>
  <si>
    <t>Beta-2</t>
  </si>
  <si>
    <t>9/15/2017 (WP10.2B1/10.3B2)</t>
  </si>
  <si>
    <t>RC-1</t>
  </si>
  <si>
    <t>12/1/2017 (WP11.12B1/11.12B4)</t>
  </si>
  <si>
    <t>6/6/2018 (BP5.xB2AR7584 For Ficosa:LeadSKU 1103378_9906998_AR7584(4G/2G))</t>
  </si>
  <si>
    <t>9/28/2018 (BP4.xB2)</t>
  </si>
  <si>
    <t>12/15/2017 (WP14.5B1)</t>
  </si>
  <si>
    <t>6/30/2018 (BP4.xB2)</t>
  </si>
  <si>
    <t>RC-2</t>
  </si>
  <si>
    <t>06.03.51.00</t>
  </si>
  <si>
    <t>3.5.29.3</t>
  </si>
  <si>
    <t>5/25/2018 (WP12.xB4 for VW AR7584/6),
 COUGAR_RC2_LeadSKU_1103223_9906693_AR7586(4G/4G) COUGAR_RC2_LeadSku_1103151_9906435_AR7584(4G/4G)
 in planning (for Lanyou AR7586) in planning (for MM/ATB4G AR7586) in planning (for Ficosa/Evo AR7586)</t>
  </si>
  <si>
    <t>8/24/2018 (BP6.xB2 for Ficosa/LL) 9/24/2018 (BP6.xB3 for other customers)</t>
  </si>
  <si>
    <t>5/4/2018 (WP15.xB2 for VW AR7594/6</t>
  </si>
  <si>
    <t>8/31/2018 (BP5.xB2)</t>
  </si>
  <si>
    <t>SWI9X15A/C/W_06.03.51.00+legato-15.04.0.Beta.tar</t>
  </si>
  <si>
    <t>RC-3</t>
  </si>
  <si>
    <t>5/31/2018 TBC (BP13.xB4 for VW AR7582)</t>
  </si>
  <si>
    <t>7/6/2018 TBC (BP16.xB2 for VW AR7592)</t>
  </si>
  <si>
    <t>10/31/2018 (BP6.xB2)</t>
  </si>
  <si>
    <t>TA</t>
  </si>
  <si>
    <t>ATT (4/2/2018) VzW (5/10/2018) TMO (4/30/2018) ATT/VzW/TMO MR (9/15/2018) Vodafone (5/21/2018) NTT-DCM (7/31/2018) Telstra (10/31/2018) KT (12/31/2018)</t>
  </si>
  <si>
    <t>ATT/VzW/TMO TA (12/14/2018) NTT-DCM (4/30/2019, TBC) KT (6/28/2019, TBC)</t>
  </si>
  <si>
    <t>ATT/VzW/TMO MR (11/30/2018) NTT-DCM (4//30/2019)</t>
  </si>
  <si>
    <t>ATT (2/9/2018) VzW (6/15/2018) TMO (5/11/2018) ATT/VzW/TMO MR (9/30/2018) Vodafone (5/7/2018) NTT-DCM (7/31/2018) Telstra (10/31/2018) KT (12/31/2018)</t>
  </si>
  <si>
    <t>ATT/VzW/TMO MR (11/30/2019) Vodafone (3/15/2019) NTT-DCM (8/31/2019) Telstra (9/30/2019) KT (12/31/2019)</t>
  </si>
  <si>
    <t>AT&amp;T,Sprint,Verizon</t>
  </si>
  <si>
    <t>04.01.03</t>
  </si>
  <si>
    <t>07.04.08.00 (Legato 15.10.1.Beta)</t>
  </si>
  <si>
    <t>3_1_6</t>
  </si>
  <si>
    <t>3_3_2</t>
  </si>
  <si>
    <t>3_1_5</t>
  </si>
  <si>
    <t>2_10</t>
  </si>
  <si>
    <t>SWI9X15A_06.03.54.00-Legato15.05.0.Beta</t>
  </si>
  <si>
    <t>T3.5.6.7</t>
  </si>
  <si>
    <t>Rogers</t>
  </si>
  <si>
    <t>Telus</t>
  </si>
  <si>
    <t>AT&amp;T,Aeris</t>
  </si>
  <si>
    <t>WP 05.03.01</t>
  </si>
  <si>
    <t>WP 05.04.01</t>
  </si>
  <si>
    <t>legato-15.02.0.Beta &amp; FW 06.03.39.02</t>
  </si>
  <si>
    <t>ARx550_R2_FP.00.05.17.00</t>
  </si>
  <si>
    <t>China,Cisco,Telecom,Unicom</t>
  </si>
  <si>
    <t>03.07.01</t>
  </si>
  <si>
    <t>Itron,Verizon</t>
  </si>
  <si>
    <t>PRI whole process</t>
  </si>
  <si>
    <t>00.02.01.00</t>
  </si>
  <si>
    <t>update time:</t>
  </si>
  <si>
    <t>FW7.0 B7.53.1.A3.201507201235.SL5018T_4</t>
  </si>
  <si>
    <t>color description:</t>
  </si>
  <si>
    <t>already done</t>
  </si>
  <si>
    <t>half done</t>
  </si>
  <si>
    <t>Airlink</t>
  </si>
  <si>
    <t>03.05.29.05</t>
  </si>
  <si>
    <t>cancel</t>
  </si>
  <si>
    <t>not start</t>
  </si>
  <si>
    <t>SWI9X15A_07.03.04.00-Legato15.08.0.Beta</t>
  </si>
  <si>
    <t>nothing</t>
  </si>
  <si>
    <t>00.01.15.01</t>
  </si>
  <si>
    <t>P.1.0.0.23</t>
  </si>
  <si>
    <t>step</t>
  </si>
  <si>
    <t>Sub step</t>
  </si>
  <si>
    <t>Automation or Improvement for PRI</t>
  </si>
  <si>
    <t>03.01.06</t>
  </si>
  <si>
    <t>start</t>
  </si>
  <si>
    <t>SWI9X15A_06.03.39.02</t>
  </si>
  <si>
    <t>Create PRI ticket</t>
  </si>
  <si>
    <t>WP 05.02.01</t>
  </si>
  <si>
    <t>Provide PRI INFO</t>
  </si>
  <si>
    <t>AutoUpdate MFT info</t>
  </si>
  <si>
    <t>Plan for PRI</t>
  </si>
  <si>
    <t>doc</t>
  </si>
  <si>
    <t>Plan in Excel</t>
  </si>
  <si>
    <t>Plan in Google Sheet</t>
  </si>
  <si>
    <t>One Source for Team</t>
  </si>
  <si>
    <t>Clarify PRI INFO</t>
  </si>
  <si>
    <t>OEMPRI Auto Check</t>
  </si>
  <si>
    <t>build</t>
  </si>
  <si>
    <t>Collect PRI Request</t>
  </si>
  <si>
    <t>Collect Qti config Tool</t>
  </si>
  <si>
    <t>Mail for Check Request</t>
  </si>
  <si>
    <t>Auto set Yes for SKU</t>
  </si>
  <si>
    <t>Check PRI Request</t>
  </si>
  <si>
    <t>f2f meeting</t>
  </si>
  <si>
    <t>changed confirm</t>
  </si>
  <si>
    <t>Modify PRI to Base</t>
  </si>
  <si>
    <t>Merge Change tool</t>
  </si>
  <si>
    <t>MBN format</t>
  </si>
  <si>
    <t>None MBN format</t>
  </si>
  <si>
    <t>Checkin PRI Base</t>
  </si>
  <si>
    <t>Check in Tool</t>
  </si>
  <si>
    <t>Build SPKG</t>
  </si>
  <si>
    <t>04.01.04</t>
  </si>
  <si>
    <t>Normal Spkg In jenkins</t>
  </si>
  <si>
    <t>FoTo Spkg in jenkins</t>
  </si>
  <si>
    <t>MBN Spkg in local</t>
  </si>
  <si>
    <t>MBN Spkg in jenkins</t>
  </si>
  <si>
    <t>PRI Base for MBN</t>
  </si>
  <si>
    <t>Detach tool from PRI</t>
  </si>
  <si>
    <t>OneClick build</t>
  </si>
  <si>
    <t>Source Control</t>
  </si>
  <si>
    <t>gen NVUP from mbn</t>
  </si>
  <si>
    <t>OneClick for MBN</t>
  </si>
  <si>
    <t>ARx550_R2_FP.00.05.18.02</t>
  </si>
  <si>
    <t>Detach cfg from spkg</t>
  </si>
  <si>
    <t>Jenkins by Metafile</t>
  </si>
  <si>
    <t>Prepare ENV for test</t>
  </si>
  <si>
    <t>model full view</t>
  </si>
  <si>
    <t>power switch for ENV</t>
  </si>
  <si>
    <t>model Erase solution</t>
  </si>
  <si>
    <t>model Search solution</t>
  </si>
  <si>
    <t>schedule in jenkins</t>
  </si>
  <si>
    <t>job file for all model</t>
  </si>
  <si>
    <t>model info to jenkins</t>
  </si>
  <si>
    <t>Test SPKG(FACT)</t>
  </si>
  <si>
    <t>restore Calibration</t>
  </si>
  <si>
    <t>OneClick test</t>
  </si>
  <si>
    <t>disable model(before)</t>
  </si>
  <si>
    <t>enable model(after)</t>
  </si>
  <si>
    <t>MBN Switch Test</t>
  </si>
  <si>
    <t>dump MBN efs file</t>
  </si>
  <si>
    <t>OneClick fastboot</t>
  </si>
  <si>
    <t>Review SPKG</t>
  </si>
  <si>
    <t>setting review</t>
  </si>
  <si>
    <t>integrity review</t>
  </si>
  <si>
    <t>Signed SPKG</t>
  </si>
  <si>
    <t>signature server</t>
  </si>
  <si>
    <t>remote signed</t>
  </si>
  <si>
    <t>Release PRI</t>
  </si>
  <si>
    <t>Collect Change Tool</t>
  </si>
  <si>
    <t>Send released mail</t>
  </si>
  <si>
    <t>attach mail to OEMPRI</t>
  </si>
  <si>
    <t>SWI9X15A_07.04.08.00-Legato15.10.1.Beta</t>
  </si>
  <si>
    <t>Test SPKG(Verifycation)</t>
  </si>
  <si>
    <t>Prepare Sample(MFT)</t>
  </si>
  <si>
    <t>Test SPKG(loop FACT)</t>
  </si>
  <si>
    <t>Test SPKG(Validation)</t>
  </si>
  <si>
    <t>deliver</t>
  </si>
  <si>
    <t>Deliver to Factory</t>
  </si>
  <si>
    <t>compare with skutracker</t>
  </si>
  <si>
    <t>auto update skutracker</t>
  </si>
  <si>
    <t>fetch info from agile</t>
  </si>
  <si>
    <t>auto zip spkg</t>
  </si>
  <si>
    <t>upload spkg to agile</t>
  </si>
  <si>
    <t xml:space="preserve">maintain PartNumber </t>
  </si>
  <si>
    <t>SVT and Approve Agile</t>
  </si>
  <si>
    <t>auto generate svt report</t>
  </si>
  <si>
    <t>auto generate diff report</t>
  </si>
  <si>
    <t>archive to test reulst</t>
  </si>
  <si>
    <t>Confirm Factory Log</t>
  </si>
  <si>
    <t>others</t>
  </si>
  <si>
    <t>ARx550_R2_FP.00.05.12.01</t>
  </si>
  <si>
    <t>fwtools in Google sheet</t>
  </si>
  <si>
    <t>factory pri in google sheet</t>
  </si>
  <si>
    <t>task in google sheet</t>
  </si>
  <si>
    <t>Flow in google sheet</t>
  </si>
  <si>
    <t>MBN base in google sheet</t>
  </si>
  <si>
    <t>LINKS in google sheet</t>
  </si>
  <si>
    <t>AT&amp;T,Bell,DE,Orange,Rogers,Sprint,T-Mobile,Telus,Verizon,Vodafone</t>
  </si>
  <si>
    <t>WP 05.01.05</t>
  </si>
  <si>
    <t>2.07.3</t>
  </si>
  <si>
    <t>SWI9X15A_07.03.05.00-Legato15.08.1.Beta</t>
  </si>
  <si>
    <t>Airlink,Telstra</t>
  </si>
  <si>
    <t>Bell</t>
  </si>
  <si>
    <t>03.01.05</t>
  </si>
  <si>
    <t>SIERRA_OAT_FW_R753_24_FULL</t>
  </si>
  <si>
    <t>R7.52.2.A5/Ext AT</t>
  </si>
  <si>
    <t>NCXX</t>
  </si>
  <si>
    <t>03.05.29.03</t>
  </si>
  <si>
    <t>wp2(FW7.0 B7.53.1.A3.)</t>
  </si>
  <si>
    <t>wp6 R7.53.1.A3</t>
  </si>
  <si>
    <t>R7.53.2.A3/EXT AT</t>
  </si>
  <si>
    <t>R7.52.2.A5/EXT AT</t>
  </si>
  <si>
    <t>4.1.2</t>
  </si>
  <si>
    <t>AT&amp;T,Aeris,Verizon</t>
  </si>
  <si>
    <t>4.6.2</t>
  </si>
  <si>
    <t>SWI9X15A_06.03.54.01-Legato15.05.0.Beta</t>
  </si>
  <si>
    <t>05.16.00</t>
  </si>
  <si>
    <t>AT&amp;T,Tesla</t>
  </si>
  <si>
    <t>Tesla</t>
  </si>
  <si>
    <t>SIERRA_OAT_FW_R753A3_FULL_sl3010t_ExtendedAT_prod</t>
  </si>
  <si>
    <t>SWI9X15A_07.03.01.00-Legato15.08</t>
  </si>
  <si>
    <t>07.03.05.00</t>
  </si>
  <si>
    <t>9903756-01.13.11_3.2_1</t>
  </si>
  <si>
    <t>Brew v13.06</t>
  </si>
  <si>
    <t>Bell,Telus</t>
  </si>
  <si>
    <t>ARx550_R2_FP.00.05.18.00</t>
  </si>
  <si>
    <t>AT&amp;T,Airlink</t>
  </si>
  <si>
    <t>wp3(FW7.0 B7.53.1.A3.)</t>
  </si>
  <si>
    <t>Check List for Chck-in Request</t>
  </si>
  <si>
    <t>Check List for Update Skutracker</t>
  </si>
  <si>
    <t>result</t>
  </si>
  <si>
    <t>time</t>
  </si>
  <si>
    <t>collect Check-in Request in jira</t>
  </si>
  <si>
    <t>create directory truct with eco/agile/report</t>
  </si>
  <si>
    <t>update SKU List to the latest</t>
  </si>
  <si>
    <t>copy spkg to eco folder and zip to a file</t>
  </si>
  <si>
    <t>Edit a draft of excel for Check-in or not</t>
  </si>
  <si>
    <t>upload the zip file to agile</t>
  </si>
  <si>
    <t>send check-in request mail</t>
  </si>
  <si>
    <t>update driver and tools version to skutracker</t>
  </si>
  <si>
    <t>correct check-in issue by mail for f2f meeting</t>
  </si>
  <si>
    <t>mark all file added</t>
  </si>
  <si>
    <t>send confirm mail for check-in issue list</t>
  </si>
  <si>
    <t>send mail to sku team(HK)</t>
  </si>
  <si>
    <t>create a outlook task and mark completed</t>
  </si>
  <si>
    <t>Check List for Merge Check-in issue</t>
  </si>
  <si>
    <t>Check List for spkg svt</t>
  </si>
  <si>
    <t>download zip file from agile</t>
  </si>
  <si>
    <t>unzip file to agile folder if need</t>
  </si>
  <si>
    <t>compare the eco and agile folder with winmerge</t>
  </si>
  <si>
    <t>generate diff report(html)</t>
  </si>
  <si>
    <t>generate svt report(excel)</t>
  </si>
  <si>
    <t>save report folder to test result folder</t>
  </si>
  <si>
    <t>mark agile and approved</t>
  </si>
  <si>
    <t>05.05.26.02</t>
  </si>
  <si>
    <t>Check List for Released OEMPRI</t>
  </si>
  <si>
    <t>Check List for fact log confirm</t>
  </si>
  <si>
    <t>commit check-in issue One by One</t>
  </si>
  <si>
    <t>download fact log from agile</t>
  </si>
  <si>
    <t>create new tag for new released SKU</t>
  </si>
  <si>
    <t>search error as key work in the log</t>
  </si>
  <si>
    <t>copy spkg from internal folder to released folder</t>
  </si>
  <si>
    <t>make sure all the error key are nornam</t>
  </si>
  <si>
    <t>update OEMPRI ticket with review info</t>
  </si>
  <si>
    <t>make sure the retcode is 0</t>
  </si>
  <si>
    <t>send released notes mail</t>
  </si>
  <si>
    <t>makre sure all .xxout files get the same format</t>
  </si>
  <si>
    <t>add the released notes mail as attachment to OEMPRI</t>
  </si>
  <si>
    <t>assign OEMPRI ticket to verification team</t>
  </si>
  <si>
    <t>P1.0.0.28</t>
  </si>
  <si>
    <t>06.03.54.00</t>
  </si>
  <si>
    <t>00.01.15.00</t>
  </si>
  <si>
    <t>ARx550_R2_FP.00.05.12.05</t>
  </si>
  <si>
    <t>PM</t>
  </si>
  <si>
    <t>FW Lead</t>
  </si>
  <si>
    <t>SKU team</t>
  </si>
  <si>
    <t>MOL product except AR855x, SL808x 
(MC73xx,AR755x, SL,HL and etc.)</t>
  </si>
  <si>
    <t>ID</t>
  </si>
  <si>
    <r>
      <t xml:space="preserve">FW lead AMSS: </t>
    </r>
    <r>
      <rPr>
        <color rgb="FFFF0000"/>
      </rPr>
      <t>Rain</t>
    </r>
    <r>
      <t xml:space="preserve">
 BB Manager: </t>
    </r>
    <r>
      <rPr>
        <color rgb="FFFF0000"/>
      </rPr>
      <t>Dony Huang</t>
    </r>
    <r>
      <t xml:space="preserve">
 RF Manager: </t>
    </r>
    <r>
      <rPr>
        <color rgb="FFFF0000"/>
      </rPr>
      <t>Cory Chen</t>
    </r>
    <r>
      <t xml:space="preserve">
 MFT Coordinator: </t>
    </r>
    <r>
      <rPr>
        <color rgb="FFFF0000"/>
      </rPr>
      <t>James Wang</t>
    </r>
    <r>
      <t xml:space="preserve">
 INT Verification owner : N/A
 Validation manager: </t>
    </r>
    <r>
      <rPr>
        <color rgb="FFFF0000"/>
      </rPr>
      <t>Ethan Guan</t>
    </r>
  </si>
  <si>
    <t>HK:Terry/Dilys</t>
  </si>
  <si>
    <t>improvement</t>
  </si>
  <si>
    <t>category</t>
  </si>
  <si>
    <t>important</t>
  </si>
  <si>
    <t>plan time</t>
  </si>
  <si>
    <t>owner</t>
  </si>
  <si>
    <r>
      <t xml:space="preserve">FW lead AMSS: </t>
    </r>
    <r>
      <rPr>
        <color rgb="FFFF0000"/>
      </rPr>
      <t>Rain</t>
    </r>
    <r>
      <t xml:space="preserve">
 BB Manager: </t>
    </r>
    <r>
      <rPr>
        <color rgb="FFFF0000"/>
      </rPr>
      <t>Dony Huang</t>
    </r>
    <r>
      <t xml:space="preserve">
 RF Manager: </t>
    </r>
    <r>
      <rPr>
        <color rgb="FFFF0000"/>
      </rPr>
      <t>Cory Chen</t>
    </r>
    <r>
      <t xml:space="preserve">
 MFT Coordinator:</t>
    </r>
    <r>
      <rPr>
        <color rgb="FFFF0000"/>
      </rPr>
      <t xml:space="preserve"> James Wang</t>
    </r>
    <r>
      <t xml:space="preserve">
 INT Verification owner : N/A
 Validation manager: </t>
    </r>
    <r>
      <rPr>
        <color rgb="FFFF0000"/>
      </rPr>
      <t>Ethan Guan</t>
    </r>
  </si>
  <si>
    <t>For AR855x, 
package are released to SKU team by PM.
 RMD:Rajesh Prashar</t>
  </si>
  <si>
    <t>SL808x/SL808xRD/SL808xBTA</t>
  </si>
  <si>
    <t>prepare standard VM for building spkg(not any more local build).</t>
  </si>
  <si>
    <r>
      <rPr>
        <color rgb="FFFF0000"/>
      </rPr>
      <t>Eric Lok</t>
    </r>
    <r>
      <t xml:space="preserve">
Usually request come from PLM 
Christophe Champigny directly.
 HW PM:</t>
    </r>
    <r>
      <rPr>
        <color rgb="FFFF0000"/>
      </rPr>
      <t xml:space="preserve"> Frederic De Graeve</t>
    </r>
  </si>
  <si>
    <t>H</t>
  </si>
  <si>
    <r>
      <t>FW lead AMSS:</t>
    </r>
    <r>
      <rPr>
        <color rgb="FFFF0000"/>
      </rPr>
      <t xml:space="preserve"> Rain</t>
    </r>
    <r>
      <t xml:space="preserve">, OAT: HK </t>
    </r>
    <r>
      <rPr>
        <color rgb="FFFF0000"/>
      </rPr>
      <t>Lawrence Wong</t>
    </r>
    <r>
      <t xml:space="preserve">
 BB Manager: </t>
    </r>
    <r>
      <rPr>
        <color rgb="FFFF0000"/>
      </rPr>
      <t>Dony Huang</t>
    </r>
    <r>
      <t xml:space="preserve">
 RF Manager: </t>
    </r>
    <r>
      <rPr>
        <color rgb="FFFF0000"/>
      </rPr>
      <t>Cory Chen</t>
    </r>
    <r>
      <t xml:space="preserve">
 MFT Coordinator: </t>
    </r>
    <r>
      <rPr>
        <color rgb="FFFF0000"/>
      </rPr>
      <t>James Wang</t>
    </r>
    <r>
      <t xml:space="preserve">
 INT Verification owner : N/A
 Validation manager: </t>
    </r>
    <r>
      <rPr>
        <color rgb="FFFF0000"/>
      </rPr>
      <t>Ethan Guan</t>
    </r>
  </si>
  <si>
    <t>HL3450</t>
  </si>
  <si>
    <t>prepare standard VM for Testing spkg(need more device and VM) for AR758x/AR759x.</t>
  </si>
  <si>
    <r>
      <t xml:space="preserve">FW lead is HK </t>
    </r>
    <r>
      <rPr>
        <color rgb="FFFF0000"/>
      </rPr>
      <t>Lawrence Wong</t>
    </r>
    <r>
      <t xml:space="preserve">
 BB/RF/Verification/Validation: N/A
 MFT Coordinator: </t>
    </r>
    <r>
      <rPr>
        <color rgb="FFFF0000"/>
      </rPr>
      <t>James Wang</t>
    </r>
  </si>
  <si>
    <t>develop new pri and changed management platform</t>
  </si>
  <si>
    <t>tool/platform</t>
  </si>
  <si>
    <t>develop Qti request manage tool or platform to collect, merge and apply to sku.</t>
  </si>
  <si>
    <r>
      <t xml:space="preserve">Product PM: </t>
    </r>
    <r>
      <rPr>
        <color rgb="FFFF0000"/>
      </rPr>
      <t>Harris Pang</t>
    </r>
    <r>
      <t xml:space="preserve">
 HW PM: </t>
    </r>
    <r>
      <rPr>
        <color rgb="FFFF0000"/>
      </rPr>
      <t>Golden Shen</t>
    </r>
    <r>
      <t xml:space="preserve">
 SPM: </t>
    </r>
    <r>
      <rPr>
        <color rgb="FFFF0000"/>
      </rPr>
      <t>Davy Zhang</t>
    </r>
  </si>
  <si>
    <t>prepare checklist and standard report in every spkg released folder.</t>
  </si>
  <si>
    <t>prepare signature server.</t>
  </si>
  <si>
    <r>
      <t xml:space="preserve">Software PM: </t>
    </r>
    <r>
      <rPr>
        <color rgb="FFFF0000"/>
      </rPr>
      <t>Davy</t>
    </r>
    <r>
      <t xml:space="preserve">
 Firmware Lead:</t>
    </r>
    <r>
      <rPr>
        <color rgb="FFFF0000"/>
      </rPr>
      <t xml:space="preserve"> Xin Wang</t>
    </r>
    <r>
      <t xml:space="preserve">
 BB Manager: </t>
    </r>
    <r>
      <rPr>
        <color rgb="FFFF0000"/>
      </rPr>
      <t>Dony Huang</t>
    </r>
    <r>
      <t xml:space="preserve">
 RF Manager: </t>
    </r>
    <r>
      <rPr>
        <color rgb="FFFF0000"/>
      </rPr>
      <t>Cory Chen</t>
    </r>
    <r>
      <t xml:space="preserve">
 MFT Coordinator: </t>
    </r>
    <r>
      <rPr>
        <color rgb="FFFF0000"/>
      </rPr>
      <t>James Wang</t>
    </r>
    <r>
      <t xml:space="preserve">
 INT Verification owner :</t>
    </r>
    <r>
      <rPr>
        <color rgb="FFFF0000"/>
      </rPr>
      <t xml:space="preserve"> Lolly Cao</t>
    </r>
    <r>
      <t xml:space="preserve">
 Validation PVE: </t>
    </r>
    <r>
      <rPr>
        <color rgb="FFFF0000"/>
      </rPr>
      <t>Samuel sun</t>
    </r>
  </si>
  <si>
    <t>develop remote signed tool/script.</t>
  </si>
  <si>
    <t>discuss and make new process for signed skg.</t>
  </si>
  <si>
    <t>process</t>
  </si>
  <si>
    <t>prepare standard VM for Testing spkg(need more device and VM) for AR755x.</t>
  </si>
  <si>
    <t>gerry</t>
  </si>
  <si>
    <t>hand over checklist and plan for AR8652 .</t>
  </si>
  <si>
    <r>
      <t xml:space="preserve">Product PM: </t>
    </r>
    <r>
      <rPr>
        <color rgb="FFFF0000"/>
      </rPr>
      <t>Tiejun Fu</t>
    </r>
    <r>
      <t xml:space="preserve">
 HW PM :</t>
    </r>
    <r>
      <rPr>
        <color rgb="FFFF0000"/>
      </rPr>
      <t xml:space="preserve"> Ryan Lei</t>
    </r>
    <r>
      <t xml:space="preserve">
 SPM: </t>
    </r>
    <r>
      <rPr>
        <color rgb="FFFF0000"/>
      </rPr>
      <t>Cassie Sheng</t>
    </r>
  </si>
  <si>
    <t>develop new VM or Jenkins project for AR8652</t>
  </si>
  <si>
    <t>mary</t>
  </si>
  <si>
    <t>prepare standard VM for Testing spkg(need more device and VM) for AR8652.</t>
  </si>
  <si>
    <t>new Jenkins project for MOL project.</t>
  </si>
  <si>
    <t>L</t>
  </si>
  <si>
    <r>
      <t>Software PM:</t>
    </r>
    <r>
      <rPr>
        <color rgb="FFFF0000"/>
      </rPr>
      <t xml:space="preserve"> Cassie</t>
    </r>
    <r>
      <t xml:space="preserve">
 Firmware Lead: </t>
    </r>
    <r>
      <rPr>
        <color rgb="FFFF0000"/>
      </rPr>
      <t>Vincent Liu</t>
    </r>
    <r>
      <t xml:space="preserve">
 BB Manager:</t>
    </r>
    <r>
      <rPr>
        <color rgb="FFFF0000"/>
      </rPr>
      <t xml:space="preserve"> Dony Huang</t>
    </r>
    <r>
      <t xml:space="preserve">
 RF Manager :</t>
    </r>
    <r>
      <rPr>
        <color rgb="FFFF0000"/>
      </rPr>
      <t xml:space="preserve"> Cory Chen</t>
    </r>
    <r>
      <t xml:space="preserve">
 MFT Coordinator: </t>
    </r>
    <r>
      <rPr>
        <color rgb="FFFF0000"/>
      </rPr>
      <t>James Wang</t>
    </r>
    <r>
      <t xml:space="preserve">
 INT Verification owner : </t>
    </r>
    <r>
      <rPr>
        <color rgb="FFFF0000"/>
      </rPr>
      <t>Ben Zheng</t>
    </r>
    <r>
      <t xml:space="preserve">
 Validation PVE: </t>
    </r>
    <r>
      <rPr>
        <color rgb="FFFF0000"/>
      </rPr>
      <t>Roger Wang</t>
    </r>
  </si>
  <si>
    <t>prepare standard VM for Testing spkg(need more device and VM) for MOL project.</t>
  </si>
  <si>
    <t>develop new delta project to support signed spkg.</t>
  </si>
  <si>
    <t>delta</t>
  </si>
  <si>
    <t>develop new delta project to support spkg file as input.</t>
  </si>
  <si>
    <t>Hand over check list and plan for signed tool.</t>
  </si>
  <si>
    <t>Discuss to clear all the left issue.</t>
  </si>
  <si>
    <t>svn server to save the signed tool.</t>
  </si>
  <si>
    <t>develop new sku management platform</t>
  </si>
  <si>
    <t>develop new device management platform</t>
  </si>
  <si>
    <t>develop new delta project to support 9x15</t>
  </si>
  <si>
    <t>Setup KPI dashboard for SZ OEMPRI</t>
  </si>
  <si>
    <t>normal nvup and audio nvup concat to spkg</t>
  </si>
  <si>
    <t>dm-logger: send txt request(export from qxdm log) to model</t>
  </si>
  <si>
    <t>dm-logger: dmc filter to sqf filter</t>
  </si>
  <si>
    <t>dm-logger: split dm log to dlf log</t>
  </si>
  <si>
    <t>dm-logger: send sqf request sync</t>
  </si>
  <si>
    <t>dm-logger: send txt request sync</t>
  </si>
  <si>
    <t>swilogutil: parse WCDMA and GNSS log error</t>
  </si>
  <si>
    <t>swilogutil: new log id should be support</t>
  </si>
  <si>
    <t>Table 1.       Images description for MDM9x15</t>
  </si>
  <si>
    <t>Short Image Name</t>
  </si>
  <si>
    <t>Image Name</t>
  </si>
  <si>
    <t>Description</t>
  </si>
  <si>
    <t>Comment</t>
  </si>
  <si>
    <t>PBL</t>
  </si>
  <si>
    <t>Primary Boot Loader</t>
  </si>
  <si>
    <t>This component is in the ROM of the chipset and cannot be updated. It is the first piece of code which is executed.</t>
  </si>
  <si>
    <t>e-hostdl</t>
  </si>
  <si>
    <t>Emergency Downloader</t>
  </si>
  <si>
    <t>Emergency downloader cis loaded from USB port when there are no valid images in the flash.</t>
  </si>
  <si>
    <t>SBL1</t>
  </si>
  <si>
    <t>Secondary Bootloader 1</t>
  </si>
  <si>
    <t>This bootloader is present in the first sector of the flash and is the first image loaded and executed by the PBL.</t>
  </si>
  <si>
    <t>BOOT</t>
  </si>
  <si>
    <t>SBL2</t>
  </si>
  <si>
    <t>Secondary Bootloader 2</t>
  </si>
  <si>
    <t>This is the second-stage bootloader, which can load the other images and update them.</t>
  </si>
  <si>
    <t>QRPM</t>
  </si>
  <si>
    <t>Resource Power Management</t>
  </si>
  <si>
    <t>QPAR</t>
  </si>
  <si>
    <t>Partition Table</t>
  </si>
  <si>
    <t>The partition table contains new mapping of the flash and is interpreted by SBL1 at the next module reset.</t>
  </si>
  <si>
    <t>DSP1</t>
  </si>
  <si>
    <t>Modem Firmware</t>
  </si>
  <si>
    <t>MODM</t>
  </si>
  <si>
    <t>DSP2</t>
  </si>
  <si>
    <t>Modem software</t>
  </si>
  <si>
    <t>DSP3</t>
  </si>
  <si>
    <t>Audio Firmware</t>
  </si>
  <si>
    <t>FILE</t>
  </si>
  <si>
    <t>Configuration files (PRI, NVUP,…)</t>
  </si>
  <si>
    <t>The purpose of this image is to update some parameters into the EFS.</t>
  </si>
  <si>
    <t>APBL</t>
  </si>
  <si>
    <t>Little kernel</t>
  </si>
  <si>
    <t>Linux Bootloader</t>
  </si>
  <si>
    <t>APPL</t>
  </si>
  <si>
    <t>APPS</t>
  </si>
  <si>
    <t>Linux Kernel</t>
  </si>
  <si>
    <t>Linux Kernel loaded in RAM by LK</t>
  </si>
  <si>
    <t>APPL_USER</t>
  </si>
  <si>
    <t>legato</t>
  </si>
  <si>
    <t>SYST</t>
  </si>
  <si>
    <t>User Filesystem</t>
  </si>
  <si>
    <t>Linux Root Filesystem loaded in RAM by LK.Read only partition</t>
  </si>
  <si>
    <t>yacto</t>
  </si>
  <si>
    <t>USER</t>
  </si>
  <si>
    <t>Read/write partition.</t>
  </si>
  <si>
    <t>UAPP</t>
  </si>
  <si>
    <t>Legato Framework</t>
  </si>
  <si>
    <t>Application framework to be installed in User Filesystem (read-only partition)</t>
  </si>
  <si>
    <t>Table 2.       Images description for MDM9x40 and MDM9x28</t>
  </si>
  <si>
    <t>DSP2/MODEM</t>
  </si>
  <si>
    <t>MBA</t>
  </si>
  <si>
    <t>MBA image</t>
  </si>
  <si>
    <t>Linux Root Filesystem</t>
  </si>
  <si>
    <t>TZON</t>
  </si>
  <si>
    <t>TrustZone Board Support Package</t>
  </si>
  <si>
    <t>ENPRG9x45</t>
  </si>
  <si>
    <t>When secure boot enable and modem go to emergency download mode, it need the signed ENPRG9x45.mbn</t>
  </si>
  <si>
    <t>CUS0</t>
  </si>
  <si>
    <t>Customer0</t>
  </si>
  <si>
    <t>CUS1</t>
  </si>
  <si>
    <t>Customer1</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</si>
</sst>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yyyy-mm-dd h:mm:ss"/>
    <numFmt numFmtId="165" formatCode="yyyy/m/d"/>
    <numFmt numFmtId="166" formatCode="yyyy/mm/dd"/>
    <numFmt numFmtId="167" formatCode="yyyy/m/d h:mm"/>
    <numFmt numFmtId="168" formatCode="yyyy&quot;/&quot;m&quot;/&quot;d"/>
    <numFmt numFmtId="169" formatCode="yyyy-mm-dd"/>
    <numFmt numFmtId="170" formatCode="m/d/yyyy"/>
  </numFmts>
  <fonts count="85">
    <font>
      <sz val="10.0"/>
      <color rgb="FF000000"/>
      <name val="Arial"/>
    </font>
    <font/>
    <font>
      <u/>
      <color rgb="FF0000FF"/>
    </font>
    <font>
      <sz val="11.0"/>
      <color rgb="FF000000"/>
      <name val="等线"/>
    </font>
    <font>
      <sz val="11.0"/>
    </font>
    <font>
      <b/>
      <sz val="11.0"/>
      <color rgb="FF000000"/>
      <name val="&quot;Arial&quot;"/>
    </font>
    <font>
      <u/>
      <color rgb="FF000000"/>
      <name val="&quot;Segoe UI&quot;"/>
    </font>
    <font>
      <name val="Arial"/>
    </font>
    <font>
      <b/>
    </font>
    <font>
      <u/>
      <sz val="11.0"/>
      <color rgb="FF0000FF"/>
      <name val="等线"/>
    </font>
    <font>
      <u/>
      <color rgb="FF000000"/>
      <name val="&quot;Segoe UI&quot;"/>
    </font>
    <font>
      <sz val="11.0"/>
      <name val="等线"/>
    </font>
    <font>
      <u/>
      <color rgb="FF0000FF"/>
      <name val="&quot;Calibri&quot;"/>
    </font>
    <font>
      <name val="&quot;Calibri&quot;"/>
    </font>
    <font>
      <b/>
      <sz val="11.0"/>
      <color rgb="FF000000"/>
      <name val="Arial"/>
    </font>
    <font>
      <sz val="9.0"/>
      <color rgb="FF000000"/>
      <name val="等线"/>
    </font>
    <font>
      <u/>
      <sz val="11.0"/>
      <color rgb="FF000000"/>
      <name val="等线"/>
    </font>
    <font>
      <u/>
      <sz val="11.0"/>
      <color rgb="FF0000FF"/>
      <name val="等线"/>
    </font>
    <font>
      <b/>
      <sz val="11.0"/>
      <color rgb="FF000000"/>
      <name val="等线"/>
    </font>
    <font>
      <u/>
      <sz val="11.0"/>
      <color rgb="FF0000FF"/>
      <name val="等线"/>
    </font>
    <font>
      <u/>
      <sz val="11.0"/>
      <color rgb="FF0000FF"/>
      <name val="等线"/>
    </font>
    <font>
      <u/>
      <sz val="11.0"/>
      <name val="等线"/>
    </font>
    <font>
      <u/>
      <sz val="11.0"/>
      <name val="等线"/>
    </font>
    <font>
      <u/>
      <sz val="11.0"/>
      <name val="等线"/>
    </font>
    <font>
      <u/>
    </font>
    <font>
      <u/>
      <sz val="11.0"/>
      <name val="等线"/>
    </font>
    <font>
      <u/>
      <sz val="11.0"/>
    </font>
    <font>
      <strike/>
      <u/>
      <sz val="11.0"/>
      <color rgb="FF0000FF"/>
      <name val="等线"/>
    </font>
    <font>
      <strike/>
      <u/>
      <sz val="11.0"/>
      <name val="等线"/>
    </font>
    <font>
      <strike/>
      <u/>
      <sz val="11.0"/>
      <name val="等线"/>
    </font>
    <font>
      <strike/>
      <u/>
      <sz val="11.0"/>
      <name val="等线"/>
    </font>
    <font>
      <strike/>
      <u/>
    </font>
    <font>
      <strike/>
      <u/>
      <sz val="11.0"/>
      <name val="等线"/>
    </font>
    <font>
      <strike/>
      <u/>
      <sz val="11.0"/>
    </font>
    <font>
      <strike/>
      <u/>
      <sz val="11.0"/>
      <color rgb="FF0000FF"/>
      <name val="等线"/>
    </font>
    <font>
      <strike/>
      <u/>
      <sz val="11.0"/>
      <name val="等线"/>
    </font>
    <font>
      <strike/>
      <u/>
      <sz val="11.0"/>
      <name val="等线"/>
    </font>
    <font>
      <strike/>
      <u/>
      <sz val="11.0"/>
      <name val="等线"/>
    </font>
    <font>
      <strike/>
      <u/>
    </font>
    <font>
      <strike/>
      <u/>
      <sz val="11.0"/>
      <name val="等线"/>
    </font>
    <font>
      <strike/>
      <u/>
      <sz val="11.0"/>
    </font>
    <font>
      <u/>
      <sz val="11.0"/>
      <color rgb="FF0000FF"/>
      <name val="等线"/>
    </font>
    <font>
      <u/>
      <sz val="11.0"/>
      <color rgb="FF1155CC"/>
      <name val="&quot;Arial&quot;"/>
    </font>
    <font>
      <sz val="11.0"/>
      <name val="&quot;Arial&quot;"/>
    </font>
    <font>
      <name val="&quot;Arial&quot;"/>
    </font>
    <font>
      <u/>
      <sz val="10.0"/>
      <color rgb="FF000000"/>
      <name val="等线"/>
    </font>
    <font>
      <u/>
      <sz val="11.0"/>
      <color rgb="FF000000"/>
      <name val="等线"/>
    </font>
    <font>
      <u/>
      <sz val="11.0"/>
      <color rgb="FF000000"/>
      <name val="等线"/>
    </font>
    <font>
      <u/>
      <sz val="11.0"/>
      <color rgb="FF000000"/>
      <name val="等线"/>
    </font>
    <font>
      <u/>
      <sz val="11.0"/>
      <color rgb="FF666666"/>
      <name val="Arial"/>
    </font>
    <font>
      <u/>
      <sz val="10.0"/>
      <color rgb="FF000000"/>
      <name val="等线"/>
    </font>
    <font>
      <sz val="10.0"/>
      <color rgb="FF000000"/>
      <name val="等线"/>
    </font>
    <font>
      <strike/>
      <u/>
      <sz val="11.0"/>
      <color rgb="FF000000"/>
      <name val="等线"/>
    </font>
    <font>
      <strike/>
      <u/>
      <sz val="11.0"/>
      <color rgb="FF000000"/>
      <name val="等线"/>
    </font>
    <font>
      <strike/>
      <u/>
      <sz val="11.0"/>
      <color rgb="FF000000"/>
      <name val="等线"/>
    </font>
    <font>
      <strike/>
      <u/>
      <sz val="11.0"/>
      <color rgb="FF000000"/>
      <name val="等线"/>
    </font>
    <font>
      <strike/>
      <u/>
      <sz val="11.0"/>
      <color rgb="FF000000"/>
      <name val="等线"/>
    </font>
    <font>
      <u/>
      <color rgb="FF0000FF"/>
    </font>
    <font>
      <u/>
      <color rgb="FF0000FF"/>
    </font>
    <font>
      <u/>
      <sz val="11.0"/>
      <color rgb="FF000000"/>
      <name val="等线"/>
    </font>
    <font>
      <u/>
      <color rgb="FF0000FF"/>
    </font>
    <font>
      <color rgb="FF000000"/>
    </font>
    <font>
      <u/>
      <sz val="11.0"/>
      <color rgb="FF000000"/>
      <name val="等线"/>
    </font>
    <font>
      <u/>
      <sz val="11.0"/>
      <color rgb="FF000000"/>
      <name val="等线"/>
    </font>
    <font>
      <u/>
      <color rgb="FF0000FF"/>
    </font>
    <font>
      <u/>
      <sz val="11.0"/>
      <color rgb="FF000000"/>
      <name val="等线"/>
    </font>
    <font>
      <sz val="11.0"/>
      <color rgb="FF000000"/>
      <name val="宋体"/>
    </font>
    <font>
      <sz val="11.0"/>
      <color rgb="FF000000"/>
      <name val="Calibri"/>
    </font>
    <font>
      <sz val="11.0"/>
      <color rgb="FF000000"/>
      <name val="Arial"/>
    </font>
    <font>
      <color rgb="FF000000"/>
      <name val="Arial"/>
    </font>
    <font>
      <strike/>
      <sz val="11.0"/>
      <color rgb="FF000000"/>
      <name val="宋体"/>
    </font>
    <font>
      <sz val="11.0"/>
      <color rgb="FF333333"/>
    </font>
    <font>
      <b/>
      <sz val="11.0"/>
      <name val="&quot;Calibri&quot;"/>
    </font>
    <font>
      <b/>
      <i/>
      <sz val="11.0"/>
      <name val="&quot;Calibri&quot;"/>
    </font>
    <font>
      <i/>
      <sz val="11.0"/>
      <name val="&quot;Calibri&quot;"/>
    </font>
    <font>
      <sz val="11.0"/>
      <name val="&quot;Calibri&quot;"/>
    </font>
    <font>
      <sz val="11.0"/>
      <color rgb="FFFF0000"/>
      <name val="&quot;Calibri&quot;"/>
    </font>
    <font>
      <b/>
      <sz val="11.0"/>
      <color rgb="FF00B050"/>
      <name val="&quot;Calibri&quot;"/>
    </font>
    <font>
      <sz val="9.0"/>
    </font>
    <font>
      <color rgb="FFFF0000"/>
    </font>
    <font>
      <b/>
      <sz val="11.0"/>
      <color rgb="FFFFFFFF"/>
      <name val="等线"/>
    </font>
    <font>
      <b/>
      <color rgb="FFFFFFFF"/>
    </font>
    <font>
      <color rgb="FF000000"/>
      <name val="宋体"/>
    </font>
    <font>
      <b/>
      <sz val="9.0"/>
      <name val="&quot;Arial&quot;"/>
    </font>
    <font>
      <sz val="9.0"/>
      <name val="&quot;Arial&quot;"/>
    </font>
  </fonts>
  <fills count="32">
    <fill>
      <patternFill patternType="none"/>
    </fill>
    <fill>
      <patternFill patternType="lightGray"/>
    </fill>
    <fill>
      <patternFill patternType="solid">
        <fgColor rgb="FF4A86E8"/>
        <bgColor rgb="FF4A86E8"/>
      </patternFill>
    </fill>
    <fill>
      <patternFill patternType="solid">
        <fgColor rgb="FFC0C0C0"/>
        <bgColor rgb="FFC0C0C0"/>
      </patternFill>
    </fill>
    <fill>
      <patternFill patternType="solid">
        <fgColor rgb="FF00FF00"/>
        <bgColor rgb="FF00FF00"/>
      </patternFill>
    </fill>
    <fill>
      <patternFill patternType="solid">
        <fgColor rgb="FFC6E0B4"/>
        <bgColor rgb="FFC6E0B4"/>
      </patternFill>
    </fill>
    <fill>
      <patternFill patternType="solid">
        <fgColor rgb="FF00FFFF"/>
        <bgColor rgb="FF00FFFF"/>
      </patternFill>
    </fill>
    <fill>
      <patternFill patternType="solid">
        <fgColor rgb="FFB7E1CD"/>
        <bgColor rgb="FFB7E1CD"/>
      </patternFill>
    </fill>
    <fill>
      <patternFill patternType="solid">
        <fgColor rgb="FFFF9900"/>
        <bgColor rgb="FFFF9900"/>
      </patternFill>
    </fill>
    <fill>
      <patternFill patternType="solid">
        <fgColor rgb="FFFF0000"/>
        <bgColor rgb="FFFF0000"/>
      </patternFill>
    </fill>
    <fill>
      <patternFill patternType="solid">
        <fgColor rgb="FFFFFF00"/>
        <bgColor rgb="FFFFFF00"/>
      </patternFill>
    </fill>
    <fill>
      <patternFill patternType="solid">
        <fgColor rgb="FF5B9BD5"/>
        <bgColor rgb="FF5B9BD5"/>
      </patternFill>
    </fill>
    <fill>
      <patternFill patternType="solid">
        <fgColor rgb="FF33CCCC"/>
        <bgColor rgb="FF33CCCC"/>
      </patternFill>
    </fill>
    <fill>
      <patternFill patternType="solid">
        <fgColor rgb="FF339966"/>
        <bgColor rgb="FF339966"/>
      </patternFill>
    </fill>
    <fill>
      <patternFill patternType="solid">
        <fgColor rgb="FF008080"/>
        <bgColor rgb="FF008080"/>
      </patternFill>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A64D79"/>
        <bgColor rgb="FFA64D79"/>
      </patternFill>
    </fill>
    <fill>
      <patternFill patternType="solid">
        <fgColor rgb="FFB4C6E7"/>
        <bgColor rgb="FFB4C6E7"/>
      </patternFill>
    </fill>
    <fill>
      <patternFill patternType="solid">
        <fgColor rgb="FFD0CECE"/>
        <bgColor rgb="FFD0CECE"/>
      </patternFill>
    </fill>
    <fill>
      <patternFill patternType="solid">
        <fgColor rgb="FF95DD9E"/>
        <bgColor rgb="FF95DD9E"/>
      </patternFill>
    </fill>
    <fill>
      <patternFill patternType="solid">
        <fgColor rgb="FFFFC000"/>
        <bgColor rgb="FFFFC000"/>
      </patternFill>
    </fill>
    <fill>
      <patternFill patternType="solid">
        <fgColor rgb="FFE26B0A"/>
        <bgColor rgb="FFE26B0A"/>
      </patternFill>
    </fill>
    <fill>
      <patternFill patternType="solid">
        <fgColor rgb="FF92D050"/>
        <bgColor rgb="FF92D050"/>
      </patternFill>
    </fill>
    <fill>
      <patternFill patternType="solid">
        <fgColor rgb="FF757171"/>
        <bgColor rgb="FF757171"/>
      </patternFill>
    </fill>
    <fill>
      <patternFill patternType="solid">
        <fgColor rgb="FFBFBFBF"/>
        <bgColor rgb="FFBFBFBF"/>
      </patternFill>
    </fill>
    <fill>
      <patternFill patternType="solid">
        <fgColor rgb="FF00B0F0"/>
        <bgColor rgb="FF00B0F0"/>
      </patternFill>
    </fill>
    <fill>
      <patternFill patternType="solid">
        <fgColor rgb="FFA4C2F4"/>
        <bgColor rgb="FFA4C2F4"/>
      </patternFill>
    </fill>
    <fill>
      <patternFill patternType="solid">
        <fgColor rgb="FF9FC5E8"/>
        <bgColor rgb="FF9FC5E8"/>
      </patternFill>
    </fill>
    <fill>
      <patternFill patternType="solid">
        <fgColor rgb="FF4472C4"/>
        <bgColor rgb="FF4472C4"/>
      </patternFill>
    </fill>
    <fill>
      <patternFill patternType="solid">
        <fgColor rgb="FFB2B2B2"/>
        <bgColor rgb="FFB2B2B2"/>
      </patternFill>
    </fill>
  </fills>
  <borders count="16">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CCCCCC"/>
      </left>
      <right style="thin">
        <color rgb="FF000000"/>
      </right>
      <top style="thin">
        <color rgb="FFCCCCCC"/>
      </top>
      <bottom style="thin">
        <color rgb="FF000000"/>
      </bottom>
    </border>
    <border>
      <left style="thin">
        <color rgb="FFCCCCCC"/>
      </left>
      <right style="thin">
        <color rgb="FFCCCCCC"/>
      </right>
      <top style="thin">
        <color rgb="FFCCCCCC"/>
      </top>
      <bottom style="thin">
        <color rgb="FF000000"/>
      </bottom>
    </border>
    <border>
      <right style="thin">
        <color rgb="FFCCCCCC"/>
      </right>
      <top style="thin">
        <color rgb="FFCCCCCC"/>
      </top>
      <bottom style="thin">
        <color rgb="FF000000"/>
      </bottom>
    </border>
    <border>
      <right style="thin">
        <color rgb="FF000000"/>
      </right>
      <top style="thin">
        <color rgb="FFCCCCCC"/>
      </top>
      <bottom style="thin">
        <color rgb="FF000000"/>
      </bottom>
    </border>
    <border>
      <left style="thin">
        <color rgb="FFCCCCCC"/>
      </left>
      <right style="thin">
        <color rgb="FF000000"/>
      </right>
      <bottom style="thin">
        <color rgb="FFCCCCCC"/>
      </bottom>
    </border>
    <border>
      <left style="thin">
        <color rgb="FF000000"/>
      </left>
      <right style="thin">
        <color rgb="FF000000"/>
      </right>
      <top style="thin">
        <color rgb="FFCCCCCC"/>
      </top>
      <bottom style="thin">
        <color rgb="FF000000"/>
      </bottom>
    </border>
    <border>
      <left style="thin">
        <color rgb="FF000000"/>
      </left>
      <right style="thin">
        <color rgb="FF000000"/>
      </right>
    </border>
    <border>
      <left style="thin">
        <color rgb="FFCCCCCC"/>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25">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0" fontId="2" numFmtId="0" xfId="0" applyAlignment="1" applyFont="1">
      <alignment readingOrder="0"/>
    </xf>
    <xf borderId="0" fillId="3" fontId="3" numFmtId="0" xfId="0" applyAlignment="1" applyFill="1" applyFont="1">
      <alignment readingOrder="0" shrinkToFit="0" wrapText="0"/>
    </xf>
    <xf borderId="0" fillId="4" fontId="3" numFmtId="0" xfId="0" applyAlignment="1" applyFill="1" applyFont="1">
      <alignment readingOrder="0" shrinkToFit="0" wrapText="0"/>
    </xf>
    <xf borderId="0" fillId="5" fontId="3" numFmtId="0" xfId="0" applyAlignment="1" applyFill="1" applyFont="1">
      <alignment readingOrder="0" shrinkToFit="0" wrapText="0"/>
    </xf>
    <xf borderId="0" fillId="3" fontId="3" numFmtId="0" xfId="0" applyAlignment="1" applyFont="1">
      <alignment readingOrder="0" shrinkToFit="0" wrapText="0"/>
    </xf>
    <xf borderId="0" fillId="4" fontId="3" numFmtId="164" xfId="0" applyAlignment="1" applyFont="1" applyNumberFormat="1">
      <alignment horizontal="left" readingOrder="0" shrinkToFit="0" wrapText="0"/>
    </xf>
    <xf borderId="0" fillId="0" fontId="4" numFmtId="0" xfId="0" applyFont="1"/>
    <xf borderId="0" fillId="2" fontId="1" numFmtId="0" xfId="0" applyFont="1"/>
    <xf borderId="1" fillId="5" fontId="5" numFmtId="0" xfId="0" applyAlignment="1" applyBorder="1" applyFont="1">
      <alignment horizontal="left" readingOrder="0" vertical="bottom"/>
    </xf>
    <xf borderId="1" fillId="5" fontId="5" numFmtId="0" xfId="0" applyAlignment="1" applyBorder="1" applyFont="1">
      <alignment readingOrder="0" vertical="bottom"/>
    </xf>
    <xf borderId="0" fillId="0" fontId="6" numFmtId="0" xfId="0" applyAlignment="1" applyFont="1">
      <alignment readingOrder="0"/>
    </xf>
    <xf borderId="0" fillId="5" fontId="7" numFmtId="0" xfId="0" applyAlignment="1" applyFont="1">
      <alignment vertical="bottom"/>
    </xf>
    <xf borderId="0" fillId="4" fontId="1" numFmtId="0" xfId="0" applyAlignment="1" applyFont="1">
      <alignment readingOrder="0"/>
    </xf>
    <xf borderId="0" fillId="6" fontId="8" numFmtId="0" xfId="0" applyFill="1" applyFont="1"/>
    <xf borderId="0" fillId="0" fontId="9" numFmtId="0" xfId="0" applyAlignment="1" applyFont="1">
      <alignment readingOrder="0" shrinkToFit="0" wrapText="0"/>
    </xf>
    <xf borderId="0" fillId="0" fontId="10" numFmtId="0" xfId="0" applyAlignment="1" applyFont="1">
      <alignment horizontal="left" readingOrder="0"/>
    </xf>
    <xf borderId="0" fillId="0" fontId="11" numFmtId="0" xfId="0" applyAlignment="1" applyFont="1">
      <alignment readingOrder="0" shrinkToFit="0" wrapText="0"/>
    </xf>
    <xf borderId="0" fillId="0" fontId="11" numFmtId="165" xfId="0" applyAlignment="1" applyFont="1" applyNumberFormat="1">
      <alignment horizontal="right" readingOrder="0" shrinkToFit="0" wrapText="0"/>
    </xf>
    <xf borderId="0" fillId="0" fontId="12" numFmtId="0" xfId="0" applyAlignment="1" applyFont="1">
      <alignment horizontal="left" readingOrder="0"/>
    </xf>
    <xf borderId="0" fillId="5" fontId="3" numFmtId="164" xfId="0" applyAlignment="1" applyFont="1" applyNumberFormat="1">
      <alignment readingOrder="0" shrinkToFit="0" wrapText="0"/>
    </xf>
    <xf borderId="0" fillId="0" fontId="13" numFmtId="0" xfId="0" applyAlignment="1" applyFont="1">
      <alignment horizontal="left" readingOrder="0"/>
    </xf>
    <xf borderId="0" fillId="3" fontId="3" numFmtId="164" xfId="0" applyAlignment="1" applyFont="1" applyNumberFormat="1">
      <alignment readingOrder="0" shrinkToFit="0" wrapText="0"/>
    </xf>
    <xf borderId="0" fillId="0" fontId="4" numFmtId="164" xfId="0" applyAlignment="1" applyFont="1" applyNumberFormat="1">
      <alignment readingOrder="0"/>
    </xf>
    <xf borderId="0" fillId="0" fontId="1" numFmtId="0" xfId="0" applyFont="1"/>
    <xf borderId="0" fillId="0" fontId="11" numFmtId="166" xfId="0" applyAlignment="1" applyFont="1" applyNumberFormat="1">
      <alignment readingOrder="0" shrinkToFit="0" wrapText="0"/>
    </xf>
    <xf borderId="0" fillId="5" fontId="3" numFmtId="0" xfId="0" applyAlignment="1" applyFont="1">
      <alignment horizontal="center" readingOrder="0" shrinkToFit="0" wrapText="0"/>
    </xf>
    <xf borderId="0" fillId="5" fontId="14" numFmtId="0" xfId="0" applyAlignment="1" applyFont="1">
      <alignment horizontal="center" readingOrder="0" vertical="bottom"/>
    </xf>
    <xf borderId="0" fillId="0" fontId="1" numFmtId="0" xfId="0" applyAlignment="1" applyFont="1">
      <alignment readingOrder="0"/>
    </xf>
    <xf borderId="0" fillId="5" fontId="15" numFmtId="0" xfId="0" applyAlignment="1" applyFont="1">
      <alignment horizontal="center" readingOrder="0" shrinkToFit="0" wrapText="0"/>
    </xf>
    <xf borderId="0" fillId="0" fontId="11" numFmtId="165" xfId="0" applyAlignment="1" applyFont="1" applyNumberFormat="1">
      <alignment horizontal="left" readingOrder="0" shrinkToFit="0" wrapText="0"/>
    </xf>
    <xf borderId="0" fillId="0" fontId="16" numFmtId="0" xfId="0" applyAlignment="1" applyFont="1">
      <alignment readingOrder="0" shrinkToFit="0" wrapText="0"/>
    </xf>
    <xf borderId="0" fillId="4" fontId="17" numFmtId="0" xfId="0" applyAlignment="1" applyFont="1">
      <alignment readingOrder="0" shrinkToFit="0" wrapText="0"/>
    </xf>
    <xf borderId="0" fillId="0" fontId="1" numFmtId="166" xfId="0" applyAlignment="1" applyFont="1" applyNumberFormat="1">
      <alignment readingOrder="0"/>
    </xf>
    <xf borderId="0" fillId="4" fontId="11" numFmtId="0" xfId="0" applyAlignment="1" applyFont="1">
      <alignment readingOrder="0" shrinkToFit="0" wrapText="0"/>
    </xf>
    <xf borderId="0" fillId="7" fontId="7" numFmtId="166" xfId="0" applyAlignment="1" applyFill="1" applyFont="1" applyNumberFormat="1">
      <alignment horizontal="right" readingOrder="0" vertical="bottom"/>
    </xf>
    <xf borderId="0" fillId="4" fontId="11" numFmtId="165" xfId="0" applyAlignment="1" applyFont="1" applyNumberFormat="1">
      <alignment horizontal="right" readingOrder="0" shrinkToFit="0" wrapText="0"/>
    </xf>
    <xf borderId="0" fillId="4" fontId="11" numFmtId="166" xfId="0" applyAlignment="1" applyFont="1" applyNumberFormat="1">
      <alignment readingOrder="0" shrinkToFit="0" wrapText="0"/>
    </xf>
    <xf borderId="0" fillId="4" fontId="1" numFmtId="0" xfId="0" applyAlignment="1" applyFont="1">
      <alignment readingOrder="0"/>
    </xf>
    <xf borderId="0" fillId="4" fontId="11" numFmtId="165" xfId="0" applyAlignment="1" applyFont="1" applyNumberFormat="1">
      <alignment horizontal="left" readingOrder="0" shrinkToFit="0" wrapText="0"/>
    </xf>
    <xf borderId="0" fillId="4" fontId="4" numFmtId="0" xfId="0" applyFont="1"/>
    <xf borderId="0" fillId="0" fontId="1" numFmtId="165" xfId="0" applyAlignment="1" applyFont="1" applyNumberFormat="1">
      <alignment readingOrder="0"/>
    </xf>
    <xf borderId="0" fillId="7" fontId="7" numFmtId="165" xfId="0" applyAlignment="1" applyFont="1" applyNumberFormat="1">
      <alignment horizontal="right" readingOrder="0" vertical="bottom"/>
    </xf>
    <xf borderId="0" fillId="5" fontId="18" numFmtId="0" xfId="0" applyAlignment="1" applyFont="1">
      <alignment readingOrder="0" shrinkToFit="0" wrapText="0"/>
    </xf>
    <xf borderId="0" fillId="5" fontId="18" numFmtId="164" xfId="0" applyAlignment="1" applyFont="1" applyNumberFormat="1">
      <alignment readingOrder="0" shrinkToFit="0" wrapText="0"/>
    </xf>
    <xf borderId="0" fillId="0" fontId="8" numFmtId="0" xfId="0" applyFont="1"/>
    <xf borderId="0" fillId="0" fontId="3" numFmtId="0" xfId="0" applyAlignment="1" applyFont="1">
      <alignment readingOrder="0" shrinkToFit="0" wrapText="0"/>
    </xf>
    <xf borderId="0" fillId="0" fontId="3" numFmtId="0" xfId="0" applyAlignment="1" applyFont="1">
      <alignment readingOrder="0" shrinkToFit="0" wrapText="0"/>
    </xf>
    <xf borderId="0" fillId="0" fontId="3" numFmtId="165" xfId="0" applyAlignment="1" applyFont="1" applyNumberFormat="1">
      <alignment horizontal="right" readingOrder="0" shrinkToFit="0" wrapText="0"/>
    </xf>
    <xf borderId="0" fillId="0" fontId="3" numFmtId="167" xfId="0" applyAlignment="1" applyFont="1" applyNumberFormat="1">
      <alignment horizontal="right" readingOrder="0" shrinkToFit="0" wrapText="0"/>
    </xf>
    <xf borderId="0" fillId="0" fontId="3" numFmtId="9" xfId="0" applyAlignment="1" applyFont="1" applyNumberFormat="1">
      <alignment horizontal="right" readingOrder="0" shrinkToFit="0" wrapText="0"/>
    </xf>
    <xf borderId="0" fillId="0" fontId="3" numFmtId="0" xfId="0" applyAlignment="1" applyFont="1">
      <alignment shrinkToFit="0" wrapText="0"/>
    </xf>
    <xf borderId="0" fillId="0" fontId="3" numFmtId="166" xfId="0" applyAlignment="1" applyFont="1" applyNumberFormat="1">
      <alignment readingOrder="0" shrinkToFit="0" wrapText="0"/>
    </xf>
    <xf borderId="0" fillId="0" fontId="3" numFmtId="167" xfId="0" applyAlignment="1" applyFont="1" applyNumberFormat="1">
      <alignment readingOrder="0" shrinkToFit="0" wrapText="0"/>
    </xf>
    <xf borderId="0" fillId="0" fontId="3" numFmtId="9" xfId="0" applyAlignment="1" applyFont="1" applyNumberFormat="1">
      <alignment readingOrder="0" shrinkToFit="0" wrapText="0"/>
    </xf>
    <xf borderId="0" fillId="0" fontId="3" numFmtId="164" xfId="0" applyAlignment="1" applyFont="1" applyNumberFormat="1">
      <alignment horizontal="left" readingOrder="0" shrinkToFit="0" wrapText="0"/>
    </xf>
    <xf borderId="0" fillId="5" fontId="3" numFmtId="166" xfId="0" applyAlignment="1" applyFont="1" applyNumberFormat="1">
      <alignment readingOrder="0" shrinkToFit="0" wrapText="0"/>
    </xf>
    <xf borderId="0" fillId="5" fontId="3" numFmtId="167" xfId="0" applyAlignment="1" applyFont="1" applyNumberFormat="1">
      <alignment readingOrder="0" shrinkToFit="0" wrapText="0"/>
    </xf>
    <xf borderId="0" fillId="5" fontId="3" numFmtId="9" xfId="0" applyAlignment="1" applyFont="1" applyNumberFormat="1">
      <alignment readingOrder="0" shrinkToFit="0" wrapText="0"/>
    </xf>
    <xf borderId="0" fillId="8" fontId="19" numFmtId="0" xfId="0" applyAlignment="1" applyFill="1" applyFont="1">
      <alignment readingOrder="0" shrinkToFit="0" wrapText="0"/>
    </xf>
    <xf borderId="0" fillId="8" fontId="11" numFmtId="0" xfId="0" applyAlignment="1" applyFont="1">
      <alignment readingOrder="0" shrinkToFit="0" wrapText="0"/>
    </xf>
    <xf borderId="0" fillId="8" fontId="11" numFmtId="165" xfId="0" applyAlignment="1" applyFont="1" applyNumberFormat="1">
      <alignment horizontal="right" readingOrder="0" shrinkToFit="0" wrapText="0"/>
    </xf>
    <xf borderId="0" fillId="8" fontId="11" numFmtId="166" xfId="0" applyAlignment="1" applyFont="1" applyNumberFormat="1">
      <alignment readingOrder="0" shrinkToFit="0" wrapText="0"/>
    </xf>
    <xf borderId="0" fillId="8" fontId="1" numFmtId="0" xfId="0" applyAlignment="1" applyFont="1">
      <alignment readingOrder="0"/>
    </xf>
    <xf borderId="0" fillId="8" fontId="11" numFmtId="165" xfId="0" applyAlignment="1" applyFont="1" applyNumberFormat="1">
      <alignment horizontal="left" readingOrder="0" shrinkToFit="0" wrapText="0"/>
    </xf>
    <xf borderId="0" fillId="8" fontId="4" numFmtId="0" xfId="0" applyFont="1"/>
    <xf borderId="0" fillId="4" fontId="20" numFmtId="0" xfId="0" applyAlignment="1" applyFont="1">
      <alignment readingOrder="0" shrinkToFit="0" wrapText="0"/>
    </xf>
    <xf borderId="0" fillId="4" fontId="21" numFmtId="0" xfId="0" applyAlignment="1" applyFont="1">
      <alignment readingOrder="0" shrinkToFit="0" wrapText="0"/>
    </xf>
    <xf borderId="0" fillId="4" fontId="22" numFmtId="165" xfId="0" applyAlignment="1" applyFont="1" applyNumberFormat="1">
      <alignment horizontal="right" readingOrder="0" shrinkToFit="0" wrapText="0"/>
    </xf>
    <xf borderId="0" fillId="4" fontId="23" numFmtId="166" xfId="0" applyAlignment="1" applyFont="1" applyNumberFormat="1">
      <alignment readingOrder="0" shrinkToFit="0" wrapText="0"/>
    </xf>
    <xf borderId="0" fillId="4" fontId="24" numFmtId="0" xfId="0" applyAlignment="1" applyFont="1">
      <alignment readingOrder="0"/>
    </xf>
    <xf borderId="0" fillId="4" fontId="25" numFmtId="165" xfId="0" applyAlignment="1" applyFont="1" applyNumberFormat="1">
      <alignment horizontal="left" readingOrder="0" shrinkToFit="0" wrapText="0"/>
    </xf>
    <xf borderId="0" fillId="4" fontId="26" numFmtId="0" xfId="0" applyFont="1"/>
    <xf borderId="0" fillId="9" fontId="27" numFmtId="0" xfId="0" applyAlignment="1" applyFill="1" applyFont="1">
      <alignment readingOrder="0" shrinkToFit="0" wrapText="0"/>
    </xf>
    <xf borderId="0" fillId="9" fontId="28" numFmtId="0" xfId="0" applyAlignment="1" applyFont="1">
      <alignment readingOrder="0" shrinkToFit="0" wrapText="0"/>
    </xf>
    <xf borderId="0" fillId="9" fontId="29" numFmtId="165" xfId="0" applyAlignment="1" applyFont="1" applyNumberFormat="1">
      <alignment horizontal="right" readingOrder="0" shrinkToFit="0" wrapText="0"/>
    </xf>
    <xf borderId="0" fillId="9" fontId="30" numFmtId="166" xfId="0" applyAlignment="1" applyFont="1" applyNumberFormat="1">
      <alignment readingOrder="0" shrinkToFit="0" wrapText="0"/>
    </xf>
    <xf borderId="0" fillId="9" fontId="31" numFmtId="0" xfId="0" applyAlignment="1" applyFont="1">
      <alignment readingOrder="0"/>
    </xf>
    <xf borderId="0" fillId="9" fontId="32" numFmtId="165" xfId="0" applyAlignment="1" applyFont="1" applyNumberFormat="1">
      <alignment horizontal="left" readingOrder="0" shrinkToFit="0" wrapText="0"/>
    </xf>
    <xf borderId="0" fillId="9" fontId="33" numFmtId="0" xfId="0" applyFont="1"/>
    <xf borderId="0" fillId="10" fontId="34" numFmtId="0" xfId="0" applyAlignment="1" applyFill="1" applyFont="1">
      <alignment readingOrder="0" shrinkToFit="0" wrapText="0"/>
    </xf>
    <xf borderId="0" fillId="10" fontId="35" numFmtId="0" xfId="0" applyAlignment="1" applyFont="1">
      <alignment readingOrder="0" shrinkToFit="0" wrapText="0"/>
    </xf>
    <xf borderId="0" fillId="10" fontId="36" numFmtId="165" xfId="0" applyAlignment="1" applyFont="1" applyNumberFormat="1">
      <alignment horizontal="right" readingOrder="0" shrinkToFit="0" wrapText="0"/>
    </xf>
    <xf borderId="0" fillId="10" fontId="37" numFmtId="166" xfId="0" applyAlignment="1" applyFont="1" applyNumberFormat="1">
      <alignment readingOrder="0" shrinkToFit="0" wrapText="0"/>
    </xf>
    <xf borderId="0" fillId="10" fontId="38" numFmtId="0" xfId="0" applyAlignment="1" applyFont="1">
      <alignment readingOrder="0"/>
    </xf>
    <xf borderId="0" fillId="10" fontId="39" numFmtId="165" xfId="0" applyAlignment="1" applyFont="1" applyNumberFormat="1">
      <alignment horizontal="left" readingOrder="0" shrinkToFit="0" wrapText="0"/>
    </xf>
    <xf borderId="0" fillId="10" fontId="40" numFmtId="0" xfId="0" applyFont="1"/>
    <xf borderId="0" fillId="4" fontId="4" numFmtId="0" xfId="0" applyAlignment="1" applyFont="1">
      <alignment readingOrder="0"/>
    </xf>
    <xf borderId="0" fillId="10" fontId="41" numFmtId="0" xfId="0" applyAlignment="1" applyFont="1">
      <alignment readingOrder="0" shrinkToFit="0" wrapText="0"/>
    </xf>
    <xf borderId="0" fillId="10" fontId="11" numFmtId="0" xfId="0" applyAlignment="1" applyFont="1">
      <alignment readingOrder="0" shrinkToFit="0" wrapText="0"/>
    </xf>
    <xf borderId="0" fillId="10" fontId="11" numFmtId="165" xfId="0" applyAlignment="1" applyFont="1" applyNumberFormat="1">
      <alignment horizontal="right" readingOrder="0" shrinkToFit="0" wrapText="0"/>
    </xf>
    <xf borderId="0" fillId="10" fontId="11" numFmtId="166" xfId="0" applyAlignment="1" applyFont="1" applyNumberFormat="1">
      <alignment readingOrder="0" shrinkToFit="0" wrapText="0"/>
    </xf>
    <xf borderId="0" fillId="10" fontId="1" numFmtId="0" xfId="0" applyAlignment="1" applyFont="1">
      <alignment readingOrder="0"/>
    </xf>
    <xf borderId="0" fillId="10" fontId="11" numFmtId="165" xfId="0" applyAlignment="1" applyFont="1" applyNumberFormat="1">
      <alignment horizontal="left" readingOrder="0" shrinkToFit="0" wrapText="0"/>
    </xf>
    <xf borderId="0" fillId="10" fontId="4" numFmtId="0" xfId="0" applyFont="1"/>
    <xf borderId="0" fillId="4" fontId="42" numFmtId="0" xfId="0" applyAlignment="1" applyFont="1">
      <alignment readingOrder="0" vertical="bottom"/>
    </xf>
    <xf borderId="0" fillId="4" fontId="43" numFmtId="0" xfId="0" applyAlignment="1" applyFont="1">
      <alignment readingOrder="0" vertical="bottom"/>
    </xf>
    <xf borderId="0" fillId="4" fontId="43" numFmtId="165" xfId="0" applyAlignment="1" applyFont="1" applyNumberFormat="1">
      <alignment horizontal="right" readingOrder="0" vertical="bottom"/>
    </xf>
    <xf borderId="0" fillId="4" fontId="43" numFmtId="166" xfId="0" applyAlignment="1" applyFont="1" applyNumberFormat="1">
      <alignment horizontal="right" readingOrder="0" vertical="bottom"/>
    </xf>
    <xf borderId="0" fillId="4" fontId="43" numFmtId="0" xfId="0" applyAlignment="1" applyFont="1">
      <alignment horizontal="left" readingOrder="0" vertical="bottom"/>
    </xf>
    <xf borderId="0" fillId="4" fontId="44" numFmtId="0" xfId="0" applyAlignment="1" applyFont="1">
      <alignment readingOrder="0" vertical="bottom"/>
    </xf>
    <xf borderId="0" fillId="4" fontId="43" numFmtId="165" xfId="0" applyAlignment="1" applyFont="1" applyNumberFormat="1">
      <alignment readingOrder="0" vertical="bottom"/>
    </xf>
    <xf borderId="0" fillId="0" fontId="45" numFmtId="0" xfId="0" applyAlignment="1" applyFont="1">
      <alignment readingOrder="0" shrinkToFit="0" wrapText="0"/>
    </xf>
    <xf borderId="0" fillId="4" fontId="46" numFmtId="0" xfId="0" applyAlignment="1" applyFont="1">
      <alignment readingOrder="0" shrinkToFit="0" wrapText="0"/>
    </xf>
    <xf borderId="0" fillId="4" fontId="3" numFmtId="165" xfId="0" applyAlignment="1" applyFont="1" applyNumberFormat="1">
      <alignment horizontal="right" readingOrder="0" shrinkToFit="0" wrapText="0"/>
    </xf>
    <xf borderId="0" fillId="4" fontId="3" numFmtId="166" xfId="0" applyAlignment="1" applyFont="1" applyNumberFormat="1">
      <alignment readingOrder="0" shrinkToFit="0" wrapText="0"/>
    </xf>
    <xf borderId="0" fillId="4" fontId="3" numFmtId="165" xfId="0" applyAlignment="1" applyFont="1" applyNumberFormat="1">
      <alignment horizontal="left" readingOrder="0" shrinkToFit="0" wrapText="0"/>
    </xf>
    <xf borderId="0" fillId="4" fontId="3" numFmtId="168" xfId="0" applyAlignment="1" applyFont="1" applyNumberFormat="1">
      <alignment horizontal="left" readingOrder="0" shrinkToFit="0" wrapText="0"/>
    </xf>
    <xf borderId="0" fillId="0" fontId="47" numFmtId="0" xfId="0" applyAlignment="1" applyFont="1">
      <alignment readingOrder="0" shrinkToFit="0" wrapText="0"/>
    </xf>
    <xf borderId="0" fillId="0" fontId="3" numFmtId="165" xfId="0" applyAlignment="1" applyFont="1" applyNumberFormat="1">
      <alignment horizontal="left" readingOrder="0" shrinkToFit="0" wrapText="0"/>
    </xf>
    <xf borderId="0" fillId="0" fontId="3" numFmtId="168" xfId="0" applyAlignment="1" applyFont="1" applyNumberFormat="1">
      <alignment horizontal="left" readingOrder="0" shrinkToFit="0" wrapText="0"/>
    </xf>
    <xf borderId="0" fillId="4" fontId="3" numFmtId="168" xfId="0" applyAlignment="1" applyFont="1" applyNumberFormat="1">
      <alignment readingOrder="0" shrinkToFit="0" wrapText="0"/>
    </xf>
    <xf borderId="0" fillId="0" fontId="3" numFmtId="168" xfId="0" applyAlignment="1" applyFont="1" applyNumberFormat="1">
      <alignment readingOrder="0" shrinkToFit="0" wrapText="0"/>
    </xf>
    <xf borderId="0" fillId="10" fontId="48" numFmtId="0" xfId="0" applyAlignment="1" applyFont="1">
      <alignment readingOrder="0" shrinkToFit="0" wrapText="0"/>
    </xf>
    <xf borderId="0" fillId="10" fontId="3" numFmtId="0" xfId="0" applyAlignment="1" applyFont="1">
      <alignment readingOrder="0" shrinkToFit="0" wrapText="0"/>
    </xf>
    <xf borderId="0" fillId="10" fontId="3" numFmtId="165" xfId="0" applyAlignment="1" applyFont="1" applyNumberFormat="1">
      <alignment horizontal="right" readingOrder="0" shrinkToFit="0" wrapText="0"/>
    </xf>
    <xf borderId="0" fillId="10" fontId="3" numFmtId="166" xfId="0" applyAlignment="1" applyFont="1" applyNumberFormat="1">
      <alignment readingOrder="0" shrinkToFit="0" wrapText="0"/>
    </xf>
    <xf borderId="0" fillId="4" fontId="49" numFmtId="0" xfId="0" applyAlignment="1" applyFont="1">
      <alignment horizontal="left" readingOrder="0"/>
    </xf>
    <xf borderId="0" fillId="0" fontId="50" numFmtId="0" xfId="0" applyAlignment="1" applyFont="1">
      <alignment readingOrder="0" shrinkToFit="0" wrapText="0"/>
    </xf>
    <xf borderId="0" fillId="0" fontId="51" numFmtId="0" xfId="0" applyAlignment="1" applyFont="1">
      <alignment readingOrder="0" shrinkToFit="0" wrapText="0"/>
    </xf>
    <xf borderId="0" fillId="0" fontId="51" numFmtId="165" xfId="0" applyAlignment="1" applyFont="1" applyNumberFormat="1">
      <alignment horizontal="right" readingOrder="0" shrinkToFit="0" wrapText="0"/>
    </xf>
    <xf borderId="0" fillId="0" fontId="51" numFmtId="0" xfId="0" applyAlignment="1" applyFont="1">
      <alignment readingOrder="0" shrinkToFit="0" wrapText="0"/>
    </xf>
    <xf borderId="0" fillId="0" fontId="51" numFmtId="168" xfId="0" applyAlignment="1" applyFont="1" applyNumberFormat="1">
      <alignment readingOrder="0" shrinkToFit="0" wrapText="0"/>
    </xf>
    <xf borderId="0" fillId="11" fontId="51" numFmtId="165" xfId="0" applyAlignment="1" applyFill="1" applyFont="1" applyNumberFormat="1">
      <alignment horizontal="left" readingOrder="0" shrinkToFit="0" wrapText="0"/>
    </xf>
    <xf borderId="0" fillId="4" fontId="52" numFmtId="0" xfId="0" applyAlignment="1" applyFont="1">
      <alignment readingOrder="0" shrinkToFit="0" wrapText="0"/>
    </xf>
    <xf borderId="0" fillId="4" fontId="53" numFmtId="0" xfId="0" applyAlignment="1" applyFont="1">
      <alignment readingOrder="0" shrinkToFit="0" wrapText="0"/>
    </xf>
    <xf borderId="0" fillId="4" fontId="54" numFmtId="165" xfId="0" applyAlignment="1" applyFont="1" applyNumberFormat="1">
      <alignment horizontal="right" readingOrder="0" shrinkToFit="0" wrapText="0"/>
    </xf>
    <xf borderId="0" fillId="4" fontId="55" numFmtId="166" xfId="0" applyAlignment="1" applyFont="1" applyNumberFormat="1">
      <alignment readingOrder="0" shrinkToFit="0" wrapText="0"/>
    </xf>
    <xf borderId="0" fillId="4" fontId="56" numFmtId="165" xfId="0" applyAlignment="1" applyFont="1" applyNumberFormat="1">
      <alignment horizontal="left" readingOrder="0" shrinkToFit="0" wrapText="0"/>
    </xf>
    <xf borderId="0" fillId="4" fontId="1" numFmtId="0" xfId="0" applyFont="1"/>
    <xf borderId="0" fillId="0" fontId="3" numFmtId="168" xfId="0" applyAlignment="1" applyFont="1" applyNumberFormat="1">
      <alignment shrinkToFit="0" wrapText="0"/>
    </xf>
    <xf borderId="0" fillId="0" fontId="3" numFmtId="165" xfId="0" applyAlignment="1" applyFont="1" applyNumberFormat="1">
      <alignment shrinkToFit="0" wrapText="0"/>
    </xf>
    <xf borderId="0" fillId="0" fontId="51" numFmtId="0" xfId="0" applyAlignment="1" applyFont="1">
      <alignment shrinkToFit="0" wrapText="0"/>
    </xf>
    <xf borderId="0" fillId="0" fontId="51" numFmtId="168" xfId="0" applyAlignment="1" applyFont="1" applyNumberFormat="1">
      <alignment horizontal="right" readingOrder="0" shrinkToFit="0" wrapText="0"/>
    </xf>
    <xf borderId="0" fillId="12" fontId="51" numFmtId="165" xfId="0" applyAlignment="1" applyFill="1" applyFont="1" applyNumberFormat="1">
      <alignment horizontal="left" readingOrder="0" shrinkToFit="0" wrapText="0"/>
    </xf>
    <xf borderId="0" fillId="4" fontId="3" numFmtId="165" xfId="0" applyAlignment="1" applyFont="1" applyNumberFormat="1">
      <alignment readingOrder="0" shrinkToFit="0" wrapText="0"/>
    </xf>
    <xf borderId="0" fillId="4" fontId="3" numFmtId="168" xfId="0" applyAlignment="1" applyFont="1" applyNumberFormat="1">
      <alignment horizontal="right" readingOrder="0" shrinkToFit="0" wrapText="0"/>
    </xf>
    <xf borderId="0" fillId="0" fontId="3" numFmtId="0" xfId="0" applyAlignment="1" applyFont="1">
      <alignment shrinkToFit="0" wrapText="0"/>
    </xf>
    <xf borderId="0" fillId="0" fontId="51" numFmtId="165" xfId="0" applyAlignment="1" applyFont="1" applyNumberFormat="1">
      <alignment readingOrder="0" shrinkToFit="0" wrapText="0"/>
    </xf>
    <xf borderId="0" fillId="2" fontId="51" numFmtId="165" xfId="0" applyAlignment="1" applyFont="1" applyNumberFormat="1">
      <alignment horizontal="left" readingOrder="0" shrinkToFit="0" wrapText="0"/>
    </xf>
    <xf borderId="0" fillId="0" fontId="3" numFmtId="168" xfId="0" applyAlignment="1" applyFont="1" applyNumberFormat="1">
      <alignment horizontal="right" readingOrder="0" shrinkToFit="0" wrapText="0"/>
    </xf>
    <xf borderId="0" fillId="13" fontId="3" numFmtId="165" xfId="0" applyAlignment="1" applyFill="1" applyFont="1" applyNumberFormat="1">
      <alignment readingOrder="0" shrinkToFit="0" wrapText="0"/>
    </xf>
    <xf borderId="0" fillId="14" fontId="3" numFmtId="165" xfId="0" applyAlignment="1" applyFill="1" applyFont="1" applyNumberFormat="1">
      <alignment readingOrder="0" shrinkToFit="0" wrapText="0"/>
    </xf>
    <xf borderId="0" fillId="14" fontId="3" numFmtId="0" xfId="0" applyAlignment="1" applyFont="1">
      <alignment readingOrder="0" shrinkToFit="0" wrapText="0"/>
    </xf>
    <xf borderId="0" fillId="0" fontId="3" numFmtId="165" xfId="0" applyAlignment="1" applyFont="1" applyNumberFormat="1">
      <alignment readingOrder="0" shrinkToFit="0" wrapText="0"/>
    </xf>
    <xf borderId="0" fillId="2" fontId="51" numFmtId="0" xfId="0" applyAlignment="1" applyFont="1">
      <alignment horizontal="left" readingOrder="0" shrinkToFit="0" wrapText="0"/>
    </xf>
    <xf borderId="0" fillId="4" fontId="3" numFmtId="0" xfId="0" applyAlignment="1" applyFont="1">
      <alignment horizontal="left" readingOrder="0" shrinkToFit="0" wrapText="0"/>
    </xf>
    <xf borderId="0" fillId="13" fontId="3" numFmtId="0" xfId="0" applyAlignment="1" applyFont="1">
      <alignment readingOrder="0" shrinkToFit="0" wrapText="0"/>
    </xf>
    <xf borderId="0" fillId="13" fontId="3" numFmtId="168" xfId="0" applyAlignment="1" applyFont="1" applyNumberFormat="1">
      <alignment horizontal="right" readingOrder="0" shrinkToFit="0" wrapText="0"/>
    </xf>
    <xf borderId="0" fillId="15" fontId="3" numFmtId="0" xfId="0" applyAlignment="1" applyFill="1" applyFont="1">
      <alignment readingOrder="0" shrinkToFit="0" wrapText="0"/>
    </xf>
    <xf borderId="0" fillId="15" fontId="3" numFmtId="168" xfId="0" applyAlignment="1" applyFont="1" applyNumberFormat="1">
      <alignment horizontal="right" readingOrder="0" shrinkToFit="0" wrapText="0"/>
    </xf>
    <xf borderId="0" fillId="16" fontId="3" numFmtId="168" xfId="0" applyAlignment="1" applyFill="1" applyFont="1" applyNumberFormat="1">
      <alignment horizontal="right" readingOrder="0" shrinkToFit="0" wrapText="0"/>
    </xf>
    <xf borderId="0" fillId="14" fontId="3" numFmtId="168" xfId="0" applyAlignment="1" applyFont="1" applyNumberFormat="1">
      <alignment horizontal="right" readingOrder="0" shrinkToFit="0" wrapText="0"/>
    </xf>
    <xf borderId="0" fillId="3" fontId="3" numFmtId="168" xfId="0" applyAlignment="1" applyFont="1" applyNumberFormat="1">
      <alignment horizontal="right" readingOrder="0" shrinkToFit="0" wrapText="0"/>
    </xf>
    <xf borderId="0" fillId="14" fontId="3" numFmtId="165" xfId="0" applyAlignment="1" applyFont="1" applyNumberFormat="1">
      <alignment horizontal="right" readingOrder="0" shrinkToFit="0" wrapText="0"/>
    </xf>
    <xf borderId="0" fillId="11" fontId="51" numFmtId="0" xfId="0" applyAlignment="1" applyFont="1">
      <alignment horizontal="left" readingOrder="0" shrinkToFit="0" wrapText="0"/>
    </xf>
    <xf borderId="0" fillId="17" fontId="3" numFmtId="0" xfId="0" applyAlignment="1" applyFill="1" applyFont="1">
      <alignment readingOrder="0" shrinkToFit="0" wrapText="0"/>
    </xf>
    <xf borderId="0" fillId="9" fontId="3" numFmtId="168" xfId="0" applyAlignment="1" applyFont="1" applyNumberFormat="1">
      <alignment horizontal="right" readingOrder="0" shrinkToFit="0" wrapText="0"/>
    </xf>
    <xf borderId="0" fillId="9" fontId="3" numFmtId="165" xfId="0" applyAlignment="1" applyFont="1" applyNumberFormat="1">
      <alignment horizontal="right" readingOrder="0" shrinkToFit="0" wrapText="0"/>
    </xf>
    <xf borderId="0" fillId="13" fontId="3" numFmtId="165" xfId="0" applyAlignment="1" applyFont="1" applyNumberFormat="1">
      <alignment horizontal="right" readingOrder="0" shrinkToFit="0" wrapText="0"/>
    </xf>
    <xf borderId="0" fillId="7" fontId="7" numFmtId="0" xfId="0" applyAlignment="1" applyFont="1">
      <alignment vertical="bottom"/>
    </xf>
    <xf borderId="0" fillId="5" fontId="3" numFmtId="0" xfId="0" applyAlignment="1" applyFont="1">
      <alignment horizontal="left" readingOrder="0" shrinkToFit="0" wrapText="0"/>
    </xf>
    <xf borderId="0" fillId="4" fontId="57" numFmtId="0" xfId="0" applyFont="1"/>
    <xf borderId="0" fillId="4" fontId="1" numFmtId="166" xfId="0" applyAlignment="1" applyFont="1" applyNumberFormat="1">
      <alignment readingOrder="0"/>
    </xf>
    <xf borderId="0" fillId="4" fontId="1" numFmtId="169" xfId="0" applyAlignment="1" applyFont="1" applyNumberFormat="1">
      <alignment readingOrder="0"/>
    </xf>
    <xf borderId="0" fillId="4" fontId="1" numFmtId="14" xfId="0" applyAlignment="1" applyFont="1" applyNumberFormat="1">
      <alignment readingOrder="0"/>
    </xf>
    <xf borderId="0" fillId="0" fontId="58" numFmtId="0" xfId="0" applyFont="1"/>
    <xf borderId="0" fillId="0" fontId="1" numFmtId="169" xfId="0" applyAlignment="1" applyFont="1" applyNumberFormat="1">
      <alignment readingOrder="0"/>
    </xf>
    <xf borderId="1" fillId="0" fontId="59" numFmtId="0" xfId="0" applyAlignment="1" applyBorder="1" applyFont="1">
      <alignment readingOrder="0" shrinkToFit="0" wrapText="0"/>
    </xf>
    <xf borderId="2" fillId="0" fontId="3" numFmtId="0" xfId="0" applyAlignment="1" applyBorder="1" applyFont="1">
      <alignment readingOrder="0" shrinkToFit="0" wrapText="0"/>
    </xf>
    <xf borderId="2" fillId="0" fontId="3" numFmtId="165" xfId="0" applyAlignment="1" applyBorder="1" applyFont="1" applyNumberFormat="1">
      <alignment horizontal="right" readingOrder="0" shrinkToFit="0" wrapText="0"/>
    </xf>
    <xf borderId="2" fillId="0" fontId="3" numFmtId="0" xfId="0" applyAlignment="1" applyBorder="1" applyFont="1">
      <alignment shrinkToFit="0" wrapText="0"/>
    </xf>
    <xf borderId="2" fillId="0" fontId="3" numFmtId="168" xfId="0" applyAlignment="1" applyBorder="1" applyFont="1" applyNumberFormat="1">
      <alignment shrinkToFit="0" wrapText="0"/>
    </xf>
    <xf borderId="2" fillId="0" fontId="3" numFmtId="165" xfId="0" applyAlignment="1" applyBorder="1" applyFont="1" applyNumberFormat="1">
      <alignment shrinkToFit="0" wrapText="0"/>
    </xf>
    <xf borderId="0" fillId="10" fontId="60" numFmtId="0" xfId="0" applyFont="1"/>
    <xf borderId="0" fillId="10" fontId="1" numFmtId="166" xfId="0" applyAlignment="1" applyFont="1" applyNumberFormat="1">
      <alignment readingOrder="0"/>
    </xf>
    <xf borderId="0" fillId="10" fontId="1" numFmtId="169" xfId="0" applyAlignment="1" applyFont="1" applyNumberFormat="1">
      <alignment readingOrder="0"/>
    </xf>
    <xf borderId="0" fillId="10" fontId="1" numFmtId="0" xfId="0" applyFont="1"/>
    <xf borderId="0" fillId="4" fontId="61" numFmtId="0" xfId="0" applyAlignment="1" applyFont="1">
      <alignment readingOrder="0"/>
    </xf>
    <xf borderId="0" fillId="0" fontId="1" numFmtId="14" xfId="0" applyAlignment="1" applyFont="1" applyNumberFormat="1">
      <alignment readingOrder="0"/>
    </xf>
    <xf borderId="0" fillId="10" fontId="1" numFmtId="14" xfId="0" applyAlignment="1" applyFont="1" applyNumberFormat="1">
      <alignment readingOrder="0"/>
    </xf>
    <xf borderId="0" fillId="4" fontId="4" numFmtId="0" xfId="0" applyAlignment="1" applyFont="1">
      <alignment readingOrder="0"/>
    </xf>
    <xf borderId="0" fillId="4" fontId="1" numFmtId="165" xfId="0" applyAlignment="1" applyFont="1" applyNumberFormat="1">
      <alignment readingOrder="0"/>
    </xf>
    <xf borderId="0" fillId="4" fontId="62" numFmtId="0" xfId="0" applyAlignment="1" applyFont="1">
      <alignment readingOrder="0" shrinkToFit="0" wrapText="0"/>
    </xf>
    <xf borderId="0" fillId="4" fontId="63" numFmtId="0" xfId="0" applyAlignment="1" applyFont="1">
      <alignment readingOrder="0" shrinkToFit="0" wrapText="0"/>
    </xf>
    <xf borderId="0" fillId="18" fontId="3" numFmtId="0" xfId="0" applyAlignment="1" applyFill="1" applyFont="1">
      <alignment readingOrder="0" shrinkToFit="0" wrapText="0"/>
    </xf>
    <xf borderId="0" fillId="5" fontId="3" numFmtId="49" xfId="0" applyAlignment="1" applyFont="1" applyNumberFormat="1">
      <alignment readingOrder="0" shrinkToFit="0" wrapText="0"/>
    </xf>
    <xf borderId="0" fillId="5" fontId="18" numFmtId="0" xfId="0" applyAlignment="1" applyFont="1">
      <alignment horizontal="left" readingOrder="0" shrinkToFit="0" wrapText="0"/>
    </xf>
    <xf borderId="0" fillId="0" fontId="1" numFmtId="0" xfId="0" applyAlignment="1" applyFont="1">
      <alignment horizontal="left"/>
    </xf>
    <xf borderId="0" fillId="0" fontId="1" numFmtId="49" xfId="0" applyAlignment="1" applyFont="1" applyNumberFormat="1">
      <alignment readingOrder="0"/>
    </xf>
    <xf borderId="0" fillId="0" fontId="64" numFmtId="0" xfId="0" applyAlignment="1" applyFont="1">
      <alignment readingOrder="0"/>
    </xf>
    <xf borderId="0" fillId="10" fontId="65" numFmtId="0" xfId="0" applyAlignment="1" applyFont="1">
      <alignment readingOrder="0" shrinkToFit="0" wrapText="0"/>
    </xf>
    <xf borderId="0" fillId="19" fontId="3" numFmtId="0" xfId="0" applyAlignment="1" applyFill="1" applyFont="1">
      <alignment horizontal="center" readingOrder="0" shrinkToFit="0" wrapText="0"/>
    </xf>
    <xf borderId="0" fillId="20" fontId="3" numFmtId="0" xfId="0" applyAlignment="1" applyFill="1" applyFont="1">
      <alignment readingOrder="0" shrinkToFit="0" wrapText="0"/>
    </xf>
    <xf borderId="0" fillId="0" fontId="3" numFmtId="0" xfId="0" applyAlignment="1" applyFont="1">
      <alignment horizontal="right" readingOrder="0" shrinkToFit="0" wrapText="0"/>
    </xf>
    <xf borderId="0" fillId="2" fontId="18" numFmtId="0" xfId="0" applyAlignment="1" applyFont="1">
      <alignment horizontal="center" readingOrder="0" shrinkToFit="0" wrapText="0"/>
    </xf>
    <xf borderId="0" fillId="10" fontId="1" numFmtId="0" xfId="0" applyAlignment="1" applyFont="1">
      <alignment readingOrder="0"/>
    </xf>
    <xf borderId="0" fillId="0" fontId="1" numFmtId="170" xfId="0" applyAlignment="1" applyFont="1" applyNumberFormat="1">
      <alignment readingOrder="0"/>
    </xf>
    <xf borderId="0" fillId="0" fontId="1" numFmtId="0" xfId="0" applyAlignment="1" applyFont="1">
      <alignment readingOrder="0" shrinkToFit="0" wrapText="1"/>
    </xf>
    <xf borderId="0" fillId="0" fontId="1" numFmtId="49" xfId="0" applyFont="1" applyNumberFormat="1"/>
    <xf borderId="0" fillId="0" fontId="1" numFmtId="166" xfId="0" applyFont="1" applyNumberFormat="1"/>
    <xf borderId="3" fillId="21" fontId="66" numFmtId="0" xfId="0" applyAlignment="1" applyBorder="1" applyFill="1" applyFont="1">
      <alignment readingOrder="0" shrinkToFit="0" vertical="bottom" wrapText="0"/>
    </xf>
    <xf borderId="4" fillId="0" fontId="66" numFmtId="0" xfId="0" applyAlignment="1" applyBorder="1" applyFont="1">
      <alignment shrinkToFit="0" vertical="bottom" wrapText="0"/>
    </xf>
    <xf borderId="5" fillId="0" fontId="66" numFmtId="0" xfId="0" applyAlignment="1" applyBorder="1" applyFont="1">
      <alignment shrinkToFit="0" vertical="bottom" wrapText="0"/>
    </xf>
    <xf borderId="0" fillId="0" fontId="66" numFmtId="0" xfId="0" applyAlignment="1" applyFont="1">
      <alignment shrinkToFit="0" vertical="bottom" wrapText="0"/>
    </xf>
    <xf borderId="6" fillId="21" fontId="66" numFmtId="0" xfId="0" applyAlignment="1" applyBorder="1" applyFont="1">
      <alignment readingOrder="0" shrinkToFit="0" vertical="bottom" wrapText="0"/>
    </xf>
    <xf borderId="7" fillId="0" fontId="66" numFmtId="0" xfId="0" applyAlignment="1" applyBorder="1" applyFont="1">
      <alignment shrinkToFit="0" vertical="bottom" wrapText="0"/>
    </xf>
    <xf borderId="1" fillId="21" fontId="67" numFmtId="0" xfId="0" applyAlignment="1" applyBorder="1" applyFont="1">
      <alignment horizontal="left" readingOrder="0" shrinkToFit="0" vertical="top" wrapText="0"/>
    </xf>
    <xf borderId="1" fillId="21" fontId="67" numFmtId="0" xfId="0" applyAlignment="1" applyBorder="1" applyFont="1">
      <alignment horizontal="left" readingOrder="0" vertical="top"/>
    </xf>
    <xf borderId="8" fillId="21" fontId="68" numFmtId="0" xfId="0" applyAlignment="1" applyBorder="1" applyFont="1">
      <alignment readingOrder="0" vertical="bottom"/>
    </xf>
    <xf borderId="3" fillId="21" fontId="68" numFmtId="0" xfId="0" applyAlignment="1" applyBorder="1" applyFont="1">
      <alignment readingOrder="0" vertical="bottom"/>
    </xf>
    <xf borderId="3" fillId="21" fontId="68" numFmtId="0" xfId="0" applyAlignment="1" applyBorder="1" applyFont="1">
      <alignment horizontal="left" readingOrder="0"/>
    </xf>
    <xf borderId="3" fillId="21" fontId="68" numFmtId="0" xfId="0" applyAlignment="1" applyBorder="1" applyFont="1">
      <alignment horizontal="right" readingOrder="0" vertical="bottom"/>
    </xf>
    <xf borderId="1" fillId="21" fontId="67" numFmtId="0" xfId="0" applyAlignment="1" applyBorder="1" applyFont="1">
      <alignment horizontal="left" shrinkToFit="0" vertical="top" wrapText="0"/>
    </xf>
    <xf borderId="9" fillId="21" fontId="68" numFmtId="0" xfId="0" applyAlignment="1" applyBorder="1" applyFont="1">
      <alignment horizontal="left" readingOrder="0"/>
    </xf>
    <xf borderId="6" fillId="21" fontId="68" numFmtId="0" xfId="0" applyAlignment="1" applyBorder="1" applyFont="1">
      <alignment horizontal="right" readingOrder="0" vertical="bottom"/>
    </xf>
    <xf borderId="9" fillId="21" fontId="67" numFmtId="0" xfId="0" applyAlignment="1" applyBorder="1" applyFont="1">
      <alignment horizontal="left" readingOrder="0" shrinkToFit="0" wrapText="0"/>
    </xf>
    <xf borderId="8" fillId="22" fontId="68" numFmtId="0" xfId="0" applyAlignment="1" applyBorder="1" applyFill="1" applyFont="1">
      <alignment readingOrder="0" vertical="bottom"/>
    </xf>
    <xf borderId="3" fillId="22" fontId="68" numFmtId="0" xfId="0" applyAlignment="1" applyBorder="1" applyFont="1">
      <alignment readingOrder="0" vertical="bottom"/>
    </xf>
    <xf borderId="6" fillId="22" fontId="68" numFmtId="0" xfId="0" applyAlignment="1" applyBorder="1" applyFont="1">
      <alignment horizontal="right" readingOrder="0" vertical="bottom"/>
    </xf>
    <xf borderId="3" fillId="22" fontId="68" numFmtId="0" xfId="0" applyAlignment="1" applyBorder="1" applyFont="1">
      <alignment horizontal="right" readingOrder="0" vertical="bottom"/>
    </xf>
    <xf borderId="6" fillId="22" fontId="68" numFmtId="0" xfId="0" applyAlignment="1" applyBorder="1" applyFont="1">
      <alignment readingOrder="0" vertical="bottom"/>
    </xf>
    <xf borderId="10" fillId="21" fontId="68" numFmtId="0" xfId="0" applyAlignment="1" applyBorder="1" applyFont="1">
      <alignment horizontal="left" readingOrder="0"/>
    </xf>
    <xf borderId="1" fillId="23" fontId="67" numFmtId="0" xfId="0" applyAlignment="1" applyBorder="1" applyFill="1" applyFont="1">
      <alignment horizontal="left" readingOrder="0" shrinkToFit="0" vertical="top" wrapText="0"/>
    </xf>
    <xf borderId="9" fillId="23" fontId="67" numFmtId="0" xfId="0" applyAlignment="1" applyBorder="1" applyFont="1">
      <alignment horizontal="left" readingOrder="0" shrinkToFit="0" wrapText="0"/>
    </xf>
    <xf borderId="8" fillId="21" fontId="68" numFmtId="0" xfId="0" applyAlignment="1" applyBorder="1" applyFont="1">
      <alignment vertical="bottom"/>
    </xf>
    <xf borderId="3" fillId="21" fontId="68" numFmtId="0" xfId="0" applyAlignment="1" applyBorder="1" applyFont="1">
      <alignment vertical="bottom"/>
    </xf>
    <xf borderId="3" fillId="21" fontId="68" numFmtId="0" xfId="0" applyAlignment="1" applyBorder="1" applyFont="1">
      <alignment horizontal="left"/>
    </xf>
    <xf borderId="1" fillId="21" fontId="67" numFmtId="0" xfId="0" applyAlignment="1" applyBorder="1" applyFont="1">
      <alignment horizontal="left" readingOrder="0" shrinkToFit="0" wrapText="0"/>
    </xf>
    <xf borderId="8" fillId="21" fontId="69" numFmtId="0" xfId="0" applyAlignment="1" applyBorder="1" applyFont="1">
      <alignment vertical="bottom"/>
    </xf>
    <xf borderId="3" fillId="21" fontId="69" numFmtId="0" xfId="0" applyAlignment="1" applyBorder="1" applyFont="1">
      <alignment vertical="bottom"/>
    </xf>
    <xf borderId="3" fillId="21" fontId="69" numFmtId="0" xfId="0" applyAlignment="1" applyBorder="1" applyFont="1">
      <alignment horizontal="left"/>
    </xf>
    <xf borderId="8" fillId="21" fontId="69" numFmtId="0" xfId="0" applyAlignment="1" applyBorder="1" applyFont="1">
      <alignment vertical="bottom"/>
    </xf>
    <xf borderId="3" fillId="21" fontId="69" numFmtId="0" xfId="0" applyAlignment="1" applyBorder="1" applyFont="1">
      <alignment vertical="bottom"/>
    </xf>
    <xf borderId="3" fillId="21" fontId="69" numFmtId="0" xfId="0" applyAlignment="1" applyBorder="1" applyFont="1">
      <alignment horizontal="left"/>
    </xf>
    <xf borderId="1" fillId="23" fontId="67" numFmtId="0" xfId="0" applyAlignment="1" applyBorder="1" applyFont="1">
      <alignment horizontal="left" shrinkToFit="0" vertical="top" wrapText="0"/>
    </xf>
    <xf borderId="1" fillId="21" fontId="67" numFmtId="0" xfId="0" applyAlignment="1" applyBorder="1" applyFont="1">
      <alignment horizontal="left" shrinkToFit="0" vertical="top" wrapText="0"/>
    </xf>
    <xf borderId="1" fillId="2" fontId="1" numFmtId="0" xfId="0" applyAlignment="1" applyBorder="1" applyFont="1">
      <alignment readingOrder="0"/>
    </xf>
    <xf borderId="1" fillId="0" fontId="1" numFmtId="0" xfId="0" applyAlignment="1" applyBorder="1" applyFont="1">
      <alignment readingOrder="0"/>
    </xf>
    <xf borderId="1" fillId="0" fontId="1" numFmtId="0" xfId="0" applyBorder="1" applyFont="1"/>
    <xf borderId="1" fillId="0" fontId="1" numFmtId="0" xfId="0" applyAlignment="1" applyBorder="1" applyFont="1">
      <alignment readingOrder="0"/>
    </xf>
    <xf borderId="1" fillId="10" fontId="1" numFmtId="0" xfId="0" applyAlignment="1" applyBorder="1" applyFont="1">
      <alignment readingOrder="0"/>
    </xf>
    <xf borderId="1" fillId="10" fontId="1" numFmtId="0" xfId="0" applyBorder="1" applyFont="1"/>
    <xf borderId="1" fillId="8" fontId="1" numFmtId="0" xfId="0" applyAlignment="1" applyBorder="1" applyFont="1">
      <alignment readingOrder="0"/>
    </xf>
    <xf borderId="1" fillId="8" fontId="1" numFmtId="0" xfId="0" applyBorder="1" applyFont="1"/>
    <xf borderId="1" fillId="24" fontId="66" numFmtId="0" xfId="0" applyAlignment="1" applyBorder="1" applyFill="1" applyFont="1">
      <alignment readingOrder="0" shrinkToFit="0" vertical="bottom" wrapText="0"/>
    </xf>
    <xf borderId="11" fillId="0" fontId="66" numFmtId="0" xfId="0" applyAlignment="1" applyBorder="1" applyFont="1">
      <alignment readingOrder="0" shrinkToFit="0" vertical="bottom" wrapText="0"/>
    </xf>
    <xf borderId="1" fillId="0" fontId="70" numFmtId="0" xfId="0" applyAlignment="1" applyBorder="1" applyFont="1">
      <alignment readingOrder="0" shrinkToFit="0" vertical="bottom" wrapText="0"/>
    </xf>
    <xf borderId="1" fillId="0" fontId="70" numFmtId="0" xfId="0" applyAlignment="1" applyBorder="1" applyFont="1">
      <alignment horizontal="right" readingOrder="0" shrinkToFit="0" vertical="bottom" wrapText="0"/>
    </xf>
    <xf borderId="1" fillId="15" fontId="70" numFmtId="0" xfId="0" applyAlignment="1" applyBorder="1" applyFont="1">
      <alignment readingOrder="0" shrinkToFit="0" vertical="bottom" wrapText="0"/>
    </xf>
    <xf borderId="1" fillId="0" fontId="70" numFmtId="0" xfId="0" applyAlignment="1" applyBorder="1" applyFont="1">
      <alignment shrinkToFit="0" vertical="bottom" wrapText="0"/>
    </xf>
    <xf borderId="0" fillId="0" fontId="1" numFmtId="164" xfId="0" applyAlignment="1" applyFont="1" applyNumberFormat="1">
      <alignment readingOrder="0"/>
    </xf>
    <xf borderId="9" fillId="0" fontId="1" numFmtId="0" xfId="0" applyBorder="1" applyFont="1"/>
    <xf borderId="1" fillId="0" fontId="66" numFmtId="0" xfId="0" applyAlignment="1" applyBorder="1" applyFont="1">
      <alignment readingOrder="0" shrinkToFit="0" vertical="bottom" wrapText="0"/>
    </xf>
    <xf borderId="1" fillId="0" fontId="66" numFmtId="0" xfId="0" applyAlignment="1" applyBorder="1" applyFont="1">
      <alignment horizontal="right" readingOrder="0" shrinkToFit="0" vertical="bottom" wrapText="0"/>
    </xf>
    <xf borderId="1" fillId="15" fontId="66" numFmtId="0" xfId="0" applyAlignment="1" applyBorder="1" applyFont="1">
      <alignment readingOrder="0" shrinkToFit="0" vertical="bottom" wrapText="0"/>
    </xf>
    <xf borderId="12" fillId="0" fontId="1" numFmtId="0" xfId="0" applyBorder="1" applyFont="1"/>
    <xf borderId="0" fillId="0" fontId="66" numFmtId="0" xfId="0" applyAlignment="1" applyFont="1">
      <alignment shrinkToFit="0" vertical="bottom" wrapText="0"/>
    </xf>
    <xf borderId="0" fillId="15" fontId="69" numFmtId="0" xfId="0" applyAlignment="1" applyFont="1">
      <alignment horizontal="left" readingOrder="0"/>
    </xf>
    <xf borderId="0" fillId="0" fontId="71" numFmtId="0" xfId="0" applyAlignment="1" applyFont="1">
      <alignment readingOrder="0" shrinkToFit="0" wrapText="1"/>
    </xf>
    <xf borderId="0" fillId="0" fontId="66" numFmtId="0" xfId="0" applyAlignment="1" applyFont="1">
      <alignment readingOrder="0" shrinkToFit="0" vertical="bottom" wrapText="0"/>
    </xf>
    <xf borderId="0" fillId="21" fontId="3" numFmtId="0" xfId="0" applyAlignment="1" applyFont="1">
      <alignment readingOrder="0" shrinkToFit="0" vertical="bottom" wrapText="0"/>
    </xf>
    <xf borderId="13" fillId="21" fontId="3" numFmtId="0" xfId="0" applyAlignment="1" applyBorder="1" applyFont="1">
      <alignment readingOrder="0" shrinkToFit="0" vertical="bottom" wrapText="0"/>
    </xf>
    <xf borderId="12" fillId="21" fontId="3" numFmtId="0" xfId="0" applyAlignment="1" applyBorder="1" applyFont="1">
      <alignment readingOrder="0" shrinkToFit="0" vertical="bottom" wrapText="0"/>
    </xf>
    <xf borderId="2" fillId="21" fontId="3" numFmtId="0" xfId="0" applyAlignment="1" applyBorder="1" applyFont="1">
      <alignment readingOrder="0" shrinkToFit="0" vertical="bottom" wrapText="0"/>
    </xf>
    <xf borderId="2" fillId="10" fontId="3" numFmtId="0" xfId="0" applyAlignment="1" applyBorder="1" applyFont="1">
      <alignment readingOrder="0" shrinkToFit="0" vertical="bottom" wrapText="0"/>
    </xf>
    <xf borderId="12" fillId="21" fontId="3" numFmtId="0" xfId="0" applyAlignment="1" applyBorder="1" applyFont="1">
      <alignment horizontal="right" readingOrder="0" shrinkToFit="0" vertical="bottom" wrapText="0"/>
    </xf>
    <xf borderId="2" fillId="21" fontId="3" numFmtId="0" xfId="0" applyAlignment="1" applyBorder="1" applyFont="1">
      <alignment horizontal="right" readingOrder="0" shrinkToFit="0" vertical="bottom" wrapText="0"/>
    </xf>
    <xf borderId="2" fillId="21" fontId="3" numFmtId="0" xfId="0" applyAlignment="1" applyBorder="1" applyFont="1">
      <alignment shrinkToFit="0" vertical="bottom" wrapText="0"/>
    </xf>
    <xf borderId="1" fillId="0" fontId="1" numFmtId="0" xfId="0" applyAlignment="1" applyBorder="1" applyFont="1">
      <alignment vertical="bottom"/>
    </xf>
    <xf borderId="1" fillId="0" fontId="72" numFmtId="0" xfId="0" applyAlignment="1" applyBorder="1" applyFont="1">
      <alignment horizontal="center" readingOrder="0" vertical="bottom"/>
    </xf>
    <xf borderId="1" fillId="0" fontId="73" numFmtId="0" xfId="0" applyAlignment="1" applyBorder="1" applyFont="1">
      <alignment horizontal="left" readingOrder="0" vertical="top"/>
    </xf>
    <xf borderId="2" fillId="0" fontId="74" numFmtId="0" xfId="0" applyAlignment="1" applyBorder="1" applyFont="1">
      <alignment horizontal="left" readingOrder="0"/>
    </xf>
    <xf borderId="2" fillId="0" fontId="75" numFmtId="0" xfId="0" applyAlignment="1" applyBorder="1" applyFont="1">
      <alignment horizontal="center" readingOrder="0" vertical="bottom"/>
    </xf>
    <xf borderId="2" fillId="0" fontId="76" numFmtId="0" xfId="0" applyAlignment="1" applyBorder="1" applyFont="1">
      <alignment horizontal="center" readingOrder="0" vertical="bottom"/>
    </xf>
    <xf borderId="2" fillId="0" fontId="76" numFmtId="0" xfId="0" applyAlignment="1" applyBorder="1" applyFont="1">
      <alignment horizontal="left" readingOrder="0" vertical="bottom"/>
    </xf>
    <xf borderId="1" fillId="0" fontId="72" numFmtId="0" xfId="0" applyAlignment="1" applyBorder="1" applyFont="1">
      <alignment horizontal="center" readingOrder="0"/>
    </xf>
    <xf borderId="2" fillId="0" fontId="75" numFmtId="0" xfId="0" applyAlignment="1" applyBorder="1" applyFont="1">
      <alignment horizontal="left" readingOrder="0"/>
    </xf>
    <xf borderId="2" fillId="0" fontId="75" numFmtId="0" xfId="0" applyAlignment="1" applyBorder="1" applyFont="1">
      <alignment horizontal="center" readingOrder="0"/>
    </xf>
    <xf borderId="2" fillId="0" fontId="76" numFmtId="0" xfId="0" applyAlignment="1" applyBorder="1" applyFont="1">
      <alignment horizontal="left" readingOrder="0"/>
    </xf>
    <xf borderId="1" fillId="0" fontId="77" numFmtId="0" xfId="0" applyAlignment="1" applyBorder="1" applyFont="1">
      <alignment horizontal="center" readingOrder="0"/>
    </xf>
    <xf borderId="0" fillId="0" fontId="78" numFmtId="0" xfId="0" applyFont="1"/>
    <xf borderId="1" fillId="16" fontId="15" numFmtId="0" xfId="0" applyAlignment="1" applyBorder="1" applyFont="1">
      <alignment readingOrder="0" shrinkToFit="0" wrapText="0"/>
    </xf>
    <xf borderId="1" fillId="20" fontId="15" numFmtId="0" xfId="0" applyAlignment="1" applyBorder="1" applyFont="1">
      <alignment horizontal="right" readingOrder="0" shrinkToFit="0" wrapText="0"/>
    </xf>
    <xf borderId="1" fillId="0" fontId="15" numFmtId="165" xfId="0" applyAlignment="1" applyBorder="1" applyFont="1" applyNumberFormat="1">
      <alignment readingOrder="0" shrinkToFit="0" wrapText="0"/>
    </xf>
    <xf borderId="1" fillId="16" fontId="15" numFmtId="0" xfId="0" applyAlignment="1" applyBorder="1" applyFont="1">
      <alignment horizontal="center" readingOrder="0" shrinkToFit="0" wrapText="0"/>
    </xf>
    <xf borderId="1" fillId="10" fontId="15" numFmtId="0" xfId="0" applyAlignment="1" applyBorder="1" applyFont="1">
      <alignment horizontal="center" readingOrder="0" shrinkToFit="0" wrapText="0"/>
    </xf>
    <xf borderId="1" fillId="25" fontId="15" numFmtId="0" xfId="0" applyAlignment="1" applyBorder="1" applyFill="1" applyFont="1">
      <alignment horizontal="center" readingOrder="0" shrinkToFit="0" wrapText="0"/>
    </xf>
    <xf borderId="1" fillId="0" fontId="15" numFmtId="0" xfId="0" applyAlignment="1" applyBorder="1" applyFont="1">
      <alignment horizontal="center" readingOrder="0" shrinkToFit="0" wrapText="0"/>
    </xf>
    <xf borderId="1" fillId="26" fontId="15" numFmtId="0" xfId="0" applyAlignment="1" applyBorder="1" applyFill="1" applyFont="1">
      <alignment horizontal="center" readingOrder="0" shrinkToFit="0" wrapText="0"/>
    </xf>
    <xf borderId="1" fillId="0" fontId="15" numFmtId="0" xfId="0" applyAlignment="1" applyBorder="1" applyFont="1">
      <alignment shrinkToFit="0" wrapText="0"/>
    </xf>
    <xf borderId="1" fillId="22" fontId="15" numFmtId="0" xfId="0" applyAlignment="1" applyBorder="1" applyFont="1">
      <alignment horizontal="center" readingOrder="0" shrinkToFit="0" wrapText="0"/>
    </xf>
    <xf borderId="14" fillId="22" fontId="15" numFmtId="0" xfId="0" applyAlignment="1" applyBorder="1" applyFont="1">
      <alignment horizontal="center" readingOrder="0" shrinkToFit="0" wrapText="0"/>
    </xf>
    <xf borderId="15" fillId="0" fontId="1" numFmtId="0" xfId="0" applyBorder="1" applyFont="1"/>
    <xf borderId="13" fillId="0" fontId="1" numFmtId="0" xfId="0" applyBorder="1" applyFont="1"/>
    <xf borderId="11" fillId="26" fontId="15" numFmtId="0" xfId="0" applyAlignment="1" applyBorder="1" applyFont="1">
      <alignment horizontal="center" readingOrder="0" shrinkToFit="0" vertical="center" wrapText="0"/>
    </xf>
    <xf borderId="1" fillId="26" fontId="15" numFmtId="0" xfId="0" applyAlignment="1" applyBorder="1" applyFont="1">
      <alignment readingOrder="0" shrinkToFit="0" vertical="center" wrapText="0"/>
    </xf>
    <xf borderId="1" fillId="26" fontId="15" numFmtId="0" xfId="0" applyAlignment="1" applyBorder="1" applyFont="1">
      <alignment shrinkToFit="0" wrapText="0"/>
    </xf>
    <xf borderId="1" fillId="27" fontId="15" numFmtId="0" xfId="0" applyAlignment="1" applyBorder="1" applyFill="1" applyFont="1">
      <alignment readingOrder="0" shrinkToFit="0" vertical="center" wrapText="0"/>
    </xf>
    <xf borderId="1" fillId="15" fontId="15" numFmtId="0" xfId="0" applyAlignment="1" applyBorder="1" applyFont="1">
      <alignment readingOrder="0" shrinkToFit="0" wrapText="0"/>
    </xf>
    <xf borderId="1" fillId="10" fontId="15" numFmtId="0" xfId="0" applyAlignment="1" applyBorder="1" applyFont="1">
      <alignment readingOrder="0" shrinkToFit="0" wrapText="0"/>
    </xf>
    <xf borderId="11" fillId="27" fontId="15" numFmtId="0" xfId="0" applyAlignment="1" applyBorder="1" applyFont="1">
      <alignment readingOrder="0" shrinkToFit="0" vertical="center" wrapText="0"/>
    </xf>
    <xf borderId="1" fillId="26" fontId="15" numFmtId="0" xfId="0" applyAlignment="1" applyBorder="1" applyFont="1">
      <alignment horizontal="center" shrinkToFit="0" vertical="center" wrapText="0"/>
    </xf>
    <xf borderId="1" fillId="26" fontId="15" numFmtId="0" xfId="0" applyAlignment="1" applyBorder="1" applyFont="1">
      <alignment shrinkToFit="0" vertical="center" wrapText="0"/>
    </xf>
    <xf borderId="1" fillId="27" fontId="15" numFmtId="0" xfId="0" applyAlignment="1" applyBorder="1" applyFont="1">
      <alignment shrinkToFit="0" vertical="center" wrapText="0"/>
    </xf>
    <xf borderId="1" fillId="28" fontId="8" numFmtId="0" xfId="0" applyAlignment="1" applyBorder="1" applyFill="1" applyFont="1">
      <alignment horizontal="center" readingOrder="0"/>
    </xf>
    <xf borderId="1" fillId="28" fontId="1" numFmtId="0" xfId="0" applyAlignment="1" applyBorder="1" applyFont="1">
      <alignment readingOrder="0"/>
    </xf>
    <xf borderId="1" fillId="29" fontId="8" numFmtId="0" xfId="0" applyAlignment="1" applyBorder="1" applyFill="1" applyFont="1">
      <alignment horizontal="center" readingOrder="0"/>
    </xf>
    <xf borderId="1" fillId="0" fontId="1" numFmtId="0" xfId="0" applyAlignment="1" applyBorder="1" applyFont="1">
      <alignment horizontal="center" readingOrder="0"/>
    </xf>
    <xf borderId="1" fillId="0" fontId="79" numFmtId="0" xfId="0" applyAlignment="1" applyBorder="1" applyFont="1">
      <alignment horizontal="center" readingOrder="0"/>
    </xf>
    <xf borderId="0" fillId="30" fontId="80" numFmtId="0" xfId="0" applyAlignment="1" applyFill="1" applyFont="1">
      <alignment readingOrder="0" shrinkToFit="0" wrapText="0"/>
    </xf>
    <xf borderId="0" fillId="0" fontId="81" numFmtId="0" xfId="0" applyFont="1"/>
    <xf borderId="0" fillId="0" fontId="3" numFmtId="0" xfId="0" applyAlignment="1" applyFont="1">
      <alignment readingOrder="0" shrinkToFit="0" wrapText="0"/>
    </xf>
    <xf borderId="1" fillId="0" fontId="82" numFmtId="0" xfId="0" applyAlignment="1" applyBorder="1" applyFont="1">
      <alignment horizontal="center" readingOrder="0"/>
    </xf>
    <xf borderId="0" fillId="10" fontId="3" numFmtId="0" xfId="0" applyAlignment="1" applyFont="1">
      <alignment horizontal="right" readingOrder="0" shrinkToFit="0" wrapText="0"/>
    </xf>
    <xf borderId="0" fillId="0" fontId="83" numFmtId="0" xfId="0" applyAlignment="1" applyFont="1">
      <alignment readingOrder="0"/>
    </xf>
    <xf borderId="1" fillId="31" fontId="83" numFmtId="0" xfId="0" applyAlignment="1" applyBorder="1" applyFill="1" applyFont="1">
      <alignment horizontal="center" readingOrder="0"/>
    </xf>
    <xf borderId="13" fillId="31" fontId="83" numFmtId="0" xfId="0" applyAlignment="1" applyBorder="1" applyFont="1">
      <alignment readingOrder="0"/>
    </xf>
    <xf borderId="12" fillId="0" fontId="1" numFmtId="0" xfId="0" applyAlignment="1" applyBorder="1" applyFont="1">
      <alignment readingOrder="0"/>
    </xf>
    <xf borderId="2" fillId="0" fontId="1" numFmtId="0" xfId="0" applyAlignment="1" applyBorder="1" applyFont="1">
      <alignment readingOrder="0"/>
    </xf>
    <xf borderId="2" fillId="0" fontId="1" numFmtId="0" xfId="0" applyBorder="1" applyFont="1"/>
    <xf borderId="2" fillId="0" fontId="84" numFmtId="0" xfId="0" applyBorder="1" applyFont="1"/>
    <xf borderId="2" fillId="0" fontId="84" numFmtId="0" xfId="0" applyAlignment="1" applyBorder="1" applyFont="1">
      <alignment readingOrder="0"/>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EA9999"/>
          <bgColor rgb="FFEA9999"/>
        </patternFill>
      </fill>
      <border/>
    </dxf>
    <dxf>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color rgb="FFFF0000"/>
      </font>
      <fill>
        <patternFill patternType="none"/>
      </fill>
      <border/>
    </dxf>
    <dxf>
      <font>
        <color rgb="FFFF0000"/>
      </font>
      <fill>
        <patternFill patternType="solid">
          <fgColor rgb="FF00FF00"/>
          <bgColor rgb="FF00FF00"/>
        </patternFill>
      </fill>
      <border/>
    </dxf>
    <dxf>
      <font>
        <color rgb="FFFF00FF"/>
      </font>
      <fill>
        <patternFill patternType="solid">
          <fgColor rgb="FFFFFF00"/>
          <bgColor rgb="FFFFFF00"/>
        </patternFill>
      </fill>
      <border/>
    </dxf>
    <dxf>
      <font/>
      <fill>
        <patternFill patternType="solid">
          <fgColor rgb="FFFFE599"/>
          <bgColor rgb="FFFFE599"/>
        </patternFill>
      </fill>
      <border/>
    </dxf>
    <dxf>
      <font>
        <color rgb="FF0000FF"/>
      </font>
      <fill>
        <patternFill patternType="solid">
          <fgColor rgb="FFB7E1CD"/>
          <bgColor rgb="FFB7E1CD"/>
        </patternFill>
      </fill>
      <border/>
    </dxf>
    <dxf>
      <font>
        <color rgb="FF3C78D8"/>
      </font>
      <fill>
        <patternFill patternType="solid">
          <fgColor rgb="FFB7E1CD"/>
          <bgColor rgb="FFB7E1CD"/>
        </patternFill>
      </fill>
      <border/>
    </dxf>
  </dxfs>
  <tableStyles count="1">
    <tableStyle count="3" pivot="0" name="OEMPRI-Status-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A1632" displayName="Table_1" id="1">
  <tableColumns count="1">
    <tableColumn name=" " id="1"/>
  </tableColumns>
  <tableStyleInfo name="OEMPRI-Status-style" showColumnStripes="0" showFirstColumn="1" showLastColumn="1" showRowStripes="1"/>
</table>
</file>

<file path=xl/worksheets/_rels/sheet1.xml.rels><?xml version="1.0" encoding="UTF-8" standalone="yes"?><Relationships xmlns="http://schemas.openxmlformats.org/package/2006/relationships"><Relationship Id="rId20" Type="http://schemas.openxmlformats.org/officeDocument/2006/relationships/hyperlink" Target="https://jde.sierrawireless.com/jde/E1Menu.maf?jdeowpBackButtonProtect=PROTECTED" TargetMode="External"/><Relationship Id="rId22" Type="http://schemas.openxmlformats.org/officeDocument/2006/relationships/hyperlink" Target="https://cnshz-svn01.sierrawireless.local/svn/Config/Projects/Work_Instructions" TargetMode="External"/><Relationship Id="rId21" Type="http://schemas.openxmlformats.org/officeDocument/2006/relationships/hyperlink" Target="https://account.activedirectory.windowsazure.com/r" TargetMode="External"/><Relationship Id="rId24" Type="http://schemas.openxmlformats.org/officeDocument/2006/relationships/hyperlink" Target="http://carmd-iv-fh02/Fh/FileHold/WebClient/LibraryForm.aspx" TargetMode="External"/><Relationship Id="rId23" Type="http://schemas.openxmlformats.org/officeDocument/2006/relationships/hyperlink" Target="https://helpdesk.sierrawireless.local/WorkOrder.do" TargetMode="External"/><Relationship Id="rId1" Type="http://schemas.openxmlformats.org/officeDocument/2006/relationships/hyperlink" Target="https://issues.sierrawireless.com/issues/?filter=-1" TargetMode="External"/><Relationship Id="rId2" Type="http://schemas.openxmlformats.org/officeDocument/2006/relationships/hyperlink" Target="https://10.22.52.105/ui/" TargetMode="External"/><Relationship Id="rId3" Type="http://schemas.openxmlformats.org/officeDocument/2006/relationships/hyperlink" Target="https://skutracker.sierrawireless.local/projects" TargetMode="External"/><Relationship Id="rId4" Type="http://schemas.openxmlformats.org/officeDocument/2006/relationships/hyperlink" Target="https://agile.sierrawireless.com/Agile/PCMServlet" TargetMode="External"/><Relationship Id="rId9" Type="http://schemas.openxmlformats.org/officeDocument/2006/relationships/hyperlink" Target="https://issues.sierrawireless.com/issues/?jql=project%20%3D%20FWTOOLS%20" TargetMode="External"/><Relationship Id="rId26" Type="http://schemas.openxmlformats.org/officeDocument/2006/relationships/hyperlink" Target="https://www.liaoxuefeng.com/wiki/0013739516305929606dd18361248578c67b8067c8c017b000" TargetMode="External"/><Relationship Id="rId25" Type="http://schemas.openxmlformats.org/officeDocument/2006/relationships/hyperlink" Target="https://www.liaoxuefeng.com/wiki/001374738125095c955c1e6d8bb493182103fac9270762a000" TargetMode="External"/><Relationship Id="rId28" Type="http://schemas.openxmlformats.org/officeDocument/2006/relationships/hyperlink" Target="http://www.runoob.com/django/django-admin-manage-tool.html" TargetMode="External"/><Relationship Id="rId27" Type="http://schemas.openxmlformats.org/officeDocument/2006/relationships/hyperlink" Target="https://www.cnblogs.com/ITer-jack/p/8305912.html" TargetMode="External"/><Relationship Id="rId5" Type="http://schemas.openxmlformats.org/officeDocument/2006/relationships/hyperlink" Target="http://cnshz-ev-int-10:8080" TargetMode="External"/><Relationship Id="rId6" Type="http://schemas.openxmlformats.org/officeDocument/2006/relationships/hyperlink" Target="http://cnshz-ed-000003:8088/" TargetMode="External"/><Relationship Id="rId29" Type="http://schemas.openxmlformats.org/officeDocument/2006/relationships/drawing" Target="../drawings/drawing1.xml"/><Relationship Id="rId7" Type="http://schemas.openxmlformats.org/officeDocument/2006/relationships/hyperlink" Target="http://cnshz-ev-int-10:8080/view/debug/job/Update_Node_Labels/lastBuild/console" TargetMode="External"/><Relationship Id="rId8" Type="http://schemas.openxmlformats.org/officeDocument/2006/relationships/hyperlink" Target="https://issues.sierrawireless.com/secure/Dashboard.jspa?selectPageId=18726" TargetMode="External"/><Relationship Id="rId11" Type="http://schemas.openxmlformats.org/officeDocument/2006/relationships/hyperlink" Target="https://issues.sierrawireless.com/issues/?jql=project%20%3D%20RDDEVTOOL%20AND%20%20component%20%3D%20SWI_Secure9xXXSignature" TargetMode="External"/><Relationship Id="rId10" Type="http://schemas.openxmlformats.org/officeDocument/2006/relationships/hyperlink" Target="https://issues.sierrawireless.com/issues/?jql=project%20%3D%20FWTOOLS%20AND%20component%20%3D%20SWI_Secure9xXXSignature" TargetMode="External"/><Relationship Id="rId13" Type="http://schemas.openxmlformats.org/officeDocument/2006/relationships/hyperlink" Target="https://gerrit-legato/" TargetMode="External"/><Relationship Id="rId12" Type="http://schemas.openxmlformats.org/officeDocument/2006/relationships/hyperlink" Target="https://issues.sierrawireless.com/issues/?jql=project%20%3D%20RDDEVTOOL%20AND%20status%20in%20(Open%2C%20%22In%20Progress%22%2C%20Reopened%2C%20resolved)%20and%20component%20%3D%20SWI_Secure9xXXSignature" TargetMode="External"/><Relationship Id="rId15" Type="http://schemas.openxmlformats.org/officeDocument/2006/relationships/hyperlink" Target="https://cnshz-svn01.sierrawireless.local/svn/Config/Projects" TargetMode="External"/><Relationship Id="rId14" Type="http://schemas.openxmlformats.org/officeDocument/2006/relationships/hyperlink" Target="https://issues.sierrawireless.com/issues/?jql=project%20%3D%20FWTOOLS%20AND%20component%20%3D%20swicwe" TargetMode="External"/><Relationship Id="rId17" Type="http://schemas.openxmlformats.org/officeDocument/2006/relationships/hyperlink" Target="https://carmd-app30.sierrawireless.local/svn/Config/" TargetMode="External"/><Relationship Id="rId16" Type="http://schemas.openxmlformats.org/officeDocument/2006/relationships/hyperlink" Target="https://cnshz-svn01.sierrawireless.local/svn/Config/" TargetMode="External"/><Relationship Id="rId19" Type="http://schemas.openxmlformats.org/officeDocument/2006/relationships/hyperlink" Target="https://confluence.sierrawireless.com/display/OEM/Firmware+Signing+Server+Overview" TargetMode="External"/><Relationship Id="rId18" Type="http://schemas.openxmlformats.org/officeDocument/2006/relationships/hyperlink" Target="https://confluence.sierrawireless.com/pages/resumedraft.action?draftId=92668615&amp;draftShareId=57aa027f-8af8-43b1-b1a3-f415c630b00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90" Type="http://schemas.openxmlformats.org/officeDocument/2006/relationships/hyperlink" Target="https://issues.sierrawireless.com/browse/OEMPRI-4863" TargetMode="External"/><Relationship Id="rId194" Type="http://schemas.openxmlformats.org/officeDocument/2006/relationships/hyperlink" Target="https://issues.sierrawireless.com/browse/OEMPRI-4854" TargetMode="External"/><Relationship Id="rId193" Type="http://schemas.openxmlformats.org/officeDocument/2006/relationships/hyperlink" Target="https://issues.sierrawireless.com/browse/OEMPRI-4971" TargetMode="External"/><Relationship Id="rId192" Type="http://schemas.openxmlformats.org/officeDocument/2006/relationships/hyperlink" Target="https://issues.sierrawireless.com/browse/OEMPRI-4864" TargetMode="External"/><Relationship Id="rId191" Type="http://schemas.openxmlformats.org/officeDocument/2006/relationships/hyperlink" Target="https://issues.sierrawireless.com/browse/OEMPRI-4862" TargetMode="External"/><Relationship Id="rId187" Type="http://schemas.openxmlformats.org/officeDocument/2006/relationships/hyperlink" Target="https://issues.sierrawireless.com/browse/OEMPRI-4870" TargetMode="External"/><Relationship Id="rId186" Type="http://schemas.openxmlformats.org/officeDocument/2006/relationships/hyperlink" Target="https://issues.sierrawireless.com/browse/OEMPRI-4871" TargetMode="External"/><Relationship Id="rId185" Type="http://schemas.openxmlformats.org/officeDocument/2006/relationships/hyperlink" Target="https://issues.sierrawireless.com/browse/OEMPRI-4874" TargetMode="External"/><Relationship Id="rId184" Type="http://schemas.openxmlformats.org/officeDocument/2006/relationships/hyperlink" Target="https://issues.sierrawireless.com/browse/OEMPRI-4865" TargetMode="External"/><Relationship Id="rId189" Type="http://schemas.openxmlformats.org/officeDocument/2006/relationships/hyperlink" Target="https://issues.sierrawireless.com/browse/OEMPRI-4868" TargetMode="External"/><Relationship Id="rId188" Type="http://schemas.openxmlformats.org/officeDocument/2006/relationships/hyperlink" Target="https://issues.sierrawireless.com/browse/OEMPRI-4869" TargetMode="External"/><Relationship Id="rId183" Type="http://schemas.openxmlformats.org/officeDocument/2006/relationships/hyperlink" Target="https://issues.sierrawireless.com/browse/OEMPRI-4872" TargetMode="External"/><Relationship Id="rId182" Type="http://schemas.openxmlformats.org/officeDocument/2006/relationships/hyperlink" Target="https://issues.sierrawireless.com/browse/OEMPRI-4873" TargetMode="External"/><Relationship Id="rId181" Type="http://schemas.openxmlformats.org/officeDocument/2006/relationships/hyperlink" Target="https://issues.sierrawireless.com/browse/OEMPRI-4866" TargetMode="External"/><Relationship Id="rId180" Type="http://schemas.openxmlformats.org/officeDocument/2006/relationships/hyperlink" Target="https://issues.sierrawireless.com/browse/OEMPRI-4867" TargetMode="External"/><Relationship Id="rId176" Type="http://schemas.openxmlformats.org/officeDocument/2006/relationships/hyperlink" Target="https://issues.sierrawireless.com/browse/OEMPRI-4933" TargetMode="External"/><Relationship Id="rId175" Type="http://schemas.openxmlformats.org/officeDocument/2006/relationships/hyperlink" Target="https://issues.sierrawireless.com/browse/OEMPRI-4934" TargetMode="External"/><Relationship Id="rId174" Type="http://schemas.openxmlformats.org/officeDocument/2006/relationships/hyperlink" Target="https://issues.sierrawireless.com/browse/OEMPRI-4935" TargetMode="External"/><Relationship Id="rId173" Type="http://schemas.openxmlformats.org/officeDocument/2006/relationships/hyperlink" Target="https://issues.sierrawireless.com/browse/OEMPRI-4936" TargetMode="External"/><Relationship Id="rId179" Type="http://schemas.openxmlformats.org/officeDocument/2006/relationships/hyperlink" Target="https://issues.sierrawireless.com/browse/OEMPRI-4926" TargetMode="External"/><Relationship Id="rId178" Type="http://schemas.openxmlformats.org/officeDocument/2006/relationships/hyperlink" Target="https://issues.sierrawireless.com/browse/OEMPRI-4930" TargetMode="External"/><Relationship Id="rId177" Type="http://schemas.openxmlformats.org/officeDocument/2006/relationships/hyperlink" Target="https://issues.sierrawireless.com/browse/COUGAR-2218" TargetMode="External"/><Relationship Id="rId198" Type="http://schemas.openxmlformats.org/officeDocument/2006/relationships/hyperlink" Target="https://issues.sierrawireless.com/browse/OEMPRI-4832" TargetMode="External"/><Relationship Id="rId197" Type="http://schemas.openxmlformats.org/officeDocument/2006/relationships/hyperlink" Target="https://issues.sierrawireless.com/browse/OEMPRI-4853" TargetMode="External"/><Relationship Id="rId196" Type="http://schemas.openxmlformats.org/officeDocument/2006/relationships/hyperlink" Target="https://issues.sierrawireless.com/browse/OEMPRI-4855" TargetMode="External"/><Relationship Id="rId195" Type="http://schemas.openxmlformats.org/officeDocument/2006/relationships/hyperlink" Target="https://issues.sierrawireless.com/browse/COUGAR-2194" TargetMode="External"/><Relationship Id="rId199" Type="http://schemas.openxmlformats.org/officeDocument/2006/relationships/hyperlink" Target="https://issues.sierrawireless.com/browse/OEMPRI-4818" TargetMode="External"/><Relationship Id="rId150" Type="http://schemas.openxmlformats.org/officeDocument/2006/relationships/hyperlink" Target="https://issues.sierrawireless.com/browse/OEMPRI-5018" TargetMode="External"/><Relationship Id="rId392" Type="http://schemas.openxmlformats.org/officeDocument/2006/relationships/hyperlink" Target="https://issues.sierrawireless.com/browse/OEMPRI-4190" TargetMode="External"/><Relationship Id="rId391" Type="http://schemas.openxmlformats.org/officeDocument/2006/relationships/hyperlink" Target="https://issues.sierrawireless.com/browse/OEMPRI-4191" TargetMode="External"/><Relationship Id="rId390" Type="http://schemas.openxmlformats.org/officeDocument/2006/relationships/hyperlink" Target="https://issues.sierrawireless.com/browse/OEMPRI-4192" TargetMode="External"/><Relationship Id="rId1" Type="http://schemas.openxmlformats.org/officeDocument/2006/relationships/comments" Target="../comments1.xml"/><Relationship Id="rId2" Type="http://schemas.openxmlformats.org/officeDocument/2006/relationships/hyperlink" Target="https://issues.sierrawireless.com/browse/OEMPRI-6325" TargetMode="External"/><Relationship Id="rId3" Type="http://schemas.openxmlformats.org/officeDocument/2006/relationships/hyperlink" Target="https://issues.sierrawireless.com/browse/OEMPRI-6211" TargetMode="External"/><Relationship Id="rId149" Type="http://schemas.openxmlformats.org/officeDocument/2006/relationships/hyperlink" Target="https://issues.sierrawireless.com/browse/OEMPRI-5033" TargetMode="External"/><Relationship Id="rId4" Type="http://schemas.openxmlformats.org/officeDocument/2006/relationships/hyperlink" Target="https://issues.sierrawireless.com/browse/OEMPRI-6128" TargetMode="External"/><Relationship Id="rId148" Type="http://schemas.openxmlformats.org/officeDocument/2006/relationships/hyperlink" Target="https://issues.sierrawireless.com/browse/OEMPRI-5038" TargetMode="External"/><Relationship Id="rId1090" Type="http://schemas.openxmlformats.org/officeDocument/2006/relationships/hyperlink" Target="https://issues.sierrawireless.com/browse/OEMPRI-1855" TargetMode="External"/><Relationship Id="rId1091" Type="http://schemas.openxmlformats.org/officeDocument/2006/relationships/hyperlink" Target="https://issues.sierrawireless.com/browse/OEMPRI-1854" TargetMode="External"/><Relationship Id="rId1092" Type="http://schemas.openxmlformats.org/officeDocument/2006/relationships/hyperlink" Target="https://issues.sierrawireless.com/browse/OEMPRI-1853" TargetMode="External"/><Relationship Id="rId1093" Type="http://schemas.openxmlformats.org/officeDocument/2006/relationships/hyperlink" Target="https://issues.sierrawireless.com/browse/OEMPRI-2148" TargetMode="External"/><Relationship Id="rId1094" Type="http://schemas.openxmlformats.org/officeDocument/2006/relationships/hyperlink" Target="https://issues.sierrawireless.com/browse/OEMPRI-2109" TargetMode="External"/><Relationship Id="rId9" Type="http://schemas.openxmlformats.org/officeDocument/2006/relationships/hyperlink" Target="https://issues.sierrawireless.com/browse/OEMPRI-5973" TargetMode="External"/><Relationship Id="rId143" Type="http://schemas.openxmlformats.org/officeDocument/2006/relationships/hyperlink" Target="https://issues.sierrawireless.com/browse/OEMPRI-5075" TargetMode="External"/><Relationship Id="rId385" Type="http://schemas.openxmlformats.org/officeDocument/2006/relationships/hyperlink" Target="https://issues.sierrawireless.com/browse/OEMPRI-4198" TargetMode="External"/><Relationship Id="rId1095" Type="http://schemas.openxmlformats.org/officeDocument/2006/relationships/hyperlink" Target="https://issues.sierrawireless.com/browse/OEMPRI-2050" TargetMode="External"/><Relationship Id="rId142" Type="http://schemas.openxmlformats.org/officeDocument/2006/relationships/hyperlink" Target="https://issues.sierrawireless.com/browse/OEMPRI-5074" TargetMode="External"/><Relationship Id="rId384" Type="http://schemas.openxmlformats.org/officeDocument/2006/relationships/hyperlink" Target="https://issues.sierrawireless.com/browse/OEMPRI-4200" TargetMode="External"/><Relationship Id="rId1096" Type="http://schemas.openxmlformats.org/officeDocument/2006/relationships/hyperlink" Target="https://issues.sierrawireless.com/browse/OEMPRI-2112" TargetMode="External"/><Relationship Id="rId141" Type="http://schemas.openxmlformats.org/officeDocument/2006/relationships/hyperlink" Target="https://issues.sierrawireless.com/browse/OEMPRI-5072" TargetMode="External"/><Relationship Id="rId383" Type="http://schemas.openxmlformats.org/officeDocument/2006/relationships/hyperlink" Target="https://issues.sierrawireless.com/browse/OEMPRI-4201" TargetMode="External"/><Relationship Id="rId1097" Type="http://schemas.openxmlformats.org/officeDocument/2006/relationships/hyperlink" Target="https://issues.sierrawireless.com/browse/OEMPRI-2111" TargetMode="External"/><Relationship Id="rId140" Type="http://schemas.openxmlformats.org/officeDocument/2006/relationships/hyperlink" Target="https://issues.sierrawireless.com/browse/OEMPRI-5076" TargetMode="External"/><Relationship Id="rId382" Type="http://schemas.openxmlformats.org/officeDocument/2006/relationships/hyperlink" Target="https://issues.sierrawireless.com/browse/OEMPRI-4202" TargetMode="External"/><Relationship Id="rId1098" Type="http://schemas.openxmlformats.org/officeDocument/2006/relationships/hyperlink" Target="https://issues.sierrawireless.com/browse/OEMPRI-2110" TargetMode="External"/><Relationship Id="rId5" Type="http://schemas.openxmlformats.org/officeDocument/2006/relationships/hyperlink" Target="https://issues.sierrawireless.com/browse/OEMPRI-6041" TargetMode="External"/><Relationship Id="rId147" Type="http://schemas.openxmlformats.org/officeDocument/2006/relationships/hyperlink" Target="https://issues.sierrawireless.com/browse/OEMPRI-5035" TargetMode="External"/><Relationship Id="rId389" Type="http://schemas.openxmlformats.org/officeDocument/2006/relationships/hyperlink" Target="https://issues.sierrawireless.com/browse/OEMPRI-4193" TargetMode="External"/><Relationship Id="rId1099" Type="http://schemas.openxmlformats.org/officeDocument/2006/relationships/hyperlink" Target="https://issues.sierrawireless.com/browse/OEMPRI-1945" TargetMode="External"/><Relationship Id="rId6" Type="http://schemas.openxmlformats.org/officeDocument/2006/relationships/hyperlink" Target="https://issues.sierrawireless.com/browse/OEMPRI-6036" TargetMode="External"/><Relationship Id="rId146" Type="http://schemas.openxmlformats.org/officeDocument/2006/relationships/hyperlink" Target="https://issues.sierrawireless.com/browse/OEMPRI-5036" TargetMode="External"/><Relationship Id="rId388" Type="http://schemas.openxmlformats.org/officeDocument/2006/relationships/hyperlink" Target="https://issues.sierrawireless.com/browse/OEMPRI-4195" TargetMode="External"/><Relationship Id="rId7" Type="http://schemas.openxmlformats.org/officeDocument/2006/relationships/hyperlink" Target="https://issues.sierrawireless.com/browse/OEMPRI-5978" TargetMode="External"/><Relationship Id="rId145" Type="http://schemas.openxmlformats.org/officeDocument/2006/relationships/hyperlink" Target="https://issues.sierrawireless.com/browse/OEMPRI-5037" TargetMode="External"/><Relationship Id="rId387" Type="http://schemas.openxmlformats.org/officeDocument/2006/relationships/hyperlink" Target="https://issues.sierrawireless.com/browse/OEMPRI-4196" TargetMode="External"/><Relationship Id="rId8" Type="http://schemas.openxmlformats.org/officeDocument/2006/relationships/hyperlink" Target="https://issues.sierrawireless.com/browse/OEMPRI-5970" TargetMode="External"/><Relationship Id="rId144" Type="http://schemas.openxmlformats.org/officeDocument/2006/relationships/hyperlink" Target="https://issues.sierrawireless.com/browse/OEMPRI-5062" TargetMode="External"/><Relationship Id="rId386" Type="http://schemas.openxmlformats.org/officeDocument/2006/relationships/hyperlink" Target="https://issues.sierrawireless.com/browse/OEMPRI-4197" TargetMode="External"/><Relationship Id="rId381" Type="http://schemas.openxmlformats.org/officeDocument/2006/relationships/hyperlink" Target="https://issues.sierrawireless.com/browse/OEMPRI-4203" TargetMode="External"/><Relationship Id="rId380" Type="http://schemas.openxmlformats.org/officeDocument/2006/relationships/hyperlink" Target="https://issues.sierrawireless.com/browse/OEMPRI-4204" TargetMode="External"/><Relationship Id="rId139" Type="http://schemas.openxmlformats.org/officeDocument/2006/relationships/hyperlink" Target="https://issues.sierrawireless.com/browse/OEMPRI-5077" TargetMode="External"/><Relationship Id="rId138" Type="http://schemas.openxmlformats.org/officeDocument/2006/relationships/hyperlink" Target="https://issues.sierrawireless.com/browse/OEMPRI-5081" TargetMode="External"/><Relationship Id="rId137" Type="http://schemas.openxmlformats.org/officeDocument/2006/relationships/hyperlink" Target="https://issues.sierrawireless.com/browse/OEMPRI-5073" TargetMode="External"/><Relationship Id="rId379" Type="http://schemas.openxmlformats.org/officeDocument/2006/relationships/hyperlink" Target="https://issues.sierrawireless.com/browse/OEMPRI-4205" TargetMode="External"/><Relationship Id="rId1080" Type="http://schemas.openxmlformats.org/officeDocument/2006/relationships/hyperlink" Target="https://issues.sierrawireless.com/browse/OEMPRI-2140" TargetMode="External"/><Relationship Id="rId1081" Type="http://schemas.openxmlformats.org/officeDocument/2006/relationships/hyperlink" Target="https://issues.sierrawireless.com/browse/OEMPRI-2139" TargetMode="External"/><Relationship Id="rId1082" Type="http://schemas.openxmlformats.org/officeDocument/2006/relationships/hyperlink" Target="https://issues.sierrawireless.com/browse/OEMPRI-2138" TargetMode="External"/><Relationship Id="rId1083" Type="http://schemas.openxmlformats.org/officeDocument/2006/relationships/hyperlink" Target="https://issues.sierrawireless.com/browse/OEMPRI-2137" TargetMode="External"/><Relationship Id="rId132" Type="http://schemas.openxmlformats.org/officeDocument/2006/relationships/hyperlink" Target="https://issues.sierrawireless.com/browse/OEMPRI-5101" TargetMode="External"/><Relationship Id="rId374" Type="http://schemas.openxmlformats.org/officeDocument/2006/relationships/hyperlink" Target="https://issues.sierrawireless.com/browse/OEMPRI-4262" TargetMode="External"/><Relationship Id="rId1084" Type="http://schemas.openxmlformats.org/officeDocument/2006/relationships/hyperlink" Target="https://issues.sierrawireless.com/browse/OEMPRI-2136" TargetMode="External"/><Relationship Id="rId131" Type="http://schemas.openxmlformats.org/officeDocument/2006/relationships/hyperlink" Target="https://issues.sierrawireless.com/browse/OEMPRI-5104" TargetMode="External"/><Relationship Id="rId373" Type="http://schemas.openxmlformats.org/officeDocument/2006/relationships/hyperlink" Target="https://issues.sierrawireless.com/browse/OEMPRI-4264" TargetMode="External"/><Relationship Id="rId1085" Type="http://schemas.openxmlformats.org/officeDocument/2006/relationships/hyperlink" Target="https://issues.sierrawireless.com/browse/OEMPRI-2135" TargetMode="External"/><Relationship Id="rId130" Type="http://schemas.openxmlformats.org/officeDocument/2006/relationships/hyperlink" Target="https://issues.sierrawireless.com/browse/OEMPRI-5096" TargetMode="External"/><Relationship Id="rId372" Type="http://schemas.openxmlformats.org/officeDocument/2006/relationships/hyperlink" Target="https://issues.sierrawireless.com/browse/OEMPRI-4282" TargetMode="External"/><Relationship Id="rId1086" Type="http://schemas.openxmlformats.org/officeDocument/2006/relationships/hyperlink" Target="https://issues.sierrawireless.com/browse/OEMPRI-2048" TargetMode="External"/><Relationship Id="rId371" Type="http://schemas.openxmlformats.org/officeDocument/2006/relationships/hyperlink" Target="https://issues.sierrawireless.com/browse/OEMPRI-4294" TargetMode="External"/><Relationship Id="rId1087" Type="http://schemas.openxmlformats.org/officeDocument/2006/relationships/hyperlink" Target="https://issues.sierrawireless.com/browse/OEMPRI-1979" TargetMode="External"/><Relationship Id="rId136" Type="http://schemas.openxmlformats.org/officeDocument/2006/relationships/hyperlink" Target="https://issues.sierrawireless.com/browse/OEMPRI-5083" TargetMode="External"/><Relationship Id="rId378" Type="http://schemas.openxmlformats.org/officeDocument/2006/relationships/hyperlink" Target="https://issues.sierrawireless.com/browse/OEMPRI-4206" TargetMode="External"/><Relationship Id="rId1088" Type="http://schemas.openxmlformats.org/officeDocument/2006/relationships/hyperlink" Target="https://issues.sierrawireless.com/browse/OEMPRI-1944" TargetMode="External"/><Relationship Id="rId135" Type="http://schemas.openxmlformats.org/officeDocument/2006/relationships/hyperlink" Target="https://issues.sierrawireless.com/browse/OEMPRI-5082" TargetMode="External"/><Relationship Id="rId377" Type="http://schemas.openxmlformats.org/officeDocument/2006/relationships/hyperlink" Target="https://issues.sierrawireless.com/browse/OEMPRI-4207" TargetMode="External"/><Relationship Id="rId1089" Type="http://schemas.openxmlformats.org/officeDocument/2006/relationships/hyperlink" Target="https://issues.sierrawireless.com/browse/OEMPRI-1856" TargetMode="External"/><Relationship Id="rId134" Type="http://schemas.openxmlformats.org/officeDocument/2006/relationships/hyperlink" Target="https://issues.sierrawireless.com/browse/OEMPRI-5089" TargetMode="External"/><Relationship Id="rId376" Type="http://schemas.openxmlformats.org/officeDocument/2006/relationships/hyperlink" Target="https://issues.sierrawireless.com/browse/OEMPRI-4263" TargetMode="External"/><Relationship Id="rId133" Type="http://schemas.openxmlformats.org/officeDocument/2006/relationships/hyperlink" Target="https://issues.sierrawireless.com/browse/OEMPRI-5093" TargetMode="External"/><Relationship Id="rId375" Type="http://schemas.openxmlformats.org/officeDocument/2006/relationships/hyperlink" Target="https://issues.sierrawireless.com/browse/OEMPRI-4261" TargetMode="External"/><Relationship Id="rId172" Type="http://schemas.openxmlformats.org/officeDocument/2006/relationships/hyperlink" Target="https://issues.sierrawireless.com/browse/OEMPRI-5008" TargetMode="External"/><Relationship Id="rId171" Type="http://schemas.openxmlformats.org/officeDocument/2006/relationships/hyperlink" Target="https://issues.sierrawireless.com/browse/OEMPRI-4932" TargetMode="External"/><Relationship Id="rId170" Type="http://schemas.openxmlformats.org/officeDocument/2006/relationships/hyperlink" Target="https://issues.sierrawireless.com/browse/OEMPRI-4956" TargetMode="External"/><Relationship Id="rId165" Type="http://schemas.openxmlformats.org/officeDocument/2006/relationships/hyperlink" Target="https://issues.sierrawireless.com/browse/OEMPRI-4960" TargetMode="External"/><Relationship Id="rId164" Type="http://schemas.openxmlformats.org/officeDocument/2006/relationships/hyperlink" Target="https://issues.sierrawireless.com/browse/OEMPRI-4962" TargetMode="External"/><Relationship Id="rId163" Type="http://schemas.openxmlformats.org/officeDocument/2006/relationships/hyperlink" Target="https://issues.sierrawireless.com/browse/OEMPRI-4963" TargetMode="External"/><Relationship Id="rId162" Type="http://schemas.openxmlformats.org/officeDocument/2006/relationships/hyperlink" Target="https://issues.sierrawireless.com/browse/OEMPRI-4978" TargetMode="External"/><Relationship Id="rId169" Type="http://schemas.openxmlformats.org/officeDocument/2006/relationships/hyperlink" Target="https://issues.sierrawireless.com/browse/OEMPRI-4957" TargetMode="External"/><Relationship Id="rId168" Type="http://schemas.openxmlformats.org/officeDocument/2006/relationships/hyperlink" Target="https://issues.sierrawireless.com/browse/OEMPRI-4967" TargetMode="External"/><Relationship Id="rId167" Type="http://schemas.openxmlformats.org/officeDocument/2006/relationships/hyperlink" Target="https://issues.sierrawireless.com/browse/OEMPRI-4961" TargetMode="External"/><Relationship Id="rId166" Type="http://schemas.openxmlformats.org/officeDocument/2006/relationships/hyperlink" Target="https://issues.sierrawireless.com/browse/OEMPRI-4959" TargetMode="External"/><Relationship Id="rId161" Type="http://schemas.openxmlformats.org/officeDocument/2006/relationships/hyperlink" Target="https://issues.sierrawireless.com/browse/OEMPRI-4980" TargetMode="External"/><Relationship Id="rId160" Type="http://schemas.openxmlformats.org/officeDocument/2006/relationships/hyperlink" Target="https://issues.sierrawireless.com/browse/OEMPRI-4995" TargetMode="External"/><Relationship Id="rId159" Type="http://schemas.openxmlformats.org/officeDocument/2006/relationships/hyperlink" Target="https://issues.sierrawireless.com/browse/OEMPRI-4998" TargetMode="External"/><Relationship Id="rId154" Type="http://schemas.openxmlformats.org/officeDocument/2006/relationships/hyperlink" Target="https://issues.sierrawireless.com/browse/OEMPRI-5014" TargetMode="External"/><Relationship Id="rId396" Type="http://schemas.openxmlformats.org/officeDocument/2006/relationships/hyperlink" Target="https://issues.sierrawireless.com/browse/OEMPRI-4145" TargetMode="External"/><Relationship Id="rId153" Type="http://schemas.openxmlformats.org/officeDocument/2006/relationships/hyperlink" Target="https://issues.sierrawireless.com/browse/OEMPRI-5019" TargetMode="External"/><Relationship Id="rId395" Type="http://schemas.openxmlformats.org/officeDocument/2006/relationships/hyperlink" Target="https://issues.sierrawireless.com/browse/OEMPRI-4168" TargetMode="External"/><Relationship Id="rId152" Type="http://schemas.openxmlformats.org/officeDocument/2006/relationships/hyperlink" Target="https://issues.sierrawireless.com/browse/OEMPRI-5020" TargetMode="External"/><Relationship Id="rId394" Type="http://schemas.openxmlformats.org/officeDocument/2006/relationships/hyperlink" Target="https://issues.sierrawireless.com/browse/OEMPRI-4164" TargetMode="External"/><Relationship Id="rId151" Type="http://schemas.openxmlformats.org/officeDocument/2006/relationships/hyperlink" Target="https://issues.sierrawireless.com/browse/OEMPRI-5009" TargetMode="External"/><Relationship Id="rId393" Type="http://schemas.openxmlformats.org/officeDocument/2006/relationships/hyperlink" Target="https://issues.sierrawireless.com/browse/OEMPRI-4199" TargetMode="External"/><Relationship Id="rId158" Type="http://schemas.openxmlformats.org/officeDocument/2006/relationships/hyperlink" Target="https://issues.sierrawireless.com/browse/OEMPRI-5000" TargetMode="External"/><Relationship Id="rId157" Type="http://schemas.openxmlformats.org/officeDocument/2006/relationships/hyperlink" Target="https://issues.sierrawireless.com/browse/OEMPRI-5011" TargetMode="External"/><Relationship Id="rId399" Type="http://schemas.openxmlformats.org/officeDocument/2006/relationships/hyperlink" Target="https://issues.sierrawireless.com/browse/OEMPRI-4123" TargetMode="External"/><Relationship Id="rId156" Type="http://schemas.openxmlformats.org/officeDocument/2006/relationships/hyperlink" Target="https://issues.sierrawireless.com/browse/OEMPRI-5017" TargetMode="External"/><Relationship Id="rId398" Type="http://schemas.openxmlformats.org/officeDocument/2006/relationships/hyperlink" Target="https://issues.sierrawireless.com/browse/OEMPRI-4149" TargetMode="External"/><Relationship Id="rId155" Type="http://schemas.openxmlformats.org/officeDocument/2006/relationships/hyperlink" Target="https://issues.sierrawireless.com/browse/OEMPRI-5010" TargetMode="External"/><Relationship Id="rId397" Type="http://schemas.openxmlformats.org/officeDocument/2006/relationships/hyperlink" Target="https://issues.sierrawireless.com/browse/OEMPRI-4143" TargetMode="External"/><Relationship Id="rId808" Type="http://schemas.openxmlformats.org/officeDocument/2006/relationships/hyperlink" Target="https://issues.sierrawireless.com/browse/OEMPRI-2339" TargetMode="External"/><Relationship Id="rId807" Type="http://schemas.openxmlformats.org/officeDocument/2006/relationships/hyperlink" Target="https://issues.sierrawireless.com/browse/OEMPRI-2348" TargetMode="External"/><Relationship Id="rId806" Type="http://schemas.openxmlformats.org/officeDocument/2006/relationships/hyperlink" Target="https://issues.sierrawireless.com/browse/OEMPRI-2359" TargetMode="External"/><Relationship Id="rId805" Type="http://schemas.openxmlformats.org/officeDocument/2006/relationships/hyperlink" Target="https://issues.sierrawireless.com/browse/OEMPRI-2361" TargetMode="External"/><Relationship Id="rId809" Type="http://schemas.openxmlformats.org/officeDocument/2006/relationships/hyperlink" Target="https://issues.sierrawireless.com/browse/OEMPRI-2338" TargetMode="External"/><Relationship Id="rId800" Type="http://schemas.openxmlformats.org/officeDocument/2006/relationships/hyperlink" Target="https://issues.sierrawireless.com/browse/OEMPRI-2393" TargetMode="External"/><Relationship Id="rId804" Type="http://schemas.openxmlformats.org/officeDocument/2006/relationships/hyperlink" Target="https://issues.sierrawireless.com/browse/OEMPRI-2362" TargetMode="External"/><Relationship Id="rId803" Type="http://schemas.openxmlformats.org/officeDocument/2006/relationships/hyperlink" Target="https://issues.sierrawireless.com/browse/OEMPRI-2364" TargetMode="External"/><Relationship Id="rId802" Type="http://schemas.openxmlformats.org/officeDocument/2006/relationships/hyperlink" Target="https://issues.sierrawireless.com/browse/OEMPRI-2385" TargetMode="External"/><Relationship Id="rId801" Type="http://schemas.openxmlformats.org/officeDocument/2006/relationships/hyperlink" Target="https://issues.sierrawireless.com/browse/OEMPRI-2392" TargetMode="External"/><Relationship Id="rId40" Type="http://schemas.openxmlformats.org/officeDocument/2006/relationships/hyperlink" Target="https://issues.sierrawireless.com/browse/OEMPRI-5319" TargetMode="External"/><Relationship Id="rId42" Type="http://schemas.openxmlformats.org/officeDocument/2006/relationships/hyperlink" Target="https://issues.sierrawireless.com/browse/OEMPRI-5322" TargetMode="External"/><Relationship Id="rId41" Type="http://schemas.openxmlformats.org/officeDocument/2006/relationships/hyperlink" Target="https://issues.sierrawireless.com/browse/OEMPRI-5323" TargetMode="External"/><Relationship Id="rId44" Type="http://schemas.openxmlformats.org/officeDocument/2006/relationships/hyperlink" Target="https://issues.sierrawireless.com/browse/OEMPRI-5302" TargetMode="External"/><Relationship Id="rId43" Type="http://schemas.openxmlformats.org/officeDocument/2006/relationships/hyperlink" Target="https://issues.sierrawireless.com/browse/OEMPRI-5321" TargetMode="External"/><Relationship Id="rId46" Type="http://schemas.openxmlformats.org/officeDocument/2006/relationships/hyperlink" Target="https://issues.sierrawireless.com/browse/OEMPRI-5310" TargetMode="External"/><Relationship Id="rId45" Type="http://schemas.openxmlformats.org/officeDocument/2006/relationships/hyperlink" Target="https://issues.sierrawireless.com/browse/OEMPRI-5300" TargetMode="External"/><Relationship Id="rId509" Type="http://schemas.openxmlformats.org/officeDocument/2006/relationships/hyperlink" Target="https://issues.sierrawireless.com/browse/OEMPRI-3854" TargetMode="External"/><Relationship Id="rId508" Type="http://schemas.openxmlformats.org/officeDocument/2006/relationships/hyperlink" Target="https://issues.sierrawireless.com/browse/OEMPRI-3872" TargetMode="External"/><Relationship Id="rId503" Type="http://schemas.openxmlformats.org/officeDocument/2006/relationships/hyperlink" Target="https://issues.sierrawireless.com/browse/OEMPRI-3876" TargetMode="External"/><Relationship Id="rId745" Type="http://schemas.openxmlformats.org/officeDocument/2006/relationships/hyperlink" Target="https://issues.sierrawireless.com/browse/OEMPRI-2723" TargetMode="External"/><Relationship Id="rId987" Type="http://schemas.openxmlformats.org/officeDocument/2006/relationships/hyperlink" Target="https://issues.sierrawireless.com/browse/OEMPRI-1823" TargetMode="External"/><Relationship Id="rId502" Type="http://schemas.openxmlformats.org/officeDocument/2006/relationships/hyperlink" Target="https://issues.sierrawireless.com/browse/OEMPRI-3877" TargetMode="External"/><Relationship Id="rId744" Type="http://schemas.openxmlformats.org/officeDocument/2006/relationships/hyperlink" Target="https://issues.sierrawireless.com/browse/OEMPRI-2728" TargetMode="External"/><Relationship Id="rId986" Type="http://schemas.openxmlformats.org/officeDocument/2006/relationships/hyperlink" Target="https://issues.sierrawireless.com/browse/OEMPRI-1735" TargetMode="External"/><Relationship Id="rId501" Type="http://schemas.openxmlformats.org/officeDocument/2006/relationships/hyperlink" Target="https://issues.sierrawireless.com/browse/OEMPRI-3895" TargetMode="External"/><Relationship Id="rId743" Type="http://schemas.openxmlformats.org/officeDocument/2006/relationships/hyperlink" Target="https://issues.sierrawireless.com/browse/OEMPRI-2741" TargetMode="External"/><Relationship Id="rId985" Type="http://schemas.openxmlformats.org/officeDocument/2006/relationships/hyperlink" Target="https://issues.sierrawireless.com/browse/OEMPRI-1689" TargetMode="External"/><Relationship Id="rId500" Type="http://schemas.openxmlformats.org/officeDocument/2006/relationships/hyperlink" Target="https://issues.sierrawireless.com/browse/OEMPRI-3894" TargetMode="External"/><Relationship Id="rId742" Type="http://schemas.openxmlformats.org/officeDocument/2006/relationships/hyperlink" Target="https://issues.sierrawireless.com/browse/OEMPRI-2750" TargetMode="External"/><Relationship Id="rId984" Type="http://schemas.openxmlformats.org/officeDocument/2006/relationships/hyperlink" Target="https://issues.sierrawireless.com/browse/OEMPRI-1713" TargetMode="External"/><Relationship Id="rId507" Type="http://schemas.openxmlformats.org/officeDocument/2006/relationships/hyperlink" Target="https://issues.sierrawireless.com/browse/OEMPRI-3879" TargetMode="External"/><Relationship Id="rId749" Type="http://schemas.openxmlformats.org/officeDocument/2006/relationships/hyperlink" Target="https://issues.sierrawireless.com/browse/OEMPRI-2689" TargetMode="External"/><Relationship Id="rId506" Type="http://schemas.openxmlformats.org/officeDocument/2006/relationships/hyperlink" Target="https://issues.sierrawireless.com/browse/OEMPRI-3881" TargetMode="External"/><Relationship Id="rId748" Type="http://schemas.openxmlformats.org/officeDocument/2006/relationships/hyperlink" Target="https://issues.sierrawireless.com/browse/OEMPRI-2690" TargetMode="External"/><Relationship Id="rId505" Type="http://schemas.openxmlformats.org/officeDocument/2006/relationships/hyperlink" Target="https://issues.sierrawireless.com/browse/OEMPRI-3885" TargetMode="External"/><Relationship Id="rId747" Type="http://schemas.openxmlformats.org/officeDocument/2006/relationships/hyperlink" Target="https://issues.sierrawireless.com/browse/OEMPRI-2698" TargetMode="External"/><Relationship Id="rId989" Type="http://schemas.openxmlformats.org/officeDocument/2006/relationships/hyperlink" Target="https://issues.sierrawireless.com/browse/OEMPRI-1821" TargetMode="External"/><Relationship Id="rId504" Type="http://schemas.openxmlformats.org/officeDocument/2006/relationships/hyperlink" Target="https://issues.sierrawireless.com/browse/OEMPRI-3875" TargetMode="External"/><Relationship Id="rId746" Type="http://schemas.openxmlformats.org/officeDocument/2006/relationships/hyperlink" Target="https://issues.sierrawireless.com/browse/OEMPRI-2722" TargetMode="External"/><Relationship Id="rId988" Type="http://schemas.openxmlformats.org/officeDocument/2006/relationships/hyperlink" Target="https://issues.sierrawireless.com/browse/OEMPRI-1822" TargetMode="External"/><Relationship Id="rId48" Type="http://schemas.openxmlformats.org/officeDocument/2006/relationships/hyperlink" Target="https://issues.sierrawireless.com/browse/OEMPRI-5301" TargetMode="External"/><Relationship Id="rId47" Type="http://schemas.openxmlformats.org/officeDocument/2006/relationships/hyperlink" Target="https://issues.sierrawireless.com/browse/OEMPRI-5305" TargetMode="External"/><Relationship Id="rId49" Type="http://schemas.openxmlformats.org/officeDocument/2006/relationships/hyperlink" Target="https://issues.sierrawireless.com/browse/OEMPRI-5285" TargetMode="External"/><Relationship Id="rId741" Type="http://schemas.openxmlformats.org/officeDocument/2006/relationships/hyperlink" Target="https://issues.sierrawireless.com/browse/OEMPRI-2760" TargetMode="External"/><Relationship Id="rId983" Type="http://schemas.openxmlformats.org/officeDocument/2006/relationships/hyperlink" Target="https://issues.sierrawireless.com/browse/OEMPRI-1817" TargetMode="External"/><Relationship Id="rId740" Type="http://schemas.openxmlformats.org/officeDocument/2006/relationships/hyperlink" Target="https://issues.sierrawireless.com/browse/OEMPRI-2764" TargetMode="External"/><Relationship Id="rId982" Type="http://schemas.openxmlformats.org/officeDocument/2006/relationships/hyperlink" Target="https://issues.sierrawireless.com/browse/OEMPRI-1816" TargetMode="External"/><Relationship Id="rId981" Type="http://schemas.openxmlformats.org/officeDocument/2006/relationships/hyperlink" Target="https://issues.sierrawireless.com/browse/OEMPRI-1643" TargetMode="External"/><Relationship Id="rId980" Type="http://schemas.openxmlformats.org/officeDocument/2006/relationships/hyperlink" Target="https://issues.sierrawireless.com/browse/OEMPRI-1644" TargetMode="External"/><Relationship Id="rId31" Type="http://schemas.openxmlformats.org/officeDocument/2006/relationships/hyperlink" Target="https://issues.sierrawireless.com/browse/OEMPRI-5348" TargetMode="External"/><Relationship Id="rId30" Type="http://schemas.openxmlformats.org/officeDocument/2006/relationships/hyperlink" Target="https://issues.sierrawireless.com/browse/OEMPRI-5349" TargetMode="External"/><Relationship Id="rId33" Type="http://schemas.openxmlformats.org/officeDocument/2006/relationships/hyperlink" Target="https://issues.sierrawireless.com/browse/OEMPRI-5336" TargetMode="External"/><Relationship Id="rId32" Type="http://schemas.openxmlformats.org/officeDocument/2006/relationships/hyperlink" Target="https://issues.sierrawireless.com/browse/OEMPRI-5334" TargetMode="External"/><Relationship Id="rId35" Type="http://schemas.openxmlformats.org/officeDocument/2006/relationships/hyperlink" Target="https://issues.sierrawireless.com/browse/OEMPRI-5330" TargetMode="External"/><Relationship Id="rId34" Type="http://schemas.openxmlformats.org/officeDocument/2006/relationships/hyperlink" Target="https://issues.sierrawireless.com/browse/OEMPRI-5333" TargetMode="External"/><Relationship Id="rId739" Type="http://schemas.openxmlformats.org/officeDocument/2006/relationships/hyperlink" Target="https://issues.sierrawireless.com/browse/OEMPRI-2769" TargetMode="External"/><Relationship Id="rId734" Type="http://schemas.openxmlformats.org/officeDocument/2006/relationships/hyperlink" Target="https://issues.sierrawireless.com/browse/OEMPRI-2778" TargetMode="External"/><Relationship Id="rId976" Type="http://schemas.openxmlformats.org/officeDocument/2006/relationships/hyperlink" Target="https://issues.sierrawireless.com/browse/OEMPRI-1648" TargetMode="External"/><Relationship Id="rId733" Type="http://schemas.openxmlformats.org/officeDocument/2006/relationships/hyperlink" Target="https://issues.sierrawireless.com/browse/OEMPRI-2779" TargetMode="External"/><Relationship Id="rId975" Type="http://schemas.openxmlformats.org/officeDocument/2006/relationships/hyperlink" Target="https://issues.sierrawireless.com/browse/OEMPRI-1649" TargetMode="External"/><Relationship Id="rId732" Type="http://schemas.openxmlformats.org/officeDocument/2006/relationships/hyperlink" Target="https://issues.sierrawireless.com/browse/OEMPRI-2781" TargetMode="External"/><Relationship Id="rId974" Type="http://schemas.openxmlformats.org/officeDocument/2006/relationships/hyperlink" Target="https://issues.sierrawireless.com/browse/OEMPRI-1650" TargetMode="External"/><Relationship Id="rId731" Type="http://schemas.openxmlformats.org/officeDocument/2006/relationships/hyperlink" Target="https://issues.sierrawireless.com/browse/OEMPRI-2792" TargetMode="External"/><Relationship Id="rId973" Type="http://schemas.openxmlformats.org/officeDocument/2006/relationships/hyperlink" Target="https://issues.sierrawireless.com/browse/OEMPRI-1651" TargetMode="External"/><Relationship Id="rId738" Type="http://schemas.openxmlformats.org/officeDocument/2006/relationships/hyperlink" Target="https://issues.sierrawireless.com/browse/OEMPRI-2761" TargetMode="External"/><Relationship Id="rId737" Type="http://schemas.openxmlformats.org/officeDocument/2006/relationships/hyperlink" Target="https://issues.sierrawireless.com/browse/OEMPRI-2762" TargetMode="External"/><Relationship Id="rId979" Type="http://schemas.openxmlformats.org/officeDocument/2006/relationships/hyperlink" Target="https://issues.sierrawireless.com/browse/OEMPRI-1645" TargetMode="External"/><Relationship Id="rId736" Type="http://schemas.openxmlformats.org/officeDocument/2006/relationships/hyperlink" Target="https://issues.sierrawireless.com/browse/OEMPRI-2765" TargetMode="External"/><Relationship Id="rId978" Type="http://schemas.openxmlformats.org/officeDocument/2006/relationships/hyperlink" Target="https://issues.sierrawireless.com/browse/OEMPRI-1646" TargetMode="External"/><Relationship Id="rId735" Type="http://schemas.openxmlformats.org/officeDocument/2006/relationships/hyperlink" Target="https://issues.sierrawireless.com/browse/OEMPRI-2770" TargetMode="External"/><Relationship Id="rId977" Type="http://schemas.openxmlformats.org/officeDocument/2006/relationships/hyperlink" Target="https://issues.sierrawireless.com/browse/OEMPRI-1647" TargetMode="External"/><Relationship Id="rId37" Type="http://schemas.openxmlformats.org/officeDocument/2006/relationships/hyperlink" Target="https://issues.sierrawireless.com/browse/OEMPRI-5331" TargetMode="External"/><Relationship Id="rId36" Type="http://schemas.openxmlformats.org/officeDocument/2006/relationships/hyperlink" Target="https://issues.sierrawireless.com/browse/OEMPRI-5329" TargetMode="External"/><Relationship Id="rId39" Type="http://schemas.openxmlformats.org/officeDocument/2006/relationships/hyperlink" Target="https://issues.sierrawireless.com/browse/OEMPRI-5318" TargetMode="External"/><Relationship Id="rId38" Type="http://schemas.openxmlformats.org/officeDocument/2006/relationships/hyperlink" Target="https://issues.sierrawireless.com/browse/OEMPRI-5320" TargetMode="External"/><Relationship Id="rId730" Type="http://schemas.openxmlformats.org/officeDocument/2006/relationships/hyperlink" Target="https://issues.sierrawireless.com/browse/OEMPRI-2797" TargetMode="External"/><Relationship Id="rId972" Type="http://schemas.openxmlformats.org/officeDocument/2006/relationships/hyperlink" Target="https://issues.sierrawireless.com/browse/OEMPRI-1734" TargetMode="External"/><Relationship Id="rId971" Type="http://schemas.openxmlformats.org/officeDocument/2006/relationships/hyperlink" Target="https://issues.sierrawireless.com/browse/OEMPRI-1598" TargetMode="External"/><Relationship Id="rId970" Type="http://schemas.openxmlformats.org/officeDocument/2006/relationships/hyperlink" Target="https://issues.sierrawireless.com/browse/OEMPRI-1688" TargetMode="External"/><Relationship Id="rId1114" Type="http://schemas.openxmlformats.org/officeDocument/2006/relationships/hyperlink" Target="https://issues.sierrawireless.com/browse/OEMPRI-1915" TargetMode="External"/><Relationship Id="rId1115" Type="http://schemas.openxmlformats.org/officeDocument/2006/relationships/hyperlink" Target="https://issues.sierrawireless.com/browse/OEMPRI-1984" TargetMode="External"/><Relationship Id="rId20" Type="http://schemas.openxmlformats.org/officeDocument/2006/relationships/hyperlink" Target="https://issues.sierrawireless.com/browse/OEMPRI-5375" TargetMode="External"/><Relationship Id="rId1116" Type="http://schemas.openxmlformats.org/officeDocument/2006/relationships/hyperlink" Target="https://issues.sierrawireless.com/browse/OEMPRI-1952" TargetMode="External"/><Relationship Id="rId1117" Type="http://schemas.openxmlformats.org/officeDocument/2006/relationships/hyperlink" Target="https://issues.sierrawireless.com/browse/OEMPRI-1886" TargetMode="External"/><Relationship Id="rId22" Type="http://schemas.openxmlformats.org/officeDocument/2006/relationships/hyperlink" Target="https://issues.sierrawireless.com/browse/OEMPRI-5370" TargetMode="External"/><Relationship Id="rId1118" Type="http://schemas.openxmlformats.org/officeDocument/2006/relationships/hyperlink" Target="https://issues.sierrawireless.com/browse/OEMPRI-1858" TargetMode="External"/><Relationship Id="rId21" Type="http://schemas.openxmlformats.org/officeDocument/2006/relationships/hyperlink" Target="https://issues.sierrawireless.com/browse/OEMPRI-5374" TargetMode="External"/><Relationship Id="rId1119" Type="http://schemas.openxmlformats.org/officeDocument/2006/relationships/hyperlink" Target="https://issues.sierrawireless.com/browse/OEMPRI-2116" TargetMode="External"/><Relationship Id="rId24" Type="http://schemas.openxmlformats.org/officeDocument/2006/relationships/hyperlink" Target="https://issues.sierrawireless.com/browse/OEMPRI-5368" TargetMode="External"/><Relationship Id="rId23" Type="http://schemas.openxmlformats.org/officeDocument/2006/relationships/hyperlink" Target="https://issues.sierrawireless.com/browse/OEMPRI-5369" TargetMode="External"/><Relationship Id="rId525" Type="http://schemas.openxmlformats.org/officeDocument/2006/relationships/hyperlink" Target="https://issues.sierrawireless.com/browse/OEMPRI-3791" TargetMode="External"/><Relationship Id="rId767" Type="http://schemas.openxmlformats.org/officeDocument/2006/relationships/hyperlink" Target="https://issues.sierrawireless.com/browse/OEMPRI-2604" TargetMode="External"/><Relationship Id="rId524" Type="http://schemas.openxmlformats.org/officeDocument/2006/relationships/hyperlink" Target="https://issues.sierrawireless.com/browse/OEMPRI-3810" TargetMode="External"/><Relationship Id="rId766" Type="http://schemas.openxmlformats.org/officeDocument/2006/relationships/hyperlink" Target="https://issues.sierrawireless.com/browse/OEMPRI-2605" TargetMode="External"/><Relationship Id="rId523" Type="http://schemas.openxmlformats.org/officeDocument/2006/relationships/hyperlink" Target="https://issues.sierrawireless.com/browse/OEMPRI-3809" TargetMode="External"/><Relationship Id="rId765" Type="http://schemas.openxmlformats.org/officeDocument/2006/relationships/hyperlink" Target="https://issues.sierrawireless.com/browse/OEMPRI-2608" TargetMode="External"/><Relationship Id="rId522" Type="http://schemas.openxmlformats.org/officeDocument/2006/relationships/hyperlink" Target="https://issues.sierrawireless.com/browse/OEMPRI-3811" TargetMode="External"/><Relationship Id="rId764" Type="http://schemas.openxmlformats.org/officeDocument/2006/relationships/hyperlink" Target="https://issues.sierrawireless.com/browse/OEMPRI-2614" TargetMode="External"/><Relationship Id="rId529" Type="http://schemas.openxmlformats.org/officeDocument/2006/relationships/hyperlink" Target="https://issues.sierrawireless.com/browse/OEMPRI-3783" TargetMode="External"/><Relationship Id="rId528" Type="http://schemas.openxmlformats.org/officeDocument/2006/relationships/hyperlink" Target="https://issues.sierrawireless.com/browse/OEMPRI-3784" TargetMode="External"/><Relationship Id="rId527" Type="http://schemas.openxmlformats.org/officeDocument/2006/relationships/hyperlink" Target="https://issues.sierrawireless.com/browse/OEMPRI-3785" TargetMode="External"/><Relationship Id="rId769" Type="http://schemas.openxmlformats.org/officeDocument/2006/relationships/hyperlink" Target="https://issues.sierrawireless.com/browse/OEMPRI-2602" TargetMode="External"/><Relationship Id="rId526" Type="http://schemas.openxmlformats.org/officeDocument/2006/relationships/hyperlink" Target="https://issues.sierrawireless.com/browse/OEMPRI-3786" TargetMode="External"/><Relationship Id="rId768" Type="http://schemas.openxmlformats.org/officeDocument/2006/relationships/hyperlink" Target="https://issues.sierrawireless.com/browse/OEMPRI-2603" TargetMode="External"/><Relationship Id="rId26" Type="http://schemas.openxmlformats.org/officeDocument/2006/relationships/hyperlink" Target="https://issues.sierrawireless.com/browse/OEMPRI-5365" TargetMode="External"/><Relationship Id="rId25" Type="http://schemas.openxmlformats.org/officeDocument/2006/relationships/hyperlink" Target="https://issues.sierrawireless.com/browse/OEMPRI-5367" TargetMode="External"/><Relationship Id="rId28" Type="http://schemas.openxmlformats.org/officeDocument/2006/relationships/hyperlink" Target="https://issues.sierrawireless.com/browse/OEMPRI-5363" TargetMode="External"/><Relationship Id="rId27" Type="http://schemas.openxmlformats.org/officeDocument/2006/relationships/hyperlink" Target="https://issues.sierrawireless.com/browse/OEMPRI-5364" TargetMode="External"/><Relationship Id="rId521" Type="http://schemas.openxmlformats.org/officeDocument/2006/relationships/hyperlink" Target="https://issues.sierrawireless.com/browse/OEMPRI-3812" TargetMode="External"/><Relationship Id="rId763" Type="http://schemas.openxmlformats.org/officeDocument/2006/relationships/hyperlink" Target="https://issues.sierrawireless.com/browse/OEMPRI-2623" TargetMode="External"/><Relationship Id="rId1110" Type="http://schemas.openxmlformats.org/officeDocument/2006/relationships/hyperlink" Target="https://issues.sierrawireless.com/browse/OEMPRI-1949" TargetMode="External"/><Relationship Id="rId29" Type="http://schemas.openxmlformats.org/officeDocument/2006/relationships/hyperlink" Target="https://issues.sierrawireless.com/browse/OEMPRI-5350" TargetMode="External"/><Relationship Id="rId520" Type="http://schemas.openxmlformats.org/officeDocument/2006/relationships/hyperlink" Target="https://issues.sierrawireless.com/browse/OEMPRI-3813" TargetMode="External"/><Relationship Id="rId762" Type="http://schemas.openxmlformats.org/officeDocument/2006/relationships/hyperlink" Target="https://issues.sierrawireless.com/browse/OEMPRI-2620" TargetMode="External"/><Relationship Id="rId1111" Type="http://schemas.openxmlformats.org/officeDocument/2006/relationships/hyperlink" Target="https://issues.sierrawireless.com/browse/OEMPRI-1948" TargetMode="External"/><Relationship Id="rId761" Type="http://schemas.openxmlformats.org/officeDocument/2006/relationships/hyperlink" Target="https://issues.sierrawireless.com/browse/OEMPRI-2621" TargetMode="External"/><Relationship Id="rId1112" Type="http://schemas.openxmlformats.org/officeDocument/2006/relationships/hyperlink" Target="https://issues.sierrawireless.com/browse/OEMPRI-1947" TargetMode="External"/><Relationship Id="rId760" Type="http://schemas.openxmlformats.org/officeDocument/2006/relationships/hyperlink" Target="https://issues.sierrawireless.com/browse/OEMPRI-2668" TargetMode="External"/><Relationship Id="rId1113" Type="http://schemas.openxmlformats.org/officeDocument/2006/relationships/hyperlink" Target="https://issues.sierrawireless.com/browse/OEMPRI-1916" TargetMode="External"/><Relationship Id="rId1103" Type="http://schemas.openxmlformats.org/officeDocument/2006/relationships/hyperlink" Target="https://issues.sierrawireless.com/browse/OEMPRI-1911" TargetMode="External"/><Relationship Id="rId1104" Type="http://schemas.openxmlformats.org/officeDocument/2006/relationships/hyperlink" Target="https://issues.sierrawireless.com/browse/OEMPRI-1857" TargetMode="External"/><Relationship Id="rId1105" Type="http://schemas.openxmlformats.org/officeDocument/2006/relationships/hyperlink" Target="https://issues.sierrawireless.com/browse/OEMPRI-1983" TargetMode="External"/><Relationship Id="rId1106" Type="http://schemas.openxmlformats.org/officeDocument/2006/relationships/hyperlink" Target="https://issues.sierrawireless.com/browse/OEMPRI-1982" TargetMode="External"/><Relationship Id="rId11" Type="http://schemas.openxmlformats.org/officeDocument/2006/relationships/hyperlink" Target="https://issues.sierrawireless.com/browse/OEMPRI-5974" TargetMode="External"/><Relationship Id="rId1107" Type="http://schemas.openxmlformats.org/officeDocument/2006/relationships/hyperlink" Target="https://issues.sierrawireless.com/browse/OEMPRI-1914" TargetMode="External"/><Relationship Id="rId10" Type="http://schemas.openxmlformats.org/officeDocument/2006/relationships/hyperlink" Target="https://issues.sierrawireless.com/browse/OEMPRI-5972" TargetMode="External"/><Relationship Id="rId1108" Type="http://schemas.openxmlformats.org/officeDocument/2006/relationships/hyperlink" Target="https://issues.sierrawireless.com/browse/OEMPRI-1951" TargetMode="External"/><Relationship Id="rId13" Type="http://schemas.openxmlformats.org/officeDocument/2006/relationships/hyperlink" Target="https://issues.sierrawireless.com/browse/OEMPRI-5969" TargetMode="External"/><Relationship Id="rId1109" Type="http://schemas.openxmlformats.org/officeDocument/2006/relationships/hyperlink" Target="https://issues.sierrawireless.com/browse/OEMPRI-1950" TargetMode="External"/><Relationship Id="rId12" Type="http://schemas.openxmlformats.org/officeDocument/2006/relationships/hyperlink" Target="https://issues.sierrawireless.com/browse/OEMPRI-5968" TargetMode="External"/><Relationship Id="rId519" Type="http://schemas.openxmlformats.org/officeDocument/2006/relationships/hyperlink" Target="https://issues.sierrawireless.com/browse/OEMPRI-3814" TargetMode="External"/><Relationship Id="rId514" Type="http://schemas.openxmlformats.org/officeDocument/2006/relationships/hyperlink" Target="https://issues.sierrawireless.com/browse/OEMPRI-3844" TargetMode="External"/><Relationship Id="rId756" Type="http://schemas.openxmlformats.org/officeDocument/2006/relationships/hyperlink" Target="https://issues.sierrawireless.com/browse/OEMPRI-2679" TargetMode="External"/><Relationship Id="rId998" Type="http://schemas.openxmlformats.org/officeDocument/2006/relationships/hyperlink" Target="https://issues.sierrawireless.com/browse/OEMPRI-1764" TargetMode="External"/><Relationship Id="rId513" Type="http://schemas.openxmlformats.org/officeDocument/2006/relationships/hyperlink" Target="https://issues.sierrawireless.com/browse/OEMPRI-3846" TargetMode="External"/><Relationship Id="rId755" Type="http://schemas.openxmlformats.org/officeDocument/2006/relationships/hyperlink" Target="https://issues.sierrawireless.com/browse/OEMPRI-2680" TargetMode="External"/><Relationship Id="rId997" Type="http://schemas.openxmlformats.org/officeDocument/2006/relationships/hyperlink" Target="https://issues.sierrawireless.com/browse/OEMPRI-1622" TargetMode="External"/><Relationship Id="rId512" Type="http://schemas.openxmlformats.org/officeDocument/2006/relationships/hyperlink" Target="https://issues.sierrawireless.com/browse/OEMPRI-3847" TargetMode="External"/><Relationship Id="rId754" Type="http://schemas.openxmlformats.org/officeDocument/2006/relationships/hyperlink" Target="https://issues.sierrawireless.com/browse/OEMPRI-2681" TargetMode="External"/><Relationship Id="rId996" Type="http://schemas.openxmlformats.org/officeDocument/2006/relationships/hyperlink" Target="https://issues.sierrawireless.com/browse/OEMPRI-1623" TargetMode="External"/><Relationship Id="rId511" Type="http://schemas.openxmlformats.org/officeDocument/2006/relationships/hyperlink" Target="https://issues.sierrawireless.com/browse/OEMPRI-3849" TargetMode="External"/><Relationship Id="rId753" Type="http://schemas.openxmlformats.org/officeDocument/2006/relationships/hyperlink" Target="https://issues.sierrawireless.com/browse/OEMPRI-2683" TargetMode="External"/><Relationship Id="rId995" Type="http://schemas.openxmlformats.org/officeDocument/2006/relationships/hyperlink" Target="https://issues.sierrawireless.com/browse/OEMPRI-1624" TargetMode="External"/><Relationship Id="rId518" Type="http://schemas.openxmlformats.org/officeDocument/2006/relationships/hyperlink" Target="https://issues.sierrawireless.com/browse/OEMPRI-3837" TargetMode="External"/><Relationship Id="rId517" Type="http://schemas.openxmlformats.org/officeDocument/2006/relationships/hyperlink" Target="https://issues.sierrawireless.com/browse/OEMPRI-3841" TargetMode="External"/><Relationship Id="rId759" Type="http://schemas.openxmlformats.org/officeDocument/2006/relationships/hyperlink" Target="https://issues.sierrawireless.com/browse/OEMPRI-2682" TargetMode="External"/><Relationship Id="rId516" Type="http://schemas.openxmlformats.org/officeDocument/2006/relationships/hyperlink" Target="https://issues.sierrawireless.com/browse/OEMPRI-3842" TargetMode="External"/><Relationship Id="rId758" Type="http://schemas.openxmlformats.org/officeDocument/2006/relationships/hyperlink" Target="https://issues.sierrawireless.com/browse/OEMPRI-2677" TargetMode="External"/><Relationship Id="rId515" Type="http://schemas.openxmlformats.org/officeDocument/2006/relationships/hyperlink" Target="https://issues.sierrawireless.com/browse/OEMPRI-3843" TargetMode="External"/><Relationship Id="rId757" Type="http://schemas.openxmlformats.org/officeDocument/2006/relationships/hyperlink" Target="https://issues.sierrawireless.com/browse/OEMPRI-2678" TargetMode="External"/><Relationship Id="rId999" Type="http://schemas.openxmlformats.org/officeDocument/2006/relationships/hyperlink" Target="https://issues.sierrawireless.com/browse/OEMPRI-1768" TargetMode="External"/><Relationship Id="rId15" Type="http://schemas.openxmlformats.org/officeDocument/2006/relationships/hyperlink" Target="https://issues.sierrawireless.com/browse/OEMPRI-5624" TargetMode="External"/><Relationship Id="rId990" Type="http://schemas.openxmlformats.org/officeDocument/2006/relationships/hyperlink" Target="https://issues.sierrawireless.com/browse/OEMPRI-1820" TargetMode="External"/><Relationship Id="rId14" Type="http://schemas.openxmlformats.org/officeDocument/2006/relationships/hyperlink" Target="https://issues.sierrawireless.com/browse/OEMPRI-5967" TargetMode="External"/><Relationship Id="rId17" Type="http://schemas.openxmlformats.org/officeDocument/2006/relationships/hyperlink" Target="https://issues.sierrawireless.com/browse/OEMPRI-5381" TargetMode="External"/><Relationship Id="rId16" Type="http://schemas.openxmlformats.org/officeDocument/2006/relationships/hyperlink" Target="https://issues.sierrawireless.com/browse/OEMPRI-5402" TargetMode="External"/><Relationship Id="rId19" Type="http://schemas.openxmlformats.org/officeDocument/2006/relationships/hyperlink" Target="https://issues.sierrawireless.com/browse/OEMPRI-5376" TargetMode="External"/><Relationship Id="rId510" Type="http://schemas.openxmlformats.org/officeDocument/2006/relationships/hyperlink" Target="https://issues.sierrawireless.com/browse/OEMPRI-3853" TargetMode="External"/><Relationship Id="rId752" Type="http://schemas.openxmlformats.org/officeDocument/2006/relationships/hyperlink" Target="https://issues.sierrawireless.com/browse/OEMPRI-2684" TargetMode="External"/><Relationship Id="rId994" Type="http://schemas.openxmlformats.org/officeDocument/2006/relationships/hyperlink" Target="https://issues.sierrawireless.com/browse/OEMPRI-1625" TargetMode="External"/><Relationship Id="rId18" Type="http://schemas.openxmlformats.org/officeDocument/2006/relationships/hyperlink" Target="https://issues.sierrawireless.com/browse/OEMPRI-5377" TargetMode="External"/><Relationship Id="rId751" Type="http://schemas.openxmlformats.org/officeDocument/2006/relationships/hyperlink" Target="https://issues.sierrawireless.com/browse/OEMPRI-2685" TargetMode="External"/><Relationship Id="rId993" Type="http://schemas.openxmlformats.org/officeDocument/2006/relationships/hyperlink" Target="https://issues.sierrawireless.com/browse/OEMPRI-1621" TargetMode="External"/><Relationship Id="rId1100" Type="http://schemas.openxmlformats.org/officeDocument/2006/relationships/hyperlink" Target="https://issues.sierrawireless.com/browse/OEMPRI-1910" TargetMode="External"/><Relationship Id="rId750" Type="http://schemas.openxmlformats.org/officeDocument/2006/relationships/hyperlink" Target="https://issues.sierrawireless.com/browse/OEMPRI-2686" TargetMode="External"/><Relationship Id="rId992" Type="http://schemas.openxmlformats.org/officeDocument/2006/relationships/hyperlink" Target="https://issues.sierrawireless.com/browse/OEMPRI-1818" TargetMode="External"/><Relationship Id="rId1101" Type="http://schemas.openxmlformats.org/officeDocument/2006/relationships/hyperlink" Target="https://issues.sierrawireless.com/browse/OEMPRI-1913" TargetMode="External"/><Relationship Id="rId991" Type="http://schemas.openxmlformats.org/officeDocument/2006/relationships/hyperlink" Target="https://issues.sierrawireless.com/browse/OEMPRI-1819" TargetMode="External"/><Relationship Id="rId1102" Type="http://schemas.openxmlformats.org/officeDocument/2006/relationships/hyperlink" Target="https://issues.sierrawireless.com/browse/OEMPRI-1912" TargetMode="External"/><Relationship Id="rId84" Type="http://schemas.openxmlformats.org/officeDocument/2006/relationships/hyperlink" Target="https://issues.sierrawireless.com/browse/OEMPRI-5210" TargetMode="External"/><Relationship Id="rId83" Type="http://schemas.openxmlformats.org/officeDocument/2006/relationships/hyperlink" Target="https://issues.sierrawireless.com/browse/OEMPRI-5211" TargetMode="External"/><Relationship Id="rId86" Type="http://schemas.openxmlformats.org/officeDocument/2006/relationships/hyperlink" Target="https://issues.sierrawireless.com/browse/OEMPRI-5196" TargetMode="External"/><Relationship Id="rId85" Type="http://schemas.openxmlformats.org/officeDocument/2006/relationships/hyperlink" Target="https://issues.sierrawireless.com/browse/OEMPRI-5194" TargetMode="External"/><Relationship Id="rId88" Type="http://schemas.openxmlformats.org/officeDocument/2006/relationships/hyperlink" Target="https://issues.sierrawireless.com/browse/OEMPRI-5177" TargetMode="External"/><Relationship Id="rId87" Type="http://schemas.openxmlformats.org/officeDocument/2006/relationships/hyperlink" Target="https://issues.sierrawireless.com/browse/OEMPRI-5195" TargetMode="External"/><Relationship Id="rId89" Type="http://schemas.openxmlformats.org/officeDocument/2006/relationships/hyperlink" Target="https://issues.sierrawireless.com/browse/OEMPRI-5173" TargetMode="External"/><Relationship Id="rId709" Type="http://schemas.openxmlformats.org/officeDocument/2006/relationships/hyperlink" Target="https://issues.sierrawireless.com/browse/OEMPRI-2940" TargetMode="External"/><Relationship Id="rId708" Type="http://schemas.openxmlformats.org/officeDocument/2006/relationships/hyperlink" Target="https://issues.sierrawireless.com/browse/OEMPRI-2946" TargetMode="External"/><Relationship Id="rId707" Type="http://schemas.openxmlformats.org/officeDocument/2006/relationships/hyperlink" Target="https://issues.sierrawireless.com/browse/OEMPRI-2947" TargetMode="External"/><Relationship Id="rId949" Type="http://schemas.openxmlformats.org/officeDocument/2006/relationships/hyperlink" Target="https://issues.sierrawireless.com/browse/OEMPRI-1596" TargetMode="External"/><Relationship Id="rId706" Type="http://schemas.openxmlformats.org/officeDocument/2006/relationships/hyperlink" Target="https://issues.sierrawireless.com/browse/OEMPRI-2951" TargetMode="External"/><Relationship Id="rId948" Type="http://schemas.openxmlformats.org/officeDocument/2006/relationships/hyperlink" Target="https://issues.sierrawireless.com/browse/OEMPRI-1684" TargetMode="External"/><Relationship Id="rId80" Type="http://schemas.openxmlformats.org/officeDocument/2006/relationships/hyperlink" Target="https://issues.sierrawireless.com/browse/OEMPRI-5213" TargetMode="External"/><Relationship Id="rId82" Type="http://schemas.openxmlformats.org/officeDocument/2006/relationships/hyperlink" Target="https://issues.sierrawireless.com/browse/OEMPRI-5212" TargetMode="External"/><Relationship Id="rId81" Type="http://schemas.openxmlformats.org/officeDocument/2006/relationships/hyperlink" Target="https://issues.sierrawireless.com/browse/OEMPRI-5226" TargetMode="External"/><Relationship Id="rId701" Type="http://schemas.openxmlformats.org/officeDocument/2006/relationships/hyperlink" Target="https://issues.sierrawireless.com/browse/OEMPRI-2984" TargetMode="External"/><Relationship Id="rId943" Type="http://schemas.openxmlformats.org/officeDocument/2006/relationships/hyperlink" Target="https://issues.sierrawireless.com/browse/OEMPRI-1813" TargetMode="External"/><Relationship Id="rId700" Type="http://schemas.openxmlformats.org/officeDocument/2006/relationships/hyperlink" Target="https://issues.sierrawireless.com/browse/OEMPRI-2988" TargetMode="External"/><Relationship Id="rId942" Type="http://schemas.openxmlformats.org/officeDocument/2006/relationships/hyperlink" Target="https://issues.sierrawireless.com/browse/OEMPRI-1640" TargetMode="External"/><Relationship Id="rId941" Type="http://schemas.openxmlformats.org/officeDocument/2006/relationships/hyperlink" Target="https://issues.sierrawireless.com/browse/OEMPRI-1752" TargetMode="External"/><Relationship Id="rId940" Type="http://schemas.openxmlformats.org/officeDocument/2006/relationships/hyperlink" Target="https://issues.sierrawireless.com/browse/OEMPRI-1808" TargetMode="External"/><Relationship Id="rId705" Type="http://schemas.openxmlformats.org/officeDocument/2006/relationships/hyperlink" Target="https://issues.sierrawireless.com/browse/OEMPRI-2957" TargetMode="External"/><Relationship Id="rId947" Type="http://schemas.openxmlformats.org/officeDocument/2006/relationships/hyperlink" Target="https://issues.sierrawireless.com/browse/OEMPRI-1809" TargetMode="External"/><Relationship Id="rId704" Type="http://schemas.openxmlformats.org/officeDocument/2006/relationships/hyperlink" Target="https://issues.sierrawireless.com/browse/OEMPRI-2973" TargetMode="External"/><Relationship Id="rId946" Type="http://schemas.openxmlformats.org/officeDocument/2006/relationships/hyperlink" Target="https://issues.sierrawireless.com/browse/OEMPRI-1810" TargetMode="External"/><Relationship Id="rId703" Type="http://schemas.openxmlformats.org/officeDocument/2006/relationships/hyperlink" Target="https://issues.sierrawireless.com/browse/OEMPRI-2976" TargetMode="External"/><Relationship Id="rId945" Type="http://schemas.openxmlformats.org/officeDocument/2006/relationships/hyperlink" Target="https://issues.sierrawireless.com/browse/OEMPRI-1811" TargetMode="External"/><Relationship Id="rId702" Type="http://schemas.openxmlformats.org/officeDocument/2006/relationships/hyperlink" Target="https://issues.sierrawireless.com/browse/OEMPRI-2980" TargetMode="External"/><Relationship Id="rId944" Type="http://schemas.openxmlformats.org/officeDocument/2006/relationships/hyperlink" Target="https://issues.sierrawireless.com/browse/OEMPRI-1812" TargetMode="External"/><Relationship Id="rId73" Type="http://schemas.openxmlformats.org/officeDocument/2006/relationships/hyperlink" Target="https://issues.sierrawireless.com/browse/OEMPRI-5228" TargetMode="External"/><Relationship Id="rId72" Type="http://schemas.openxmlformats.org/officeDocument/2006/relationships/hyperlink" Target="https://issues.sierrawireless.com/browse/OEMPRI-5215" TargetMode="External"/><Relationship Id="rId75" Type="http://schemas.openxmlformats.org/officeDocument/2006/relationships/hyperlink" Target="https://issues.sierrawireless.com/browse/OEMPRI-5227" TargetMode="External"/><Relationship Id="rId74" Type="http://schemas.openxmlformats.org/officeDocument/2006/relationships/hyperlink" Target="https://issues.sierrawireless.com/browse/OEMPRI-5230" TargetMode="External"/><Relationship Id="rId77" Type="http://schemas.openxmlformats.org/officeDocument/2006/relationships/hyperlink" Target="https://issues.sierrawireless.com/browse/OEMPRI-5229" TargetMode="External"/><Relationship Id="rId76" Type="http://schemas.openxmlformats.org/officeDocument/2006/relationships/hyperlink" Target="https://issues.sierrawireless.com/browse/OEMPRI-5209" TargetMode="External"/><Relationship Id="rId79" Type="http://schemas.openxmlformats.org/officeDocument/2006/relationships/hyperlink" Target="https://issues.sierrawireless.com/browse/OEMPRI-5214" TargetMode="External"/><Relationship Id="rId78" Type="http://schemas.openxmlformats.org/officeDocument/2006/relationships/hyperlink" Target="https://issues.sierrawireless.com/browse/OEMPRI-5225" TargetMode="External"/><Relationship Id="rId939" Type="http://schemas.openxmlformats.org/officeDocument/2006/relationships/hyperlink" Target="https://issues.sierrawireless.com/browse/OEMPRI-1595" TargetMode="External"/><Relationship Id="rId938" Type="http://schemas.openxmlformats.org/officeDocument/2006/relationships/hyperlink" Target="https://issues.sierrawireless.com/browse/OEMPRI-1612" TargetMode="External"/><Relationship Id="rId937" Type="http://schemas.openxmlformats.org/officeDocument/2006/relationships/hyperlink" Target="https://issues.sierrawireless.com/browse/OEMPRI-1791" TargetMode="External"/><Relationship Id="rId71" Type="http://schemas.openxmlformats.org/officeDocument/2006/relationships/hyperlink" Target="https://issues.sierrawireless.com/browse/OEMPRI-5216" TargetMode="External"/><Relationship Id="rId70" Type="http://schemas.openxmlformats.org/officeDocument/2006/relationships/hyperlink" Target="https://issues.sierrawireless.com/browse/OEMPRI-5217" TargetMode="External"/><Relationship Id="rId932" Type="http://schemas.openxmlformats.org/officeDocument/2006/relationships/hyperlink" Target="https://issues.sierrawireless.com/browse/OEMPRI-1682" TargetMode="External"/><Relationship Id="rId931" Type="http://schemas.openxmlformats.org/officeDocument/2006/relationships/hyperlink" Target="https://issues.sierrawireless.com/browse/OEMPRI-1609" TargetMode="External"/><Relationship Id="rId930" Type="http://schemas.openxmlformats.org/officeDocument/2006/relationships/hyperlink" Target="https://issues.sierrawireless.com/browse/OEMPRI-1680" TargetMode="External"/><Relationship Id="rId936" Type="http://schemas.openxmlformats.org/officeDocument/2006/relationships/hyperlink" Target="https://issues.sierrawireless.com/browse/OEMPRI-1594" TargetMode="External"/><Relationship Id="rId935" Type="http://schemas.openxmlformats.org/officeDocument/2006/relationships/hyperlink" Target="https://issues.sierrawireless.com/browse/OEMPRI-1610" TargetMode="External"/><Relationship Id="rId934" Type="http://schemas.openxmlformats.org/officeDocument/2006/relationships/hyperlink" Target="https://issues.sierrawireless.com/browse/OEMPRI-1611" TargetMode="External"/><Relationship Id="rId933" Type="http://schemas.openxmlformats.org/officeDocument/2006/relationships/hyperlink" Target="https://issues.sierrawireless.com/browse/OEMPRI-1681" TargetMode="External"/><Relationship Id="rId62" Type="http://schemas.openxmlformats.org/officeDocument/2006/relationships/hyperlink" Target="https://issues.sierrawireless.com/browse/OEMPRI-5240" TargetMode="External"/><Relationship Id="rId61" Type="http://schemas.openxmlformats.org/officeDocument/2006/relationships/hyperlink" Target="https://issues.sierrawireless.com/browse/OEMPRI-5244" TargetMode="External"/><Relationship Id="rId64" Type="http://schemas.openxmlformats.org/officeDocument/2006/relationships/hyperlink" Target="https://issues.sierrawireless.com/browse/OEMPRI-5223" TargetMode="External"/><Relationship Id="rId63" Type="http://schemas.openxmlformats.org/officeDocument/2006/relationships/hyperlink" Target="https://issues.sierrawireless.com/browse/OEMPRI-5224" TargetMode="External"/><Relationship Id="rId66" Type="http://schemas.openxmlformats.org/officeDocument/2006/relationships/hyperlink" Target="https://issues.sierrawireless.com/browse/OEMPRI-5221" TargetMode="External"/><Relationship Id="rId65" Type="http://schemas.openxmlformats.org/officeDocument/2006/relationships/hyperlink" Target="https://issues.sierrawireless.com/browse/OEMPRI-5222" TargetMode="External"/><Relationship Id="rId68" Type="http://schemas.openxmlformats.org/officeDocument/2006/relationships/hyperlink" Target="https://issues.sierrawireless.com/browse/OEMPRI-5219" TargetMode="External"/><Relationship Id="rId67" Type="http://schemas.openxmlformats.org/officeDocument/2006/relationships/hyperlink" Target="https://issues.sierrawireless.com/browse/OEMPRI-5220" TargetMode="External"/><Relationship Id="rId729" Type="http://schemas.openxmlformats.org/officeDocument/2006/relationships/hyperlink" Target="https://issues.sierrawireless.com/browse/OEMPRI-2799" TargetMode="External"/><Relationship Id="rId728" Type="http://schemas.openxmlformats.org/officeDocument/2006/relationships/hyperlink" Target="https://issues.sierrawireless.com/browse/OEMPRI-2814" TargetMode="External"/><Relationship Id="rId60" Type="http://schemas.openxmlformats.org/officeDocument/2006/relationships/hyperlink" Target="https://issues.sierrawireless.com/browse/OEMPRI-5247" TargetMode="External"/><Relationship Id="rId723" Type="http://schemas.openxmlformats.org/officeDocument/2006/relationships/hyperlink" Target="https://issues.sierrawireless.com/browse/OEMPRI-2830" TargetMode="External"/><Relationship Id="rId965" Type="http://schemas.openxmlformats.org/officeDocument/2006/relationships/hyperlink" Target="https://issues.sierrawireless.com/browse/OEMPRI-1762" TargetMode="External"/><Relationship Id="rId722" Type="http://schemas.openxmlformats.org/officeDocument/2006/relationships/hyperlink" Target="https://issues.sierrawireless.com/browse/OEMPRI-2833" TargetMode="External"/><Relationship Id="rId964" Type="http://schemas.openxmlformats.org/officeDocument/2006/relationships/hyperlink" Target="https://issues.sierrawireless.com/browse/OEMPRI-1763" TargetMode="External"/><Relationship Id="rId721" Type="http://schemas.openxmlformats.org/officeDocument/2006/relationships/hyperlink" Target="https://issues.sierrawireless.com/browse/OEMPRI-2855" TargetMode="External"/><Relationship Id="rId963" Type="http://schemas.openxmlformats.org/officeDocument/2006/relationships/hyperlink" Target="https://issues.sierrawireless.com/browse/OEMPRI-1815" TargetMode="External"/><Relationship Id="rId720" Type="http://schemas.openxmlformats.org/officeDocument/2006/relationships/hyperlink" Target="https://issues.sierrawireless.com/browse/OEMPRI-2856" TargetMode="External"/><Relationship Id="rId962" Type="http://schemas.openxmlformats.org/officeDocument/2006/relationships/hyperlink" Target="https://issues.sierrawireless.com/browse/OEMPRI-1757" TargetMode="External"/><Relationship Id="rId727" Type="http://schemas.openxmlformats.org/officeDocument/2006/relationships/hyperlink" Target="https://issues.sierrawireless.com/browse/OEMPRI-2821" TargetMode="External"/><Relationship Id="rId969" Type="http://schemas.openxmlformats.org/officeDocument/2006/relationships/hyperlink" Target="https://issues.sierrawireless.com/browse/OEMPRI-1758" TargetMode="External"/><Relationship Id="rId726" Type="http://schemas.openxmlformats.org/officeDocument/2006/relationships/hyperlink" Target="https://issues.sierrawireless.com/browse/OEMPRI-2824" TargetMode="External"/><Relationship Id="rId968" Type="http://schemas.openxmlformats.org/officeDocument/2006/relationships/hyperlink" Target="https://issues.sierrawireless.com/browse/OEMPRI-1759" TargetMode="External"/><Relationship Id="rId725" Type="http://schemas.openxmlformats.org/officeDocument/2006/relationships/hyperlink" Target="https://issues.sierrawireless.com/browse/OEMPRI-2827" TargetMode="External"/><Relationship Id="rId967" Type="http://schemas.openxmlformats.org/officeDocument/2006/relationships/hyperlink" Target="https://issues.sierrawireless.com/browse/OEMPRI-1760" TargetMode="External"/><Relationship Id="rId724" Type="http://schemas.openxmlformats.org/officeDocument/2006/relationships/hyperlink" Target="https://issues.sierrawireless.com/browse/OEMPRI-2826" TargetMode="External"/><Relationship Id="rId966" Type="http://schemas.openxmlformats.org/officeDocument/2006/relationships/hyperlink" Target="https://issues.sierrawireless.com/browse/OEMPRI-1761" TargetMode="External"/><Relationship Id="rId69" Type="http://schemas.openxmlformats.org/officeDocument/2006/relationships/hyperlink" Target="https://issues.sierrawireless.com/browse/OEMPRI-5218" TargetMode="External"/><Relationship Id="rId961" Type="http://schemas.openxmlformats.org/officeDocument/2006/relationships/hyperlink" Target="https://issues.sierrawireless.com/browse/OEMPRI-1756" TargetMode="External"/><Relationship Id="rId960" Type="http://schemas.openxmlformats.org/officeDocument/2006/relationships/hyperlink" Target="https://issues.sierrawireless.com/browse/OEMPRI-1617" TargetMode="External"/><Relationship Id="rId51" Type="http://schemas.openxmlformats.org/officeDocument/2006/relationships/hyperlink" Target="https://issues.sierrawireless.com/browse/OEMPRI-5278" TargetMode="External"/><Relationship Id="rId50" Type="http://schemas.openxmlformats.org/officeDocument/2006/relationships/hyperlink" Target="https://issues.sierrawireless.com/browse/OEMPRI-5284" TargetMode="External"/><Relationship Id="rId53" Type="http://schemas.openxmlformats.org/officeDocument/2006/relationships/hyperlink" Target="https://issues.sierrawireless.com/browse/OEMPRI-5287" TargetMode="External"/><Relationship Id="rId52" Type="http://schemas.openxmlformats.org/officeDocument/2006/relationships/hyperlink" Target="https://issues.sierrawireless.com/browse/OEMPRI-5276" TargetMode="External"/><Relationship Id="rId55" Type="http://schemas.openxmlformats.org/officeDocument/2006/relationships/hyperlink" Target="https://issues.sierrawireless.com/browse/OEMPRI-5277" TargetMode="External"/><Relationship Id="rId54" Type="http://schemas.openxmlformats.org/officeDocument/2006/relationships/hyperlink" Target="https://issues.sierrawireless.com/browse/OEMPRI-5280" TargetMode="External"/><Relationship Id="rId57" Type="http://schemas.openxmlformats.org/officeDocument/2006/relationships/hyperlink" Target="https://issues.sierrawireless.com/browse/OEMPRI-5269" TargetMode="External"/><Relationship Id="rId56" Type="http://schemas.openxmlformats.org/officeDocument/2006/relationships/hyperlink" Target="https://issues.sierrawireless.com/browse/OEMPRI-5270" TargetMode="External"/><Relationship Id="rId719" Type="http://schemas.openxmlformats.org/officeDocument/2006/relationships/hyperlink" Target="https://issues.sierrawireless.com/browse/OEMPRI-2857" TargetMode="External"/><Relationship Id="rId718" Type="http://schemas.openxmlformats.org/officeDocument/2006/relationships/hyperlink" Target="https://issues.sierrawireless.com/browse/OEMPRI-2858" TargetMode="External"/><Relationship Id="rId717" Type="http://schemas.openxmlformats.org/officeDocument/2006/relationships/hyperlink" Target="https://issues.sierrawireless.com/browse/OEMPRI-2892" TargetMode="External"/><Relationship Id="rId959" Type="http://schemas.openxmlformats.org/officeDocument/2006/relationships/hyperlink" Target="https://issues.sierrawireless.com/browse/OEMPRI-1754" TargetMode="External"/><Relationship Id="rId712" Type="http://schemas.openxmlformats.org/officeDocument/2006/relationships/hyperlink" Target="https://issues.sierrawireless.com/browse/OEMPRI-2945" TargetMode="External"/><Relationship Id="rId954" Type="http://schemas.openxmlformats.org/officeDocument/2006/relationships/hyperlink" Target="https://issues.sierrawireless.com/browse/OEMPRI-1710" TargetMode="External"/><Relationship Id="rId711" Type="http://schemas.openxmlformats.org/officeDocument/2006/relationships/hyperlink" Target="https://issues.sierrawireless.com/browse/OEMPRI-2949" TargetMode="External"/><Relationship Id="rId953" Type="http://schemas.openxmlformats.org/officeDocument/2006/relationships/hyperlink" Target="https://issues.sierrawireless.com/browse/OEMPRI-1641" TargetMode="External"/><Relationship Id="rId710" Type="http://schemas.openxmlformats.org/officeDocument/2006/relationships/hyperlink" Target="https://issues.sierrawireless.com/browse/OEMPRI-2950" TargetMode="External"/><Relationship Id="rId952" Type="http://schemas.openxmlformats.org/officeDocument/2006/relationships/hyperlink" Target="https://issues.sierrawireless.com/browse/OEMPRI-1642" TargetMode="External"/><Relationship Id="rId951" Type="http://schemas.openxmlformats.org/officeDocument/2006/relationships/hyperlink" Target="https://issues.sierrawireless.com/browse/OEMPRI-1799" TargetMode="External"/><Relationship Id="rId716" Type="http://schemas.openxmlformats.org/officeDocument/2006/relationships/hyperlink" Target="https://issues.sierrawireless.com/browse/OEMPRI-2893" TargetMode="External"/><Relationship Id="rId958" Type="http://schemas.openxmlformats.org/officeDocument/2006/relationships/hyperlink" Target="https://issues.sierrawireless.com/browse/OEMPRI-1755" TargetMode="External"/><Relationship Id="rId715" Type="http://schemas.openxmlformats.org/officeDocument/2006/relationships/hyperlink" Target="https://issues.sierrawireless.com/browse/OEMPRI-2915" TargetMode="External"/><Relationship Id="rId957" Type="http://schemas.openxmlformats.org/officeDocument/2006/relationships/hyperlink" Target="https://issues.sierrawireless.com/browse/OEMPRI-1616" TargetMode="External"/><Relationship Id="rId714" Type="http://schemas.openxmlformats.org/officeDocument/2006/relationships/hyperlink" Target="https://issues.sierrawireless.com/browse/OEMPRI-2912" TargetMode="External"/><Relationship Id="rId956" Type="http://schemas.openxmlformats.org/officeDocument/2006/relationships/hyperlink" Target="https://issues.sierrawireless.com/browse/OEMPRI-1686" TargetMode="External"/><Relationship Id="rId713" Type="http://schemas.openxmlformats.org/officeDocument/2006/relationships/hyperlink" Target="https://issues.sierrawireless.com/browse/OEMPRI-2944" TargetMode="External"/><Relationship Id="rId955" Type="http://schemas.openxmlformats.org/officeDocument/2006/relationships/hyperlink" Target="https://issues.sierrawireless.com/browse/OEMPRI-1709" TargetMode="External"/><Relationship Id="rId59" Type="http://schemas.openxmlformats.org/officeDocument/2006/relationships/hyperlink" Target="https://issues.sierrawireless.com/browse/OEMPRI-5267" TargetMode="External"/><Relationship Id="rId58" Type="http://schemas.openxmlformats.org/officeDocument/2006/relationships/hyperlink" Target="https://issues.sierrawireless.com/browse/OEMPRI-5268" TargetMode="External"/><Relationship Id="rId950" Type="http://schemas.openxmlformats.org/officeDocument/2006/relationships/hyperlink" Target="https://issues.sierrawireless.com/browse/OEMPRI-1814" TargetMode="External"/><Relationship Id="rId590" Type="http://schemas.openxmlformats.org/officeDocument/2006/relationships/hyperlink" Target="https://issues.sierrawireless.com/browse/OEMPRI-3592" TargetMode="External"/><Relationship Id="rId107" Type="http://schemas.openxmlformats.org/officeDocument/2006/relationships/hyperlink" Target="https://issues.sierrawireless.com/browse/OEMPRI-5157" TargetMode="External"/><Relationship Id="rId349" Type="http://schemas.openxmlformats.org/officeDocument/2006/relationships/hyperlink" Target="https://issues.sierrawireless.com/browse/OEMPRI-4344" TargetMode="External"/><Relationship Id="rId106" Type="http://schemas.openxmlformats.org/officeDocument/2006/relationships/hyperlink" Target="https://issues.sierrawireless.com/browse/OEMPRI-5156" TargetMode="External"/><Relationship Id="rId348" Type="http://schemas.openxmlformats.org/officeDocument/2006/relationships/hyperlink" Target="https://issues.sierrawireless.com/browse/OEMPRI-4345" TargetMode="External"/><Relationship Id="rId105" Type="http://schemas.openxmlformats.org/officeDocument/2006/relationships/hyperlink" Target="https://issues.sierrawireless.com/browse/OEMPRI-5171" TargetMode="External"/><Relationship Id="rId347" Type="http://schemas.openxmlformats.org/officeDocument/2006/relationships/hyperlink" Target="https://issues.sierrawireless.com/browse/OEMPRI-4346" TargetMode="External"/><Relationship Id="rId589" Type="http://schemas.openxmlformats.org/officeDocument/2006/relationships/hyperlink" Target="https://issues.sierrawireless.com/browse/OEMPRI-3596" TargetMode="External"/><Relationship Id="rId104" Type="http://schemas.openxmlformats.org/officeDocument/2006/relationships/hyperlink" Target="https://issues.sierrawireless.com/browse/OEMPRI-5172" TargetMode="External"/><Relationship Id="rId346" Type="http://schemas.openxmlformats.org/officeDocument/2006/relationships/hyperlink" Target="https://issues.sierrawireless.com/browse/OEMPRI-4359" TargetMode="External"/><Relationship Id="rId588" Type="http://schemas.openxmlformats.org/officeDocument/2006/relationships/hyperlink" Target="https://issues.sierrawireless.com/browse/OEMPRI-3600" TargetMode="External"/><Relationship Id="rId109" Type="http://schemas.openxmlformats.org/officeDocument/2006/relationships/hyperlink" Target="https://issues.sierrawireless.com/browse/OEMPRI-5159" TargetMode="External"/><Relationship Id="rId1170" Type="http://schemas.openxmlformats.org/officeDocument/2006/relationships/hyperlink" Target="https://issues.sierrawireless.com/browse/OEMPRI-1873" TargetMode="External"/><Relationship Id="rId108" Type="http://schemas.openxmlformats.org/officeDocument/2006/relationships/hyperlink" Target="https://issues.sierrawireless.com/browse/OEMPRI-5160" TargetMode="External"/><Relationship Id="rId1171" Type="http://schemas.openxmlformats.org/officeDocument/2006/relationships/hyperlink" Target="https://issues.sierrawireless.com/browse/OEMPRI-1872" TargetMode="External"/><Relationship Id="rId341" Type="http://schemas.openxmlformats.org/officeDocument/2006/relationships/hyperlink" Target="https://issues.sierrawireless.com/browse/OEMPRI-4356" TargetMode="External"/><Relationship Id="rId583" Type="http://schemas.openxmlformats.org/officeDocument/2006/relationships/hyperlink" Target="https://issues.sierrawireless.com/browse/OEMPRI-3593" TargetMode="External"/><Relationship Id="rId1172" Type="http://schemas.openxmlformats.org/officeDocument/2006/relationships/hyperlink" Target="https://issues.sierrawireless.com/browse/OEMPRI-2094" TargetMode="External"/><Relationship Id="rId340" Type="http://schemas.openxmlformats.org/officeDocument/2006/relationships/hyperlink" Target="https://issues.sierrawireless.com/browse/OEMPRI-4357" TargetMode="External"/><Relationship Id="rId582" Type="http://schemas.openxmlformats.org/officeDocument/2006/relationships/hyperlink" Target="https://issues.sierrawireless.com/browse/OEMPRI-3594" TargetMode="External"/><Relationship Id="rId1173" Type="http://schemas.openxmlformats.org/officeDocument/2006/relationships/hyperlink" Target="https://issues.sierrawireless.com/browse/OEMPRI-2093" TargetMode="External"/><Relationship Id="rId581" Type="http://schemas.openxmlformats.org/officeDocument/2006/relationships/hyperlink" Target="https://issues.sierrawireless.com/browse/OEMPRI-3595" TargetMode="External"/><Relationship Id="rId1174" Type="http://schemas.openxmlformats.org/officeDocument/2006/relationships/hyperlink" Target="https://issues.sierrawireless.com/browse/OEMPRI-2029" TargetMode="External"/><Relationship Id="rId580" Type="http://schemas.openxmlformats.org/officeDocument/2006/relationships/hyperlink" Target="https://issues.sierrawireless.com/browse/OEMPRI-3597" TargetMode="External"/><Relationship Id="rId1175" Type="http://schemas.openxmlformats.org/officeDocument/2006/relationships/hyperlink" Target="https://issues.sierrawireless.com/browse/OEMPRI-2028" TargetMode="External"/><Relationship Id="rId103" Type="http://schemas.openxmlformats.org/officeDocument/2006/relationships/hyperlink" Target="https://issues.sierrawireless.com/browse/OEMPRI-5174" TargetMode="External"/><Relationship Id="rId345" Type="http://schemas.openxmlformats.org/officeDocument/2006/relationships/hyperlink" Target="https://issues.sierrawireless.com/browse/OEMPRI-4362" TargetMode="External"/><Relationship Id="rId587" Type="http://schemas.openxmlformats.org/officeDocument/2006/relationships/hyperlink" Target="https://issues.sierrawireless.com/browse/OEMPRI-3585" TargetMode="External"/><Relationship Id="rId1176" Type="http://schemas.openxmlformats.org/officeDocument/2006/relationships/hyperlink" Target="https://issues.sierrawireless.com/browse/OEMPRI-2027" TargetMode="External"/><Relationship Id="rId102" Type="http://schemas.openxmlformats.org/officeDocument/2006/relationships/hyperlink" Target="https://issues.sierrawireless.com/browse/OEMPRI-5175" TargetMode="External"/><Relationship Id="rId344" Type="http://schemas.openxmlformats.org/officeDocument/2006/relationships/hyperlink" Target="https://issues.sierrawireless.com/browse/OEMPRI-4366" TargetMode="External"/><Relationship Id="rId586" Type="http://schemas.openxmlformats.org/officeDocument/2006/relationships/hyperlink" Target="https://issues.sierrawireless.com/browse/OEMPRI-3586" TargetMode="External"/><Relationship Id="rId1177" Type="http://schemas.openxmlformats.org/officeDocument/2006/relationships/hyperlink" Target="https://issues.sierrawireless.com/browse/OEMPRI-2026" TargetMode="External"/><Relationship Id="rId101" Type="http://schemas.openxmlformats.org/officeDocument/2006/relationships/hyperlink" Target="https://issues.sierrawireless.com/browse/OEMPRI-5176" TargetMode="External"/><Relationship Id="rId343" Type="http://schemas.openxmlformats.org/officeDocument/2006/relationships/hyperlink" Target="https://issues.sierrawireless.com/browse/MFTSZ-15" TargetMode="External"/><Relationship Id="rId585" Type="http://schemas.openxmlformats.org/officeDocument/2006/relationships/hyperlink" Target="https://issues.sierrawireless.com/browse/OEMPRI-3589" TargetMode="External"/><Relationship Id="rId1178" Type="http://schemas.openxmlformats.org/officeDocument/2006/relationships/hyperlink" Target="https://issues.sierrawireless.com/browse/OEMPRI-2025" TargetMode="External"/><Relationship Id="rId100" Type="http://schemas.openxmlformats.org/officeDocument/2006/relationships/hyperlink" Target="https://issues.sierrawireless.com/browse/OEMPRI-5178" TargetMode="External"/><Relationship Id="rId342" Type="http://schemas.openxmlformats.org/officeDocument/2006/relationships/hyperlink" Target="https://issues.sierrawireless.com/browse/OEMPRI-4355" TargetMode="External"/><Relationship Id="rId584" Type="http://schemas.openxmlformats.org/officeDocument/2006/relationships/hyperlink" Target="https://issues.sierrawireless.com/browse/OEMPRI-3590" TargetMode="External"/><Relationship Id="rId1179" Type="http://schemas.openxmlformats.org/officeDocument/2006/relationships/hyperlink" Target="https://issues.sierrawireless.com/browse/OEMPRI-2024" TargetMode="External"/><Relationship Id="rId1169" Type="http://schemas.openxmlformats.org/officeDocument/2006/relationships/hyperlink" Target="https://issues.sierrawireless.com/browse/OEMPRI-1874" TargetMode="External"/><Relationship Id="rId338" Type="http://schemas.openxmlformats.org/officeDocument/2006/relationships/hyperlink" Target="https://issues.sierrawireless.com/browse/OEMPRI-4363" TargetMode="External"/><Relationship Id="rId337" Type="http://schemas.openxmlformats.org/officeDocument/2006/relationships/hyperlink" Target="https://issues.sierrawireless.com/browse/OEMPRI-4364" TargetMode="External"/><Relationship Id="rId579" Type="http://schemas.openxmlformats.org/officeDocument/2006/relationships/hyperlink" Target="https://issues.sierrawireless.com/browse/OEMPRI-3598" TargetMode="External"/><Relationship Id="rId336" Type="http://schemas.openxmlformats.org/officeDocument/2006/relationships/hyperlink" Target="https://issues.sierrawireless.com/browse/OEMPRI-4365" TargetMode="External"/><Relationship Id="rId578" Type="http://schemas.openxmlformats.org/officeDocument/2006/relationships/hyperlink" Target="https://issues.sierrawireless.com/browse/OEMPRI-3599" TargetMode="External"/><Relationship Id="rId335" Type="http://schemas.openxmlformats.org/officeDocument/2006/relationships/hyperlink" Target="https://issues.sierrawireless.com/browse/OEMPRI-4367" TargetMode="External"/><Relationship Id="rId577" Type="http://schemas.openxmlformats.org/officeDocument/2006/relationships/hyperlink" Target="https://issues.sierrawireless.com/browse/OEMPRI-3601" TargetMode="External"/><Relationship Id="rId339" Type="http://schemas.openxmlformats.org/officeDocument/2006/relationships/hyperlink" Target="https://issues.sierrawireless.com/browse/OEMPRI-4358" TargetMode="External"/><Relationship Id="rId1160" Type="http://schemas.openxmlformats.org/officeDocument/2006/relationships/hyperlink" Target="https://issues.sierrawireless.com/browse/OEMPRI-1870" TargetMode="External"/><Relationship Id="rId330" Type="http://schemas.openxmlformats.org/officeDocument/2006/relationships/hyperlink" Target="https://issues.sierrawireless.com/browse/OEMPRI-4406" TargetMode="External"/><Relationship Id="rId572" Type="http://schemas.openxmlformats.org/officeDocument/2006/relationships/hyperlink" Target="https://issues.sierrawireless.com/browse/OEMPRI-3615" TargetMode="External"/><Relationship Id="rId1161" Type="http://schemas.openxmlformats.org/officeDocument/2006/relationships/hyperlink" Target="https://issues.sierrawireless.com/browse/OEMPRI-1869" TargetMode="External"/><Relationship Id="rId571" Type="http://schemas.openxmlformats.org/officeDocument/2006/relationships/hyperlink" Target="https://issues.sierrawireless.com/browse/OEMPRI-3631" TargetMode="External"/><Relationship Id="rId1162" Type="http://schemas.openxmlformats.org/officeDocument/2006/relationships/hyperlink" Target="https://issues.sierrawireless.com/browse/OEMPRI-2122" TargetMode="External"/><Relationship Id="rId570" Type="http://schemas.openxmlformats.org/officeDocument/2006/relationships/hyperlink" Target="https://issues.sierrawireless.com/browse/OEMPRI-3632" TargetMode="External"/><Relationship Id="rId1163" Type="http://schemas.openxmlformats.org/officeDocument/2006/relationships/hyperlink" Target="https://issues.sierrawireless.com/browse/OEMPRI-2121" TargetMode="External"/><Relationship Id="rId1164" Type="http://schemas.openxmlformats.org/officeDocument/2006/relationships/hyperlink" Target="https://issues.sierrawireless.com/browse/OEMPRI-2019" TargetMode="External"/><Relationship Id="rId334" Type="http://schemas.openxmlformats.org/officeDocument/2006/relationships/hyperlink" Target="https://issues.sierrawireless.com/browse/OEMPRI-4380" TargetMode="External"/><Relationship Id="rId576" Type="http://schemas.openxmlformats.org/officeDocument/2006/relationships/hyperlink" Target="https://issues.sierrawireless.com/browse/OEMPRI-3602" TargetMode="External"/><Relationship Id="rId1165" Type="http://schemas.openxmlformats.org/officeDocument/2006/relationships/hyperlink" Target="https://issues.sierrawireless.com/browse/OEMPRI-1895" TargetMode="External"/><Relationship Id="rId333" Type="http://schemas.openxmlformats.org/officeDocument/2006/relationships/hyperlink" Target="https://issues.sierrawireless.com/browse/OEMPRI-4376" TargetMode="External"/><Relationship Id="rId575" Type="http://schemas.openxmlformats.org/officeDocument/2006/relationships/hyperlink" Target="https://issues.sierrawireless.com/browse/OEMPRI-3603" TargetMode="External"/><Relationship Id="rId1166" Type="http://schemas.openxmlformats.org/officeDocument/2006/relationships/hyperlink" Target="https://issues.sierrawireless.com/browse/OEMPRI-1894" TargetMode="External"/><Relationship Id="rId332" Type="http://schemas.openxmlformats.org/officeDocument/2006/relationships/hyperlink" Target="https://issues.sierrawireless.com/browse/OEMPRI-4387" TargetMode="External"/><Relationship Id="rId574" Type="http://schemas.openxmlformats.org/officeDocument/2006/relationships/hyperlink" Target="https://issues.sierrawireless.com/browse/OEMPRI-3607" TargetMode="External"/><Relationship Id="rId1167" Type="http://schemas.openxmlformats.org/officeDocument/2006/relationships/hyperlink" Target="https://issues.sierrawireless.com/browse/OEMPRI-1893" TargetMode="External"/><Relationship Id="rId331" Type="http://schemas.openxmlformats.org/officeDocument/2006/relationships/hyperlink" Target="https://issues.sierrawireless.com/browse/OEMPRI-4388" TargetMode="External"/><Relationship Id="rId573" Type="http://schemas.openxmlformats.org/officeDocument/2006/relationships/hyperlink" Target="https://issues.sierrawireless.com/browse/OEMPRI-3613" TargetMode="External"/><Relationship Id="rId1168" Type="http://schemas.openxmlformats.org/officeDocument/2006/relationships/hyperlink" Target="https://issues.sierrawireless.com/browse/OEMPRI-1892" TargetMode="External"/><Relationship Id="rId370" Type="http://schemas.openxmlformats.org/officeDocument/2006/relationships/hyperlink" Target="https://issues.sierrawireless.com/browse/OEMPRI-4295" TargetMode="External"/><Relationship Id="rId129" Type="http://schemas.openxmlformats.org/officeDocument/2006/relationships/hyperlink" Target="https://issues.sierrawireless.com/browse/OEMPRI-5102" TargetMode="External"/><Relationship Id="rId128" Type="http://schemas.openxmlformats.org/officeDocument/2006/relationships/hyperlink" Target="https://issues.sierrawireless.com/browse/OEMPRI-5095" TargetMode="External"/><Relationship Id="rId127" Type="http://schemas.openxmlformats.org/officeDocument/2006/relationships/hyperlink" Target="https://issues.sierrawireless.com/browse/OEMPRI-5090" TargetMode="External"/><Relationship Id="rId369" Type="http://schemas.openxmlformats.org/officeDocument/2006/relationships/hyperlink" Target="https://issues.sierrawireless.com/browse/OEMPRI-4296" TargetMode="External"/><Relationship Id="rId126" Type="http://schemas.openxmlformats.org/officeDocument/2006/relationships/hyperlink" Target="https://issues.sierrawireless.com/browse/OEMPRI-5091" TargetMode="External"/><Relationship Id="rId368" Type="http://schemas.openxmlformats.org/officeDocument/2006/relationships/hyperlink" Target="https://issues.sierrawireless.com/browse/OEMPRI-4297" TargetMode="External"/><Relationship Id="rId1190" Type="http://schemas.openxmlformats.org/officeDocument/2006/relationships/hyperlink" Target="https://issues.sierrawireless.com/browse/OEMPRI-2099" TargetMode="External"/><Relationship Id="rId1191" Type="http://schemas.openxmlformats.org/officeDocument/2006/relationships/hyperlink" Target="https://issues.sierrawireless.com/browse/OEMPRI-2098" TargetMode="External"/><Relationship Id="rId1192" Type="http://schemas.openxmlformats.org/officeDocument/2006/relationships/hyperlink" Target="https://issues.sierrawireless.com/browse/OEMPRI-2097" TargetMode="External"/><Relationship Id="rId1193" Type="http://schemas.openxmlformats.org/officeDocument/2006/relationships/hyperlink" Target="https://issues.sierrawireless.com/browse/OEMPRI-2066" TargetMode="External"/><Relationship Id="rId121" Type="http://schemas.openxmlformats.org/officeDocument/2006/relationships/hyperlink" Target="https://issues.sierrawireless.com/browse/OEMPRI-5131" TargetMode="External"/><Relationship Id="rId363" Type="http://schemas.openxmlformats.org/officeDocument/2006/relationships/hyperlink" Target="https://issues.sierrawireless.com/browse/OEMPRI-4322" TargetMode="External"/><Relationship Id="rId1194" Type="http://schemas.openxmlformats.org/officeDocument/2006/relationships/hyperlink" Target="https://issues.sierrawireless.com/browse/OEMPRI-1996" TargetMode="External"/><Relationship Id="rId120" Type="http://schemas.openxmlformats.org/officeDocument/2006/relationships/hyperlink" Target="https://issues.sierrawireless.com/browse/OEMPRI-5135" TargetMode="External"/><Relationship Id="rId362" Type="http://schemas.openxmlformats.org/officeDocument/2006/relationships/hyperlink" Target="https://issues.sierrawireless.com/browse/OEMPRI-4324" TargetMode="External"/><Relationship Id="rId1195" Type="http://schemas.openxmlformats.org/officeDocument/2006/relationships/hyperlink" Target="https://issues.sierrawireless.com/browse/OEMPRI-2141" TargetMode="External"/><Relationship Id="rId361" Type="http://schemas.openxmlformats.org/officeDocument/2006/relationships/hyperlink" Target="https://issues.sierrawireless.com/browse/OEMPRI-4332" TargetMode="External"/><Relationship Id="rId1196" Type="http://schemas.openxmlformats.org/officeDocument/2006/relationships/hyperlink" Target="https://issues.sierrawireless.com/browse/OEMPRI-1997" TargetMode="External"/><Relationship Id="rId360" Type="http://schemas.openxmlformats.org/officeDocument/2006/relationships/hyperlink" Target="https://issues.sierrawireless.com/browse/OEMPRI-4330" TargetMode="External"/><Relationship Id="rId1197" Type="http://schemas.openxmlformats.org/officeDocument/2006/relationships/hyperlink" Target="https://issues.sierrawireless.com/browse/OEMPRI-1962" TargetMode="External"/><Relationship Id="rId125" Type="http://schemas.openxmlformats.org/officeDocument/2006/relationships/hyperlink" Target="https://issues.sierrawireless.com/browse/OEMPRI-5100" TargetMode="External"/><Relationship Id="rId367" Type="http://schemas.openxmlformats.org/officeDocument/2006/relationships/hyperlink" Target="https://issues.sierrawireless.com/browse/OEMPRI-4298" TargetMode="External"/><Relationship Id="rId1198" Type="http://schemas.openxmlformats.org/officeDocument/2006/relationships/hyperlink" Target="https://issues.sierrawireless.com/browse/OEMPRI-1961" TargetMode="External"/><Relationship Id="rId124" Type="http://schemas.openxmlformats.org/officeDocument/2006/relationships/hyperlink" Target="https://issues.sierrawireless.com/browse/OEMPRI-5092" TargetMode="External"/><Relationship Id="rId366" Type="http://schemas.openxmlformats.org/officeDocument/2006/relationships/hyperlink" Target="https://issues.sierrawireless.com/browse/OEMPRI-4300" TargetMode="External"/><Relationship Id="rId1199" Type="http://schemas.openxmlformats.org/officeDocument/2006/relationships/hyperlink" Target="https://issues.sierrawireless.com/browse/OEMPRI-1960" TargetMode="External"/><Relationship Id="rId123" Type="http://schemas.openxmlformats.org/officeDocument/2006/relationships/hyperlink" Target="https://issues.sierrawireless.com/browse/OEMPRI-5094" TargetMode="External"/><Relationship Id="rId365" Type="http://schemas.openxmlformats.org/officeDocument/2006/relationships/hyperlink" Target="https://issues.sierrawireless.com/browse/OEMPRI-4305" TargetMode="External"/><Relationship Id="rId122" Type="http://schemas.openxmlformats.org/officeDocument/2006/relationships/hyperlink" Target="https://issues.sierrawireless.com/browse/OEMPRI-5127" TargetMode="External"/><Relationship Id="rId364" Type="http://schemas.openxmlformats.org/officeDocument/2006/relationships/hyperlink" Target="https://issues.sierrawireless.com/browse/OEMPRI-4307" TargetMode="External"/><Relationship Id="rId95" Type="http://schemas.openxmlformats.org/officeDocument/2006/relationships/hyperlink" Target="https://issues.sierrawireless.com/browse/OEMPRI-5165" TargetMode="External"/><Relationship Id="rId94" Type="http://schemas.openxmlformats.org/officeDocument/2006/relationships/hyperlink" Target="https://issues.sierrawireless.com/browse/OEMPRI-5166" TargetMode="External"/><Relationship Id="rId97" Type="http://schemas.openxmlformats.org/officeDocument/2006/relationships/hyperlink" Target="https://issues.sierrawireless.com/browse/OEMPRI-5163" TargetMode="External"/><Relationship Id="rId96" Type="http://schemas.openxmlformats.org/officeDocument/2006/relationships/hyperlink" Target="https://issues.sierrawireless.com/browse/OEMPRI-5164" TargetMode="External"/><Relationship Id="rId99" Type="http://schemas.openxmlformats.org/officeDocument/2006/relationships/hyperlink" Target="https://issues.sierrawireless.com/browse/OEMPRI-5179" TargetMode="External"/><Relationship Id="rId98" Type="http://schemas.openxmlformats.org/officeDocument/2006/relationships/hyperlink" Target="https://issues.sierrawireless.com/browse/OEMPRI-5162" TargetMode="External"/><Relationship Id="rId91" Type="http://schemas.openxmlformats.org/officeDocument/2006/relationships/hyperlink" Target="https://issues.sierrawireless.com/browse/OEMPRI-5169" TargetMode="External"/><Relationship Id="rId90" Type="http://schemas.openxmlformats.org/officeDocument/2006/relationships/hyperlink" Target="https://issues.sierrawireless.com/browse/OEMPRI-5170" TargetMode="External"/><Relationship Id="rId93" Type="http://schemas.openxmlformats.org/officeDocument/2006/relationships/hyperlink" Target="https://issues.sierrawireless.com/browse/OEMPRI-5167" TargetMode="External"/><Relationship Id="rId92" Type="http://schemas.openxmlformats.org/officeDocument/2006/relationships/hyperlink" Target="https://issues.sierrawireless.com/browse/OEMPRI-5168" TargetMode="External"/><Relationship Id="rId118" Type="http://schemas.openxmlformats.org/officeDocument/2006/relationships/hyperlink" Target="https://issues.sierrawireless.com/browse/OEMPRI-5141" TargetMode="External"/><Relationship Id="rId117" Type="http://schemas.openxmlformats.org/officeDocument/2006/relationships/hyperlink" Target="https://issues.sierrawireless.com/browse/OEMPRI-5142" TargetMode="External"/><Relationship Id="rId359" Type="http://schemas.openxmlformats.org/officeDocument/2006/relationships/hyperlink" Target="https://issues.sierrawireless.com/browse/OEMPRI-4336" TargetMode="External"/><Relationship Id="rId116" Type="http://schemas.openxmlformats.org/officeDocument/2006/relationships/hyperlink" Target="https://issues.sierrawireless.com/browse/OEMPRI-5134" TargetMode="External"/><Relationship Id="rId358" Type="http://schemas.openxmlformats.org/officeDocument/2006/relationships/hyperlink" Target="https://issues.sierrawireless.com/browse/FWTOOLS-101" TargetMode="External"/><Relationship Id="rId115" Type="http://schemas.openxmlformats.org/officeDocument/2006/relationships/hyperlink" Target="https://issues.sierrawireless.com/browse/OEMPRI-5140" TargetMode="External"/><Relationship Id="rId357" Type="http://schemas.openxmlformats.org/officeDocument/2006/relationships/hyperlink" Target="https://issues.sierrawireless.com/browse/OEMPRI-4335" TargetMode="External"/><Relationship Id="rId599" Type="http://schemas.openxmlformats.org/officeDocument/2006/relationships/hyperlink" Target="https://issues.sierrawireless.com/browse/OEMPRI-3552" TargetMode="External"/><Relationship Id="rId1180" Type="http://schemas.openxmlformats.org/officeDocument/2006/relationships/hyperlink" Target="https://issues.sierrawireless.com/browse/OEMPRI-2023" TargetMode="External"/><Relationship Id="rId1181" Type="http://schemas.openxmlformats.org/officeDocument/2006/relationships/hyperlink" Target="https://issues.sierrawireless.com/browse/OEMPRI-1896" TargetMode="External"/><Relationship Id="rId119" Type="http://schemas.openxmlformats.org/officeDocument/2006/relationships/hyperlink" Target="https://issues.sierrawireless.com/browse/OEMPRI-5139" TargetMode="External"/><Relationship Id="rId1182" Type="http://schemas.openxmlformats.org/officeDocument/2006/relationships/hyperlink" Target="https://issues.sierrawireless.com/browse/OEMPRI-1875" TargetMode="External"/><Relationship Id="rId110" Type="http://schemas.openxmlformats.org/officeDocument/2006/relationships/hyperlink" Target="https://issues.sierrawireless.com/browse/OEMPRI-5158" TargetMode="External"/><Relationship Id="rId352" Type="http://schemas.openxmlformats.org/officeDocument/2006/relationships/hyperlink" Target="https://issues.sierrawireless.com/browse/OEMPRI-4347" TargetMode="External"/><Relationship Id="rId594" Type="http://schemas.openxmlformats.org/officeDocument/2006/relationships/hyperlink" Target="https://issues.sierrawireless.com/browse/OEMPRI-3567" TargetMode="External"/><Relationship Id="rId1183" Type="http://schemas.openxmlformats.org/officeDocument/2006/relationships/hyperlink" Target="https://issues.sierrawireless.com/browse/OEMPRI-1846" TargetMode="External"/><Relationship Id="rId351" Type="http://schemas.openxmlformats.org/officeDocument/2006/relationships/hyperlink" Target="https://issues.sierrawireless.com/browse/OEMPRI-4350" TargetMode="External"/><Relationship Id="rId593" Type="http://schemas.openxmlformats.org/officeDocument/2006/relationships/hyperlink" Target="https://issues.sierrawireless.com/browse/OEMPRI-3576" TargetMode="External"/><Relationship Id="rId1184" Type="http://schemas.openxmlformats.org/officeDocument/2006/relationships/hyperlink" Target="https://issues.sierrawireless.com/browse/OEMPRI-2095" TargetMode="External"/><Relationship Id="rId350" Type="http://schemas.openxmlformats.org/officeDocument/2006/relationships/hyperlink" Target="https://issues.sierrawireless.com/browse/OEMPRI-4341" TargetMode="External"/><Relationship Id="rId592" Type="http://schemas.openxmlformats.org/officeDocument/2006/relationships/hyperlink" Target="https://issues.sierrawireless.com/browse/OEMPRI-3587" TargetMode="External"/><Relationship Id="rId1185" Type="http://schemas.openxmlformats.org/officeDocument/2006/relationships/hyperlink" Target="https://issues.sierrawireless.com/browse/OEMPRI-1994" TargetMode="External"/><Relationship Id="rId591" Type="http://schemas.openxmlformats.org/officeDocument/2006/relationships/hyperlink" Target="https://issues.sierrawireless.com/browse/OEMPRI-3588" TargetMode="External"/><Relationship Id="rId1186" Type="http://schemas.openxmlformats.org/officeDocument/2006/relationships/hyperlink" Target="https://issues.sierrawireless.com/browse/OEMPRI-1927" TargetMode="External"/><Relationship Id="rId114" Type="http://schemas.openxmlformats.org/officeDocument/2006/relationships/hyperlink" Target="https://issues.sierrawireless.com/browse/OEMPRI-5138" TargetMode="External"/><Relationship Id="rId356" Type="http://schemas.openxmlformats.org/officeDocument/2006/relationships/hyperlink" Target="https://issues.sierrawireless.com/browse/OEMPRI-4338" TargetMode="External"/><Relationship Id="rId598" Type="http://schemas.openxmlformats.org/officeDocument/2006/relationships/hyperlink" Target="https://issues.sierrawireless.com/browse/OEMPRI-3554" TargetMode="External"/><Relationship Id="rId1187" Type="http://schemas.openxmlformats.org/officeDocument/2006/relationships/hyperlink" Target="https://issues.sierrawireless.com/browse/OEMPRI-1926" TargetMode="External"/><Relationship Id="rId113" Type="http://schemas.openxmlformats.org/officeDocument/2006/relationships/hyperlink" Target="https://issues.sierrawireless.com/browse/OEMPRI-5152" TargetMode="External"/><Relationship Id="rId355" Type="http://schemas.openxmlformats.org/officeDocument/2006/relationships/hyperlink" Target="https://issues.sierrawireless.com/browse/SZAM-84" TargetMode="External"/><Relationship Id="rId597" Type="http://schemas.openxmlformats.org/officeDocument/2006/relationships/hyperlink" Target="https://issues.sierrawireless.com/browse/OEMPRI-3555" TargetMode="External"/><Relationship Id="rId1188" Type="http://schemas.openxmlformats.org/officeDocument/2006/relationships/hyperlink" Target="https://issues.sierrawireless.com/browse/OEMPRI-2101" TargetMode="External"/><Relationship Id="rId112" Type="http://schemas.openxmlformats.org/officeDocument/2006/relationships/hyperlink" Target="https://issues.sierrawireless.com/browse/OEMPRI-5151" TargetMode="External"/><Relationship Id="rId354" Type="http://schemas.openxmlformats.org/officeDocument/2006/relationships/hyperlink" Target="https://issues.sierrawireless.com/browse/OEMPRI-4339" TargetMode="External"/><Relationship Id="rId596" Type="http://schemas.openxmlformats.org/officeDocument/2006/relationships/hyperlink" Target="https://issues.sierrawireless.com/browse/OEMPRI-3556" TargetMode="External"/><Relationship Id="rId1189" Type="http://schemas.openxmlformats.org/officeDocument/2006/relationships/hyperlink" Target="https://issues.sierrawireless.com/browse/OEMPRI-2100" TargetMode="External"/><Relationship Id="rId111" Type="http://schemas.openxmlformats.org/officeDocument/2006/relationships/hyperlink" Target="https://issues.sierrawireless.com/browse/OEMPRI-5153" TargetMode="External"/><Relationship Id="rId353" Type="http://schemas.openxmlformats.org/officeDocument/2006/relationships/hyperlink" Target="https://issues.sierrawireless.com/browse/OEMPRI-4340" TargetMode="External"/><Relationship Id="rId595" Type="http://schemas.openxmlformats.org/officeDocument/2006/relationships/hyperlink" Target="https://issues.sierrawireless.com/browse/OEMPRI-3566" TargetMode="External"/><Relationship Id="rId1136" Type="http://schemas.openxmlformats.org/officeDocument/2006/relationships/hyperlink" Target="https://issues.sierrawireless.com/browse/OEMPRI-2118" TargetMode="External"/><Relationship Id="rId1137" Type="http://schemas.openxmlformats.org/officeDocument/2006/relationships/hyperlink" Target="https://issues.sierrawireless.com/browse/OEMPRI-2011" TargetMode="External"/><Relationship Id="rId1138" Type="http://schemas.openxmlformats.org/officeDocument/2006/relationships/hyperlink" Target="https://issues.sierrawireless.com/browse/OEMPRI-1867" TargetMode="External"/><Relationship Id="rId1139" Type="http://schemas.openxmlformats.org/officeDocument/2006/relationships/hyperlink" Target="https://issues.sierrawireless.com/browse/OEMPRI-2085" TargetMode="External"/><Relationship Id="rId305" Type="http://schemas.openxmlformats.org/officeDocument/2006/relationships/hyperlink" Target="https://issues.sierrawireless.com/browse/OEMPRI-4470" TargetMode="External"/><Relationship Id="rId547" Type="http://schemas.openxmlformats.org/officeDocument/2006/relationships/hyperlink" Target="https://issues.sierrawireless.com/browse/OEMPRI-3750" TargetMode="External"/><Relationship Id="rId789" Type="http://schemas.openxmlformats.org/officeDocument/2006/relationships/hyperlink" Target="https://issues.sierrawireless.com/browse/OEMPRI-2412" TargetMode="External"/><Relationship Id="rId304" Type="http://schemas.openxmlformats.org/officeDocument/2006/relationships/hyperlink" Target="https://issues.sierrawireless.com/browse/OEMPRI-4471" TargetMode="External"/><Relationship Id="rId546" Type="http://schemas.openxmlformats.org/officeDocument/2006/relationships/hyperlink" Target="https://issues.sierrawireless.com/browse/OEMPRI-3752" TargetMode="External"/><Relationship Id="rId788" Type="http://schemas.openxmlformats.org/officeDocument/2006/relationships/hyperlink" Target="https://issues.sierrawireless.com/browse/OEMPRI-2483" TargetMode="External"/><Relationship Id="rId303" Type="http://schemas.openxmlformats.org/officeDocument/2006/relationships/hyperlink" Target="https://issues.sierrawireless.com/browse/OEMPRI-4472" TargetMode="External"/><Relationship Id="rId545" Type="http://schemas.openxmlformats.org/officeDocument/2006/relationships/hyperlink" Target="https://issues.sierrawireless.com/browse/OEMPRI-3753" TargetMode="External"/><Relationship Id="rId787" Type="http://schemas.openxmlformats.org/officeDocument/2006/relationships/hyperlink" Target="https://issues.sierrawireless.com/browse/OEMPRI-2511" TargetMode="External"/><Relationship Id="rId302" Type="http://schemas.openxmlformats.org/officeDocument/2006/relationships/hyperlink" Target="https://issues.sierrawireless.com/browse/OEMPRI-4473" TargetMode="External"/><Relationship Id="rId544" Type="http://schemas.openxmlformats.org/officeDocument/2006/relationships/hyperlink" Target="https://issues.sierrawireless.com/browse/OEMPRI-3754" TargetMode="External"/><Relationship Id="rId786" Type="http://schemas.openxmlformats.org/officeDocument/2006/relationships/hyperlink" Target="https://issues.sierrawireless.com/browse/OEMPRI-2513" TargetMode="External"/><Relationship Id="rId309" Type="http://schemas.openxmlformats.org/officeDocument/2006/relationships/hyperlink" Target="https://issues.sierrawireless.com/browse/OEMPRI-4466" TargetMode="External"/><Relationship Id="rId308" Type="http://schemas.openxmlformats.org/officeDocument/2006/relationships/hyperlink" Target="https://issues.sierrawireless.com/browse/OEMPRI-4467" TargetMode="External"/><Relationship Id="rId307" Type="http://schemas.openxmlformats.org/officeDocument/2006/relationships/hyperlink" Target="https://issues.sierrawireless.com/browse/OEMPRI-4468" TargetMode="External"/><Relationship Id="rId549" Type="http://schemas.openxmlformats.org/officeDocument/2006/relationships/hyperlink" Target="https://issues.sierrawireless.com/browse/OEMPRI-3748" TargetMode="External"/><Relationship Id="rId306" Type="http://schemas.openxmlformats.org/officeDocument/2006/relationships/hyperlink" Target="https://issues.sierrawireless.com/browse/OEMPRI-4469" TargetMode="External"/><Relationship Id="rId548" Type="http://schemas.openxmlformats.org/officeDocument/2006/relationships/hyperlink" Target="https://issues.sierrawireless.com/browse/OEMPRI-3749" TargetMode="External"/><Relationship Id="rId781" Type="http://schemas.openxmlformats.org/officeDocument/2006/relationships/hyperlink" Target="https://issues.sierrawireless.com/browse/OEMPRI-2583" TargetMode="External"/><Relationship Id="rId780" Type="http://schemas.openxmlformats.org/officeDocument/2006/relationships/hyperlink" Target="https://issues.sierrawireless.com/browse/OEMPRI-2584" TargetMode="External"/><Relationship Id="rId1130" Type="http://schemas.openxmlformats.org/officeDocument/2006/relationships/hyperlink" Target="https://issues.sierrawireless.com/browse/OEMPRI-1866" TargetMode="External"/><Relationship Id="rId1131" Type="http://schemas.openxmlformats.org/officeDocument/2006/relationships/hyperlink" Target="https://issues.sierrawireless.com/browse/OEMPRI-1865" TargetMode="External"/><Relationship Id="rId301" Type="http://schemas.openxmlformats.org/officeDocument/2006/relationships/hyperlink" Target="https://issues.sierrawireless.com/browse/OEMPRI-4474" TargetMode="External"/><Relationship Id="rId543" Type="http://schemas.openxmlformats.org/officeDocument/2006/relationships/hyperlink" Target="https://issues.sierrawireless.com/browse/OEMPRI-3755" TargetMode="External"/><Relationship Id="rId785" Type="http://schemas.openxmlformats.org/officeDocument/2006/relationships/hyperlink" Target="https://issues.sierrawireless.com/browse/OEMPRI-2514" TargetMode="External"/><Relationship Id="rId1132" Type="http://schemas.openxmlformats.org/officeDocument/2006/relationships/hyperlink" Target="https://issues.sierrawireless.com/browse/OEMPRI-1864" TargetMode="External"/><Relationship Id="rId300" Type="http://schemas.openxmlformats.org/officeDocument/2006/relationships/hyperlink" Target="https://issues.sierrawireless.com/browse/OEMPRI-4475" TargetMode="External"/><Relationship Id="rId542" Type="http://schemas.openxmlformats.org/officeDocument/2006/relationships/hyperlink" Target="https://issues.sierrawireless.com/browse/OEMPRI-3757" TargetMode="External"/><Relationship Id="rId784" Type="http://schemas.openxmlformats.org/officeDocument/2006/relationships/hyperlink" Target="https://issues.sierrawireless.com/browse/OEMPRI-2523" TargetMode="External"/><Relationship Id="rId1133" Type="http://schemas.openxmlformats.org/officeDocument/2006/relationships/hyperlink" Target="https://issues.sierrawireless.com/browse/OEMPRI-1863" TargetMode="External"/><Relationship Id="rId541" Type="http://schemas.openxmlformats.org/officeDocument/2006/relationships/hyperlink" Target="https://issues.sierrawireless.com/browse/OEMPRI-3761" TargetMode="External"/><Relationship Id="rId783" Type="http://schemas.openxmlformats.org/officeDocument/2006/relationships/hyperlink" Target="https://issues.sierrawireless.com/browse/OEMPRI-2557" TargetMode="External"/><Relationship Id="rId1134" Type="http://schemas.openxmlformats.org/officeDocument/2006/relationships/hyperlink" Target="https://issues.sierrawireless.com/browse/OEMPRI-1862" TargetMode="External"/><Relationship Id="rId540" Type="http://schemas.openxmlformats.org/officeDocument/2006/relationships/hyperlink" Target="https://issues.sierrawireless.com/browse/OEMPRI-3782" TargetMode="External"/><Relationship Id="rId782" Type="http://schemas.openxmlformats.org/officeDocument/2006/relationships/hyperlink" Target="https://issues.sierrawireless.com/browse/OEMPRI-2579" TargetMode="External"/><Relationship Id="rId1135" Type="http://schemas.openxmlformats.org/officeDocument/2006/relationships/hyperlink" Target="https://issues.sierrawireless.com/browse/OEMPRI-1861" TargetMode="External"/><Relationship Id="rId1125" Type="http://schemas.openxmlformats.org/officeDocument/2006/relationships/hyperlink" Target="https://issues.sierrawireless.com/browse/OEMPRI-1917" TargetMode="External"/><Relationship Id="rId1126" Type="http://schemas.openxmlformats.org/officeDocument/2006/relationships/hyperlink" Target="https://issues.sierrawireless.com/browse/OEMPRI-1860" TargetMode="External"/><Relationship Id="rId1127" Type="http://schemas.openxmlformats.org/officeDocument/2006/relationships/hyperlink" Target="https://issues.sierrawireless.com/browse/OEMPRI-1844" TargetMode="External"/><Relationship Id="rId1128" Type="http://schemas.openxmlformats.org/officeDocument/2006/relationships/hyperlink" Target="https://issues.sierrawireless.com/browse/OEMPRI-1843" TargetMode="External"/><Relationship Id="rId1129" Type="http://schemas.openxmlformats.org/officeDocument/2006/relationships/hyperlink" Target="https://issues.sierrawireless.com/browse/OEMPRI-1955" TargetMode="External"/><Relationship Id="rId536" Type="http://schemas.openxmlformats.org/officeDocument/2006/relationships/hyperlink" Target="https://issues.sierrawireless.com/browse/OEMPRI-3775" TargetMode="External"/><Relationship Id="rId778" Type="http://schemas.openxmlformats.org/officeDocument/2006/relationships/hyperlink" Target="https://issues.sierrawireless.com/browse/OEMPRI-2586" TargetMode="External"/><Relationship Id="rId535" Type="http://schemas.openxmlformats.org/officeDocument/2006/relationships/hyperlink" Target="https://issues.sierrawireless.com/browse/OEMPRI-3776" TargetMode="External"/><Relationship Id="rId777" Type="http://schemas.openxmlformats.org/officeDocument/2006/relationships/hyperlink" Target="https://issues.sierrawireless.com/browse/OEMPRI-2587" TargetMode="External"/><Relationship Id="rId534" Type="http://schemas.openxmlformats.org/officeDocument/2006/relationships/hyperlink" Target="https://issues.sierrawireless.com/browse/OEMPRI-3777" TargetMode="External"/><Relationship Id="rId776" Type="http://schemas.openxmlformats.org/officeDocument/2006/relationships/hyperlink" Target="https://issues.sierrawireless.com/browse/OEMPRI-2590" TargetMode="External"/><Relationship Id="rId533" Type="http://schemas.openxmlformats.org/officeDocument/2006/relationships/hyperlink" Target="https://issues.sierrawireless.com/browse/OEMPRI-3778" TargetMode="External"/><Relationship Id="rId775" Type="http://schemas.openxmlformats.org/officeDocument/2006/relationships/hyperlink" Target="https://issues.sierrawireless.com/browse/OEMPRI-2591" TargetMode="External"/><Relationship Id="rId539" Type="http://schemas.openxmlformats.org/officeDocument/2006/relationships/hyperlink" Target="https://issues.sierrawireless.com/browse/OEMPRI-3772" TargetMode="External"/><Relationship Id="rId538" Type="http://schemas.openxmlformats.org/officeDocument/2006/relationships/hyperlink" Target="https://issues.sierrawireless.com/browse/OEMPRI-3773" TargetMode="External"/><Relationship Id="rId537" Type="http://schemas.openxmlformats.org/officeDocument/2006/relationships/hyperlink" Target="https://issues.sierrawireless.com/browse/OEMPRI-3774" TargetMode="External"/><Relationship Id="rId779" Type="http://schemas.openxmlformats.org/officeDocument/2006/relationships/hyperlink" Target="https://issues.sierrawireless.com/browse/OEMPRI-2585" TargetMode="External"/><Relationship Id="rId770" Type="http://schemas.openxmlformats.org/officeDocument/2006/relationships/hyperlink" Target="https://issues.sierrawireless.com/browse/OEMPRI-2601" TargetMode="External"/><Relationship Id="rId1120" Type="http://schemas.openxmlformats.org/officeDocument/2006/relationships/hyperlink" Target="https://issues.sierrawireless.com/browse/OEMPRI-1859" TargetMode="External"/><Relationship Id="rId532" Type="http://schemas.openxmlformats.org/officeDocument/2006/relationships/hyperlink" Target="https://issues.sierrawireless.com/browse/OEMPRI-3779" TargetMode="External"/><Relationship Id="rId774" Type="http://schemas.openxmlformats.org/officeDocument/2006/relationships/hyperlink" Target="https://issues.sierrawireless.com/browse/OEMPRI-2597" TargetMode="External"/><Relationship Id="rId1121" Type="http://schemas.openxmlformats.org/officeDocument/2006/relationships/hyperlink" Target="https://issues.sierrawireless.com/browse/OEMPRI-2009" TargetMode="External"/><Relationship Id="rId531" Type="http://schemas.openxmlformats.org/officeDocument/2006/relationships/hyperlink" Target="https://issues.sierrawireless.com/browse/OEMPRI-3780" TargetMode="External"/><Relationship Id="rId773" Type="http://schemas.openxmlformats.org/officeDocument/2006/relationships/hyperlink" Target="https://issues.sierrawireless.com/browse/OEMPRI-2598" TargetMode="External"/><Relationship Id="rId1122" Type="http://schemas.openxmlformats.org/officeDocument/2006/relationships/hyperlink" Target="https://issues.sierrawireless.com/browse/OEMPRI-1954" TargetMode="External"/><Relationship Id="rId530" Type="http://schemas.openxmlformats.org/officeDocument/2006/relationships/hyperlink" Target="https://issues.sierrawireless.com/browse/OEMPRI-3781" TargetMode="External"/><Relationship Id="rId772" Type="http://schemas.openxmlformats.org/officeDocument/2006/relationships/hyperlink" Target="https://issues.sierrawireless.com/browse/OEMPRI-2599" TargetMode="External"/><Relationship Id="rId1123" Type="http://schemas.openxmlformats.org/officeDocument/2006/relationships/hyperlink" Target="https://issues.sierrawireless.com/browse/OEMPRI-1953" TargetMode="External"/><Relationship Id="rId771" Type="http://schemas.openxmlformats.org/officeDocument/2006/relationships/hyperlink" Target="https://issues.sierrawireless.com/browse/OEMPRI-2600" TargetMode="External"/><Relationship Id="rId1124" Type="http://schemas.openxmlformats.org/officeDocument/2006/relationships/hyperlink" Target="https://issues.sierrawireless.com/browse/OEMPRI-1919" TargetMode="External"/><Relationship Id="rId1158" Type="http://schemas.openxmlformats.org/officeDocument/2006/relationships/hyperlink" Target="https://issues.sierrawireless.com/browse/OEMPRI-2018" TargetMode="External"/><Relationship Id="rId1159" Type="http://schemas.openxmlformats.org/officeDocument/2006/relationships/hyperlink" Target="https://issues.sierrawireless.com/browse/OEMPRI-1871" TargetMode="External"/><Relationship Id="rId327" Type="http://schemas.openxmlformats.org/officeDocument/2006/relationships/hyperlink" Target="https://issues.sierrawireless.com/browse/OEMPRI-4415" TargetMode="External"/><Relationship Id="rId569" Type="http://schemas.openxmlformats.org/officeDocument/2006/relationships/hyperlink" Target="https://issues.sierrawireless.com/browse/OEMPRI-3630" TargetMode="External"/><Relationship Id="rId326" Type="http://schemas.openxmlformats.org/officeDocument/2006/relationships/hyperlink" Target="https://issues.sierrawireless.com/browse/OEMPRI-4416" TargetMode="External"/><Relationship Id="rId568" Type="http://schemas.openxmlformats.org/officeDocument/2006/relationships/hyperlink" Target="https://issues.sierrawireless.com/browse/OEMPRI-3655" TargetMode="External"/><Relationship Id="rId325" Type="http://schemas.openxmlformats.org/officeDocument/2006/relationships/hyperlink" Target="https://issues.sierrawireless.com/browse/OEMPRI-4419" TargetMode="External"/><Relationship Id="rId567" Type="http://schemas.openxmlformats.org/officeDocument/2006/relationships/hyperlink" Target="https://issues.sierrawireless.com/browse/OEMPRI-3656" TargetMode="External"/><Relationship Id="rId324" Type="http://schemas.openxmlformats.org/officeDocument/2006/relationships/hyperlink" Target="https://issues.sierrawireless.com/browse/OEMPRI-4435" TargetMode="External"/><Relationship Id="rId566" Type="http://schemas.openxmlformats.org/officeDocument/2006/relationships/hyperlink" Target="https://issues.sierrawireless.com/browse/OEMPRI-3658" TargetMode="External"/><Relationship Id="rId329" Type="http://schemas.openxmlformats.org/officeDocument/2006/relationships/hyperlink" Target="https://issues.sierrawireless.com/browse/OEMPRI-4412" TargetMode="External"/><Relationship Id="rId328" Type="http://schemas.openxmlformats.org/officeDocument/2006/relationships/hyperlink" Target="https://issues.sierrawireless.com/browse/OEMPRI-4414" TargetMode="External"/><Relationship Id="rId561" Type="http://schemas.openxmlformats.org/officeDocument/2006/relationships/hyperlink" Target="https://issues.sierrawireless.com/browse/OEMPRI-3698" TargetMode="External"/><Relationship Id="rId1150" Type="http://schemas.openxmlformats.org/officeDocument/2006/relationships/hyperlink" Target="https://issues.sierrawireless.com/browse/OEMPRI-2064" TargetMode="External"/><Relationship Id="rId560" Type="http://schemas.openxmlformats.org/officeDocument/2006/relationships/hyperlink" Target="https://issues.sierrawireless.com/browse/OEMPRI-3700" TargetMode="External"/><Relationship Id="rId1151" Type="http://schemas.openxmlformats.org/officeDocument/2006/relationships/hyperlink" Target="https://issues.sierrawireless.com/browse/OEMPRI-2017" TargetMode="External"/><Relationship Id="rId1152" Type="http://schemas.openxmlformats.org/officeDocument/2006/relationships/hyperlink" Target="https://issues.sierrawireless.com/browse/OEMPRI-1959" TargetMode="External"/><Relationship Id="rId1153" Type="http://schemas.openxmlformats.org/officeDocument/2006/relationships/hyperlink" Target="https://issues.sierrawireless.com/browse/OEMPRI-1958" TargetMode="External"/><Relationship Id="rId323" Type="http://schemas.openxmlformats.org/officeDocument/2006/relationships/hyperlink" Target="https://issues.sierrawireless.com/browse/OEMPRI-4438" TargetMode="External"/><Relationship Id="rId565" Type="http://schemas.openxmlformats.org/officeDocument/2006/relationships/hyperlink" Target="https://issues.sierrawireless.com/browse/OEMPRI-3659" TargetMode="External"/><Relationship Id="rId1154" Type="http://schemas.openxmlformats.org/officeDocument/2006/relationships/hyperlink" Target="https://issues.sierrawireless.com/browse/OEMPRI-1891" TargetMode="External"/><Relationship Id="rId322" Type="http://schemas.openxmlformats.org/officeDocument/2006/relationships/hyperlink" Target="https://issues.sierrawireless.com/browse/OEMPRI-4442" TargetMode="External"/><Relationship Id="rId564" Type="http://schemas.openxmlformats.org/officeDocument/2006/relationships/hyperlink" Target="https://issues.sierrawireless.com/browse/OEMPRI-3660" TargetMode="External"/><Relationship Id="rId1155" Type="http://schemas.openxmlformats.org/officeDocument/2006/relationships/hyperlink" Target="https://issues.sierrawireless.com/browse/OEMPRI-1868" TargetMode="External"/><Relationship Id="rId321" Type="http://schemas.openxmlformats.org/officeDocument/2006/relationships/hyperlink" Target="https://issues.sierrawireless.com/browse/CORONADO-1476" TargetMode="External"/><Relationship Id="rId563" Type="http://schemas.openxmlformats.org/officeDocument/2006/relationships/hyperlink" Target="https://issues.sierrawireless.com/browse/OEMPRI-3675" TargetMode="External"/><Relationship Id="rId1156" Type="http://schemas.openxmlformats.org/officeDocument/2006/relationships/hyperlink" Target="https://issues.sierrawireless.com/browse/OEMPRI-2120" TargetMode="External"/><Relationship Id="rId320" Type="http://schemas.openxmlformats.org/officeDocument/2006/relationships/hyperlink" Target="https://issues.sierrawireless.com/browse/OEMPRI-4440" TargetMode="External"/><Relationship Id="rId562" Type="http://schemas.openxmlformats.org/officeDocument/2006/relationships/hyperlink" Target="https://issues.sierrawireless.com/browse/OEMPRI-3676" TargetMode="External"/><Relationship Id="rId1157" Type="http://schemas.openxmlformats.org/officeDocument/2006/relationships/hyperlink" Target="https://issues.sierrawireless.com/browse/OEMPRI-2065" TargetMode="External"/><Relationship Id="rId1147" Type="http://schemas.openxmlformats.org/officeDocument/2006/relationships/hyperlink" Target="https://issues.sierrawireless.com/browse/OEMPRI-2089" TargetMode="External"/><Relationship Id="rId1148" Type="http://schemas.openxmlformats.org/officeDocument/2006/relationships/hyperlink" Target="https://issues.sierrawireless.com/browse/OEMPRI-2088" TargetMode="External"/><Relationship Id="rId1149" Type="http://schemas.openxmlformats.org/officeDocument/2006/relationships/hyperlink" Target="https://issues.sierrawireless.com/browse/OEMPRI-1956" TargetMode="External"/><Relationship Id="rId316" Type="http://schemas.openxmlformats.org/officeDocument/2006/relationships/hyperlink" Target="https://issues.sierrawireless.com/browse/OEMPRI-4439" TargetMode="External"/><Relationship Id="rId558" Type="http://schemas.openxmlformats.org/officeDocument/2006/relationships/hyperlink" Target="https://issues.sierrawireless.com/browse/OEMPRI-3708" TargetMode="External"/><Relationship Id="rId315" Type="http://schemas.openxmlformats.org/officeDocument/2006/relationships/hyperlink" Target="https://issues.sierrawireless.com/browse/OEMPRI-4448" TargetMode="External"/><Relationship Id="rId557" Type="http://schemas.openxmlformats.org/officeDocument/2006/relationships/hyperlink" Target="https://issues.sierrawireless.com/browse/OEMPRI-3714" TargetMode="External"/><Relationship Id="rId799" Type="http://schemas.openxmlformats.org/officeDocument/2006/relationships/hyperlink" Target="https://issues.sierrawireless.com/browse/OEMPRI-2396" TargetMode="External"/><Relationship Id="rId314" Type="http://schemas.openxmlformats.org/officeDocument/2006/relationships/hyperlink" Target="https://issues.sierrawireless.com/browse/OEMPRI-4461" TargetMode="External"/><Relationship Id="rId556" Type="http://schemas.openxmlformats.org/officeDocument/2006/relationships/hyperlink" Target="https://issues.sierrawireless.com/browse/OEMPRI-3715" TargetMode="External"/><Relationship Id="rId798" Type="http://schemas.openxmlformats.org/officeDocument/2006/relationships/hyperlink" Target="https://issues.sierrawireless.com/browse/OEMPRI-2397" TargetMode="External"/><Relationship Id="rId313" Type="http://schemas.openxmlformats.org/officeDocument/2006/relationships/hyperlink" Target="https://issues.sierrawireless.com/browse/OEMPRI-4462" TargetMode="External"/><Relationship Id="rId555" Type="http://schemas.openxmlformats.org/officeDocument/2006/relationships/hyperlink" Target="https://issues.sierrawireless.com/browse/OEMPRI-3745" TargetMode="External"/><Relationship Id="rId797" Type="http://schemas.openxmlformats.org/officeDocument/2006/relationships/hyperlink" Target="https://issues.sierrawireless.com/browse/OEMPRI-2399" TargetMode="External"/><Relationship Id="rId319" Type="http://schemas.openxmlformats.org/officeDocument/2006/relationships/hyperlink" Target="https://issues.sierrawireless.com/browse/OEMPRI-4441" TargetMode="External"/><Relationship Id="rId318" Type="http://schemas.openxmlformats.org/officeDocument/2006/relationships/hyperlink" Target="https://issues.sierrawireless.com/browse/OEMPRI-4432" TargetMode="External"/><Relationship Id="rId317" Type="http://schemas.openxmlformats.org/officeDocument/2006/relationships/hyperlink" Target="https://issues.sierrawireless.com/browse/OEMPRI-4434" TargetMode="External"/><Relationship Id="rId559" Type="http://schemas.openxmlformats.org/officeDocument/2006/relationships/hyperlink" Target="https://issues.sierrawireless.com/browse/OEMPRI-3701" TargetMode="External"/><Relationship Id="rId550" Type="http://schemas.openxmlformats.org/officeDocument/2006/relationships/hyperlink" Target="https://issues.sierrawireless.com/browse/OEMPRI-3747" TargetMode="External"/><Relationship Id="rId792" Type="http://schemas.openxmlformats.org/officeDocument/2006/relationships/hyperlink" Target="https://issues.sierrawireless.com/browse/OEMPRI-2405" TargetMode="External"/><Relationship Id="rId791" Type="http://schemas.openxmlformats.org/officeDocument/2006/relationships/hyperlink" Target="https://issues.sierrawireless.com/browse/OEMPRI-2406" TargetMode="External"/><Relationship Id="rId1140" Type="http://schemas.openxmlformats.org/officeDocument/2006/relationships/hyperlink" Target="https://issues.sierrawireless.com/browse/OEMPRI-2015" TargetMode="External"/><Relationship Id="rId790" Type="http://schemas.openxmlformats.org/officeDocument/2006/relationships/hyperlink" Target="https://issues.sierrawireless.com/browse/OEMPRI-2411" TargetMode="External"/><Relationship Id="rId1141" Type="http://schemas.openxmlformats.org/officeDocument/2006/relationships/hyperlink" Target="https://issues.sierrawireless.com/browse/OEMPRI-2059" TargetMode="External"/><Relationship Id="rId1142" Type="http://schemas.openxmlformats.org/officeDocument/2006/relationships/hyperlink" Target="https://issues.sierrawireless.com/browse/OEMPRI-2058" TargetMode="External"/><Relationship Id="rId312" Type="http://schemas.openxmlformats.org/officeDocument/2006/relationships/hyperlink" Target="https://issues.sierrawireless.com/browse/OEMPRI-4463" TargetMode="External"/><Relationship Id="rId554" Type="http://schemas.openxmlformats.org/officeDocument/2006/relationships/hyperlink" Target="https://issues.sierrawireless.com/browse/OEMPRI-3751" TargetMode="External"/><Relationship Id="rId796" Type="http://schemas.openxmlformats.org/officeDocument/2006/relationships/hyperlink" Target="https://issues.sierrawireless.com/browse/OEMPRI-2400" TargetMode="External"/><Relationship Id="rId1143" Type="http://schemas.openxmlformats.org/officeDocument/2006/relationships/hyperlink" Target="https://issues.sierrawireless.com/browse/OEMPRI-1922" TargetMode="External"/><Relationship Id="rId311" Type="http://schemas.openxmlformats.org/officeDocument/2006/relationships/hyperlink" Target="https://issues.sierrawireless.com/browse/OEMPRI-4464" TargetMode="External"/><Relationship Id="rId553" Type="http://schemas.openxmlformats.org/officeDocument/2006/relationships/hyperlink" Target="https://issues.sierrawireless.com/browse/OEMPRI-3756" TargetMode="External"/><Relationship Id="rId795" Type="http://schemas.openxmlformats.org/officeDocument/2006/relationships/hyperlink" Target="https://issues.sierrawireless.com/browse/OEMPRI-2401" TargetMode="External"/><Relationship Id="rId1144" Type="http://schemas.openxmlformats.org/officeDocument/2006/relationships/hyperlink" Target="https://issues.sierrawireless.com/browse/OEMPRI-1921" TargetMode="External"/><Relationship Id="rId310" Type="http://schemas.openxmlformats.org/officeDocument/2006/relationships/hyperlink" Target="https://issues.sierrawireless.com/browse/OEMPRI-4465" TargetMode="External"/><Relationship Id="rId552" Type="http://schemas.openxmlformats.org/officeDocument/2006/relationships/hyperlink" Target="https://issues.sierrawireless.com/browse/OEMPRI-3759" TargetMode="External"/><Relationship Id="rId794" Type="http://schemas.openxmlformats.org/officeDocument/2006/relationships/hyperlink" Target="https://issues.sierrawireless.com/browse/OEMPRI-2402" TargetMode="External"/><Relationship Id="rId1145" Type="http://schemas.openxmlformats.org/officeDocument/2006/relationships/hyperlink" Target="https://issues.sierrawireless.com/browse/OEMPRI-2091" TargetMode="External"/><Relationship Id="rId551" Type="http://schemas.openxmlformats.org/officeDocument/2006/relationships/hyperlink" Target="https://issues.sierrawireless.com/browse/OEMPRI-3746" TargetMode="External"/><Relationship Id="rId793" Type="http://schemas.openxmlformats.org/officeDocument/2006/relationships/hyperlink" Target="https://issues.sierrawireless.com/browse/OEMPRI-2403" TargetMode="External"/><Relationship Id="rId1146" Type="http://schemas.openxmlformats.org/officeDocument/2006/relationships/hyperlink" Target="https://issues.sierrawireless.com/browse/OEMPRI-2090" TargetMode="External"/><Relationship Id="rId297" Type="http://schemas.openxmlformats.org/officeDocument/2006/relationships/hyperlink" Target="https://issues.sierrawireless.com/browse/OEMPRI-4478" TargetMode="External"/><Relationship Id="rId296" Type="http://schemas.openxmlformats.org/officeDocument/2006/relationships/hyperlink" Target="https://issues.sierrawireless.com/browse/OEMPRI-4479" TargetMode="External"/><Relationship Id="rId295" Type="http://schemas.openxmlformats.org/officeDocument/2006/relationships/hyperlink" Target="https://issues.sierrawireless.com/browse/OEMPRI-4480" TargetMode="External"/><Relationship Id="rId294" Type="http://schemas.openxmlformats.org/officeDocument/2006/relationships/hyperlink" Target="https://issues.sierrawireless.com/browse/OEMPRI-4481" TargetMode="External"/><Relationship Id="rId299" Type="http://schemas.openxmlformats.org/officeDocument/2006/relationships/hyperlink" Target="https://issues.sierrawireless.com/browse/OEMPRI-4476" TargetMode="External"/><Relationship Id="rId298" Type="http://schemas.openxmlformats.org/officeDocument/2006/relationships/hyperlink" Target="https://issues.sierrawireless.com/browse/OEMPRI-4477" TargetMode="External"/><Relationship Id="rId271" Type="http://schemas.openxmlformats.org/officeDocument/2006/relationships/hyperlink" Target="https://issues.sierrawireless.com/browse/OEMPRI-4510" TargetMode="External"/><Relationship Id="rId270" Type="http://schemas.openxmlformats.org/officeDocument/2006/relationships/hyperlink" Target="https://issues.sierrawireless.com/browse/OEMPRI-4512" TargetMode="External"/><Relationship Id="rId269" Type="http://schemas.openxmlformats.org/officeDocument/2006/relationships/hyperlink" Target="https://issues.sierrawireless.com/browse/OEMPRI-4514" TargetMode="External"/><Relationship Id="rId264" Type="http://schemas.openxmlformats.org/officeDocument/2006/relationships/hyperlink" Target="https://issues.sierrawireless.com/browse/OEMPRI-4570" TargetMode="External"/><Relationship Id="rId263" Type="http://schemas.openxmlformats.org/officeDocument/2006/relationships/hyperlink" Target="https://issues.sierrawireless.com/browse/OEMPRI-4571" TargetMode="External"/><Relationship Id="rId262" Type="http://schemas.openxmlformats.org/officeDocument/2006/relationships/hyperlink" Target="https://issues.sierrawireless.com/browse/OEMPRI-4572" TargetMode="External"/><Relationship Id="rId261" Type="http://schemas.openxmlformats.org/officeDocument/2006/relationships/hyperlink" Target="https://issues.sierrawireless.com/browse/OEMPRI-4573" TargetMode="External"/><Relationship Id="rId268" Type="http://schemas.openxmlformats.org/officeDocument/2006/relationships/hyperlink" Target="https://issues.sierrawireless.com/browse/OEMPRI-4509" TargetMode="External"/><Relationship Id="rId267" Type="http://schemas.openxmlformats.org/officeDocument/2006/relationships/hyperlink" Target="https://issues.sierrawireless.com/browse/OEMPRI-4532" TargetMode="External"/><Relationship Id="rId266" Type="http://schemas.openxmlformats.org/officeDocument/2006/relationships/hyperlink" Target="https://issues.sierrawireless.com/browse/OEMPRI-4533" TargetMode="External"/><Relationship Id="rId265" Type="http://schemas.openxmlformats.org/officeDocument/2006/relationships/hyperlink" Target="https://issues.sierrawireless.com/browse/OEMPRI-4535" TargetMode="External"/><Relationship Id="rId260" Type="http://schemas.openxmlformats.org/officeDocument/2006/relationships/hyperlink" Target="https://issues.sierrawireless.com/browse/OEMPRI-4581" TargetMode="External"/><Relationship Id="rId259" Type="http://schemas.openxmlformats.org/officeDocument/2006/relationships/hyperlink" Target="https://issues.sierrawireless.com/browse/OEMPRI-4583" TargetMode="External"/><Relationship Id="rId258" Type="http://schemas.openxmlformats.org/officeDocument/2006/relationships/hyperlink" Target="https://issues.sierrawireless.com/browse/OEMPRI-4582" TargetMode="External"/><Relationship Id="rId253" Type="http://schemas.openxmlformats.org/officeDocument/2006/relationships/hyperlink" Target="https://issues.sierrawireless.com/browse/OEMPRI-4609" TargetMode="External"/><Relationship Id="rId495" Type="http://schemas.openxmlformats.org/officeDocument/2006/relationships/hyperlink" Target="https://issues.sierrawireless.com/browse/OEMPRI-3898" TargetMode="External"/><Relationship Id="rId252" Type="http://schemas.openxmlformats.org/officeDocument/2006/relationships/hyperlink" Target="https://issues.sierrawireless.com/browse/OEMPRI-4610" TargetMode="External"/><Relationship Id="rId494" Type="http://schemas.openxmlformats.org/officeDocument/2006/relationships/hyperlink" Target="https://issues.sierrawireless.com/browse/OEMPRI-3899" TargetMode="External"/><Relationship Id="rId251" Type="http://schemas.openxmlformats.org/officeDocument/2006/relationships/hyperlink" Target="https://issues.sierrawireless.com/browse/OEMPRI-4614" TargetMode="External"/><Relationship Id="rId493" Type="http://schemas.openxmlformats.org/officeDocument/2006/relationships/hyperlink" Target="https://issues.sierrawireless.com/browse/OEMPRI-3900" TargetMode="External"/><Relationship Id="rId250" Type="http://schemas.openxmlformats.org/officeDocument/2006/relationships/hyperlink" Target="https://issues.sierrawireless.com/browse/OEMPRI-4615" TargetMode="External"/><Relationship Id="rId492" Type="http://schemas.openxmlformats.org/officeDocument/2006/relationships/hyperlink" Target="https://issues.sierrawireless.com/browse/OEMPRI-3901" TargetMode="External"/><Relationship Id="rId257" Type="http://schemas.openxmlformats.org/officeDocument/2006/relationships/hyperlink" Target="https://issues.sierrawireless.com/browse/OEMPRI-4591" TargetMode="External"/><Relationship Id="rId499" Type="http://schemas.openxmlformats.org/officeDocument/2006/relationships/hyperlink" Target="https://issues.sierrawireless.com/browse/OEMPRI-3902" TargetMode="External"/><Relationship Id="rId256" Type="http://schemas.openxmlformats.org/officeDocument/2006/relationships/hyperlink" Target="https://issues.sierrawireless.com/browse/OEMPRI-4599" TargetMode="External"/><Relationship Id="rId498" Type="http://schemas.openxmlformats.org/officeDocument/2006/relationships/hyperlink" Target="https://issues.sierrawireless.com/browse/OEMPRI-3908" TargetMode="External"/><Relationship Id="rId255" Type="http://schemas.openxmlformats.org/officeDocument/2006/relationships/hyperlink" Target="https://issues.sierrawireless.com/browse/OEMPRI-4602" TargetMode="External"/><Relationship Id="rId497" Type="http://schemas.openxmlformats.org/officeDocument/2006/relationships/hyperlink" Target="https://issues.sierrawireless.com/browse/OEMPRI-3909" TargetMode="External"/><Relationship Id="rId254" Type="http://schemas.openxmlformats.org/officeDocument/2006/relationships/hyperlink" Target="https://issues.sierrawireless.com/browse/OEMPRI-4608" TargetMode="External"/><Relationship Id="rId496" Type="http://schemas.openxmlformats.org/officeDocument/2006/relationships/hyperlink" Target="https://issues.sierrawireless.com/browse/OEMPRI-3896" TargetMode="External"/><Relationship Id="rId293" Type="http://schemas.openxmlformats.org/officeDocument/2006/relationships/hyperlink" Target="https://issues.sierrawireless.com/browse/OEMPRI-4482" TargetMode="External"/><Relationship Id="rId292" Type="http://schemas.openxmlformats.org/officeDocument/2006/relationships/hyperlink" Target="https://issues.sierrawireless.com/browse/OEMPRI-4486" TargetMode="External"/><Relationship Id="rId291" Type="http://schemas.openxmlformats.org/officeDocument/2006/relationships/hyperlink" Target="https://issues.sierrawireless.com/browse/OEMPRI-4484" TargetMode="External"/><Relationship Id="rId290" Type="http://schemas.openxmlformats.org/officeDocument/2006/relationships/hyperlink" Target="https://issues.sierrawireless.com/browse/OEMPRI-4485" TargetMode="External"/><Relationship Id="rId286" Type="http://schemas.openxmlformats.org/officeDocument/2006/relationships/hyperlink" Target="https://issues.sierrawireless.com/browse/COUGAR-2021" TargetMode="External"/><Relationship Id="rId285" Type="http://schemas.openxmlformats.org/officeDocument/2006/relationships/hyperlink" Target="https://issues.sierrawireless.com/browse/OEMPRI-4493" TargetMode="External"/><Relationship Id="rId284" Type="http://schemas.openxmlformats.org/officeDocument/2006/relationships/hyperlink" Target="https://issues.sierrawireless.com/browse/OEMPRI-4494" TargetMode="External"/><Relationship Id="rId283" Type="http://schemas.openxmlformats.org/officeDocument/2006/relationships/hyperlink" Target="https://issues.sierrawireless.com/browse/OEMPRI-4495" TargetMode="External"/><Relationship Id="rId289" Type="http://schemas.openxmlformats.org/officeDocument/2006/relationships/hyperlink" Target="https://issues.sierrawireless.com/browse/OEMPRI-4488" TargetMode="External"/><Relationship Id="rId288" Type="http://schemas.openxmlformats.org/officeDocument/2006/relationships/hyperlink" Target="https://issues.sierrawireless.com/browse/OEMPRI-4487" TargetMode="External"/><Relationship Id="rId287" Type="http://schemas.openxmlformats.org/officeDocument/2006/relationships/hyperlink" Target="https://issues.sierrawireless.com/browse/OEMPRI-4499" TargetMode="External"/><Relationship Id="rId282" Type="http://schemas.openxmlformats.org/officeDocument/2006/relationships/hyperlink" Target="https://issues.sierrawireless.com/browse/OEMPRI-4496" TargetMode="External"/><Relationship Id="rId281" Type="http://schemas.openxmlformats.org/officeDocument/2006/relationships/hyperlink" Target="https://issues.sierrawireless.com/browse/OEMPRI-4497" TargetMode="External"/><Relationship Id="rId280" Type="http://schemas.openxmlformats.org/officeDocument/2006/relationships/hyperlink" Target="https://issues.sierrawireless.com/browse/OEMPRI-4498" TargetMode="External"/><Relationship Id="rId275" Type="http://schemas.openxmlformats.org/officeDocument/2006/relationships/hyperlink" Target="https://issues.sierrawireless.com/browse/OEMPRI-4504" TargetMode="External"/><Relationship Id="rId274" Type="http://schemas.openxmlformats.org/officeDocument/2006/relationships/hyperlink" Target="https://issues.sierrawireless.com/browse/OEMPRI-4505" TargetMode="External"/><Relationship Id="rId273" Type="http://schemas.openxmlformats.org/officeDocument/2006/relationships/hyperlink" Target="https://issues.sierrawireless.com/browse/OEMPRI-4506" TargetMode="External"/><Relationship Id="rId272" Type="http://schemas.openxmlformats.org/officeDocument/2006/relationships/hyperlink" Target="https://issues.sierrawireless.com/browse/OEMPRI-4507" TargetMode="External"/><Relationship Id="rId279" Type="http://schemas.openxmlformats.org/officeDocument/2006/relationships/hyperlink" Target="https://issues.sierrawireless.com/browse/OEMPRI-4500" TargetMode="External"/><Relationship Id="rId278" Type="http://schemas.openxmlformats.org/officeDocument/2006/relationships/hyperlink" Target="https://issues.sierrawireless.com/browse/OEMPRI-4501" TargetMode="External"/><Relationship Id="rId277" Type="http://schemas.openxmlformats.org/officeDocument/2006/relationships/hyperlink" Target="https://issues.sierrawireless.com/browse/OEMPRI-4502" TargetMode="External"/><Relationship Id="rId276" Type="http://schemas.openxmlformats.org/officeDocument/2006/relationships/hyperlink" Target="https://issues.sierrawireless.com/browse/OEMPRI-4503" TargetMode="External"/><Relationship Id="rId907" Type="http://schemas.openxmlformats.org/officeDocument/2006/relationships/hyperlink" Target="https://issues.sierrawireless.com/browse/OEMPRI-1671" TargetMode="External"/><Relationship Id="rId906" Type="http://schemas.openxmlformats.org/officeDocument/2006/relationships/hyperlink" Target="https://issues.sierrawireless.com/browse/OEMPRI-1674" TargetMode="External"/><Relationship Id="rId905" Type="http://schemas.openxmlformats.org/officeDocument/2006/relationships/hyperlink" Target="https://issues.sierrawireless.com/browse/OEMPRI-1607" TargetMode="External"/><Relationship Id="rId904" Type="http://schemas.openxmlformats.org/officeDocument/2006/relationships/hyperlink" Target="https://issues.sierrawireless.com/browse/OEMPRI-1667" TargetMode="External"/><Relationship Id="rId909" Type="http://schemas.openxmlformats.org/officeDocument/2006/relationships/hyperlink" Target="https://issues.sierrawireless.com/browse/OEMPRI-1700" TargetMode="External"/><Relationship Id="rId908" Type="http://schemas.openxmlformats.org/officeDocument/2006/relationships/hyperlink" Target="https://issues.sierrawireless.com/browse/OEMPRI-1670" TargetMode="External"/><Relationship Id="rId903" Type="http://schemas.openxmlformats.org/officeDocument/2006/relationships/hyperlink" Target="https://issues.sierrawireless.com/browse/OEMPRI-1719" TargetMode="External"/><Relationship Id="rId902" Type="http://schemas.openxmlformats.org/officeDocument/2006/relationships/hyperlink" Target="https://issues.sierrawireless.com/browse/OEMPRI-1608" TargetMode="External"/><Relationship Id="rId901" Type="http://schemas.openxmlformats.org/officeDocument/2006/relationships/hyperlink" Target="https://issues.sierrawireless.com/browse/OEMPRI-1666" TargetMode="External"/><Relationship Id="rId900" Type="http://schemas.openxmlformats.org/officeDocument/2006/relationships/hyperlink" Target="https://issues.sierrawireless.com/browse/OEMPRI-1749" TargetMode="External"/><Relationship Id="rId929" Type="http://schemas.openxmlformats.org/officeDocument/2006/relationships/hyperlink" Target="https://issues.sierrawireless.com/browse/OEMPRI-1786" TargetMode="External"/><Relationship Id="rId928" Type="http://schemas.openxmlformats.org/officeDocument/2006/relationships/hyperlink" Target="https://issues.sierrawireless.com/browse/OEMPRI-1787" TargetMode="External"/><Relationship Id="rId927" Type="http://schemas.openxmlformats.org/officeDocument/2006/relationships/hyperlink" Target="https://issues.sierrawireless.com/browse/OEMPRI-1788" TargetMode="External"/><Relationship Id="rId926" Type="http://schemas.openxmlformats.org/officeDocument/2006/relationships/hyperlink" Target="https://issues.sierrawireless.com/browse/OEMPRI-1789" TargetMode="External"/><Relationship Id="rId921" Type="http://schemas.openxmlformats.org/officeDocument/2006/relationships/hyperlink" Target="https://issues.sierrawireless.com/browse/OEMPRI-1806" TargetMode="External"/><Relationship Id="rId920" Type="http://schemas.openxmlformats.org/officeDocument/2006/relationships/hyperlink" Target="https://issues.sierrawireless.com/browse/OEMPRI-1807" TargetMode="External"/><Relationship Id="rId925" Type="http://schemas.openxmlformats.org/officeDocument/2006/relationships/hyperlink" Target="https://issues.sierrawireless.com/browse/OEMPRI-1790" TargetMode="External"/><Relationship Id="rId924" Type="http://schemas.openxmlformats.org/officeDocument/2006/relationships/hyperlink" Target="https://issues.sierrawireless.com/browse/OEMPRI-1702" TargetMode="External"/><Relationship Id="rId923" Type="http://schemas.openxmlformats.org/officeDocument/2006/relationships/hyperlink" Target="https://issues.sierrawireless.com/browse/OEMPRI-1703" TargetMode="External"/><Relationship Id="rId922" Type="http://schemas.openxmlformats.org/officeDocument/2006/relationships/hyperlink" Target="https://issues.sierrawireless.com/browse/OEMPRI-1704" TargetMode="External"/><Relationship Id="rId918" Type="http://schemas.openxmlformats.org/officeDocument/2006/relationships/hyperlink" Target="https://issues.sierrawireless.com/browse/OEMPRI-1591" TargetMode="External"/><Relationship Id="rId917" Type="http://schemas.openxmlformats.org/officeDocument/2006/relationships/hyperlink" Target="https://issues.sierrawireless.com/browse/OEMPRI-1592" TargetMode="External"/><Relationship Id="rId916" Type="http://schemas.openxmlformats.org/officeDocument/2006/relationships/hyperlink" Target="https://issues.sierrawireless.com/browse/OEMPRI-1639" TargetMode="External"/><Relationship Id="rId915" Type="http://schemas.openxmlformats.org/officeDocument/2006/relationships/hyperlink" Target="https://issues.sierrawireless.com/browse/OEMPRI-1728" TargetMode="External"/><Relationship Id="rId919" Type="http://schemas.openxmlformats.org/officeDocument/2006/relationships/hyperlink" Target="https://issues.sierrawireless.com/browse/OEMPRI-1590" TargetMode="External"/><Relationship Id="rId910" Type="http://schemas.openxmlformats.org/officeDocument/2006/relationships/hyperlink" Target="https://issues.sierrawireless.com/browse/OEMPRI-1579" TargetMode="External"/><Relationship Id="rId914" Type="http://schemas.openxmlformats.org/officeDocument/2006/relationships/hyperlink" Target="https://issues.sierrawireless.com/browse/OEMPRI-1729" TargetMode="External"/><Relationship Id="rId913" Type="http://schemas.openxmlformats.org/officeDocument/2006/relationships/hyperlink" Target="https://issues.sierrawireless.com/browse/OEMPRI-1781" TargetMode="External"/><Relationship Id="rId912" Type="http://schemas.openxmlformats.org/officeDocument/2006/relationships/hyperlink" Target="https://issues.sierrawireless.com/browse/OEMPRI-1782" TargetMode="External"/><Relationship Id="rId911" Type="http://schemas.openxmlformats.org/officeDocument/2006/relationships/hyperlink" Target="https://issues.sierrawireless.com/browse/OEMPRI-1783" TargetMode="External"/><Relationship Id="rId1213" Type="http://schemas.openxmlformats.org/officeDocument/2006/relationships/hyperlink" Target="https://issues.sierrawireless.com/browse/OEMPRI-1879" TargetMode="External"/><Relationship Id="rId1214" Type="http://schemas.openxmlformats.org/officeDocument/2006/relationships/hyperlink" Target="https://issues.sierrawireless.com/browse/OEMPRI-1878" TargetMode="External"/><Relationship Id="rId1215" Type="http://schemas.openxmlformats.org/officeDocument/2006/relationships/hyperlink" Target="https://issues.sierrawireless.com/browse/OEMPRI-1933" TargetMode="External"/><Relationship Id="rId1216" Type="http://schemas.openxmlformats.org/officeDocument/2006/relationships/hyperlink" Target="https://issues.sierrawireless.com/browse/OEMPRI-2142" TargetMode="External"/><Relationship Id="rId1217" Type="http://schemas.openxmlformats.org/officeDocument/2006/relationships/hyperlink" Target="https://issues.sierrawireless.com/browse/OEMPRI-2130" TargetMode="External"/><Relationship Id="rId1218" Type="http://schemas.openxmlformats.org/officeDocument/2006/relationships/hyperlink" Target="https://issues.sierrawireless.com/browse/OEMPRI-2039" TargetMode="External"/><Relationship Id="rId1219" Type="http://schemas.openxmlformats.org/officeDocument/2006/relationships/hyperlink" Target="https://issues.sierrawireless.com/browse/OEMPRI-2038" TargetMode="External"/><Relationship Id="rId629" Type="http://schemas.openxmlformats.org/officeDocument/2006/relationships/hyperlink" Target="https://issues.sierrawireless.com/browse/OEMPRI-3226" TargetMode="External"/><Relationship Id="rId624" Type="http://schemas.openxmlformats.org/officeDocument/2006/relationships/hyperlink" Target="https://issues.sierrawireless.com/browse/OEMPRI-3316" TargetMode="External"/><Relationship Id="rId866" Type="http://schemas.openxmlformats.org/officeDocument/2006/relationships/hyperlink" Target="https://issues.sierrawireless.com/browse/OEMPRI-1377" TargetMode="External"/><Relationship Id="rId623" Type="http://schemas.openxmlformats.org/officeDocument/2006/relationships/hyperlink" Target="https://issues.sierrawireless.com/browse/OEMPRI-3331" TargetMode="External"/><Relationship Id="rId865" Type="http://schemas.openxmlformats.org/officeDocument/2006/relationships/hyperlink" Target="https://issues.sierrawireless.com/browse/OEMPRI-1409" TargetMode="External"/><Relationship Id="rId622" Type="http://schemas.openxmlformats.org/officeDocument/2006/relationships/hyperlink" Target="https://issues.sierrawireless.com/browse/OEMPRI-3340" TargetMode="External"/><Relationship Id="rId864" Type="http://schemas.openxmlformats.org/officeDocument/2006/relationships/hyperlink" Target="https://issues.sierrawireless.com/browse/OEMPRI-1410" TargetMode="External"/><Relationship Id="rId621" Type="http://schemas.openxmlformats.org/officeDocument/2006/relationships/hyperlink" Target="https://issues.sierrawireless.com/browse/OEMPRI-3343" TargetMode="External"/><Relationship Id="rId863" Type="http://schemas.openxmlformats.org/officeDocument/2006/relationships/hyperlink" Target="https://issues.sierrawireless.com/browse/OEMPRI-1419" TargetMode="External"/><Relationship Id="rId628" Type="http://schemas.openxmlformats.org/officeDocument/2006/relationships/hyperlink" Target="https://issues.sierrawireless.com/browse/OEMPRI-3227" TargetMode="External"/><Relationship Id="rId627" Type="http://schemas.openxmlformats.org/officeDocument/2006/relationships/hyperlink" Target="https://issues.sierrawireless.com/browse/OEMPRI-3298" TargetMode="External"/><Relationship Id="rId869" Type="http://schemas.openxmlformats.org/officeDocument/2006/relationships/hyperlink" Target="https://issues.sierrawireless.com/browse/OEMPRI-1372" TargetMode="External"/><Relationship Id="rId626" Type="http://schemas.openxmlformats.org/officeDocument/2006/relationships/hyperlink" Target="https://issues.sierrawireless.com/browse/OEMPRI-3300" TargetMode="External"/><Relationship Id="rId868" Type="http://schemas.openxmlformats.org/officeDocument/2006/relationships/hyperlink" Target="https://issues.sierrawireless.com/browse/OEMPRI-1374" TargetMode="External"/><Relationship Id="rId625" Type="http://schemas.openxmlformats.org/officeDocument/2006/relationships/hyperlink" Target="https://issues.sierrawireless.com/browse/OEMPRI-3301" TargetMode="External"/><Relationship Id="rId867" Type="http://schemas.openxmlformats.org/officeDocument/2006/relationships/hyperlink" Target="https://issues.sierrawireless.com/browse/OEMPRI-1376" TargetMode="External"/><Relationship Id="rId620" Type="http://schemas.openxmlformats.org/officeDocument/2006/relationships/hyperlink" Target="https://issues.sierrawireless.com/browse/OEMPRI-3342" TargetMode="External"/><Relationship Id="rId862" Type="http://schemas.openxmlformats.org/officeDocument/2006/relationships/hyperlink" Target="https://issues.sierrawireless.com/browse/OEMPRI-1412" TargetMode="External"/><Relationship Id="rId861" Type="http://schemas.openxmlformats.org/officeDocument/2006/relationships/hyperlink" Target="https://issues.sierrawireless.com/browse/OEMPRI-1414" TargetMode="External"/><Relationship Id="rId1210" Type="http://schemas.openxmlformats.org/officeDocument/2006/relationships/hyperlink" Target="https://issues.sierrawireless.com/browse/OEMPRI-1968" TargetMode="External"/><Relationship Id="rId860" Type="http://schemas.openxmlformats.org/officeDocument/2006/relationships/hyperlink" Target="https://issues.sierrawireless.com/browse/OEMPRI-1416" TargetMode="External"/><Relationship Id="rId1211" Type="http://schemas.openxmlformats.org/officeDocument/2006/relationships/hyperlink" Target="https://issues.sierrawireless.com/browse/OEMPRI-1967" TargetMode="External"/><Relationship Id="rId1212" Type="http://schemas.openxmlformats.org/officeDocument/2006/relationships/hyperlink" Target="https://issues.sierrawireless.com/browse/OEMPRI-1880" TargetMode="External"/><Relationship Id="rId1202" Type="http://schemas.openxmlformats.org/officeDocument/2006/relationships/hyperlink" Target="https://issues.sierrawireless.com/browse/OEMPRI-1930" TargetMode="External"/><Relationship Id="rId1203" Type="http://schemas.openxmlformats.org/officeDocument/2006/relationships/hyperlink" Target="https://issues.sierrawireless.com/browse/OEMPRI-1929" TargetMode="External"/><Relationship Id="rId1204" Type="http://schemas.openxmlformats.org/officeDocument/2006/relationships/hyperlink" Target="https://issues.sierrawireless.com/browse/OEMPRI-1928" TargetMode="External"/><Relationship Id="rId1205" Type="http://schemas.openxmlformats.org/officeDocument/2006/relationships/hyperlink" Target="https://issues.sierrawireless.com/browse/OEMPRI-1965" TargetMode="External"/><Relationship Id="rId1206" Type="http://schemas.openxmlformats.org/officeDocument/2006/relationships/hyperlink" Target="https://issues.sierrawireless.com/browse/OEMPRI-1964" TargetMode="External"/><Relationship Id="rId1207" Type="http://schemas.openxmlformats.org/officeDocument/2006/relationships/hyperlink" Target="https://issues.sierrawireless.com/browse/OEMPRI-1963" TargetMode="External"/><Relationship Id="rId1208" Type="http://schemas.openxmlformats.org/officeDocument/2006/relationships/hyperlink" Target="https://issues.sierrawireless.com/browse/OEMPRI-2126" TargetMode="External"/><Relationship Id="rId1209" Type="http://schemas.openxmlformats.org/officeDocument/2006/relationships/hyperlink" Target="https://issues.sierrawireless.com/browse/OEMPRI-2031" TargetMode="External"/><Relationship Id="rId619" Type="http://schemas.openxmlformats.org/officeDocument/2006/relationships/hyperlink" Target="https://issues.sierrawireless.com/browse/OEMPRI-3345" TargetMode="External"/><Relationship Id="rId618" Type="http://schemas.openxmlformats.org/officeDocument/2006/relationships/hyperlink" Target="https://issues.sierrawireless.com/browse/OEMPRI-3381" TargetMode="External"/><Relationship Id="rId613" Type="http://schemas.openxmlformats.org/officeDocument/2006/relationships/hyperlink" Target="https://issues.sierrawireless.com/browse/OEMPRI-3436" TargetMode="External"/><Relationship Id="rId855" Type="http://schemas.openxmlformats.org/officeDocument/2006/relationships/hyperlink" Target="https://issues.sierrawireless.com/browse/OEMPRI-1424" TargetMode="External"/><Relationship Id="rId612" Type="http://schemas.openxmlformats.org/officeDocument/2006/relationships/hyperlink" Target="https://issues.sierrawireless.com/browse/OEMPRI-3438" TargetMode="External"/><Relationship Id="rId854" Type="http://schemas.openxmlformats.org/officeDocument/2006/relationships/hyperlink" Target="https://issues.sierrawireless.com/browse/OEMPRI-1433" TargetMode="External"/><Relationship Id="rId611" Type="http://schemas.openxmlformats.org/officeDocument/2006/relationships/hyperlink" Target="https://issues.sierrawireless.com/browse/OEMPRI-3464" TargetMode="External"/><Relationship Id="rId853" Type="http://schemas.openxmlformats.org/officeDocument/2006/relationships/hyperlink" Target="https://issues.sierrawireless.com/browse/OEMPRI-1429" TargetMode="External"/><Relationship Id="rId610" Type="http://schemas.openxmlformats.org/officeDocument/2006/relationships/hyperlink" Target="https://issues.sierrawireless.com/browse/OEMPRI-3471" TargetMode="External"/><Relationship Id="rId852" Type="http://schemas.openxmlformats.org/officeDocument/2006/relationships/hyperlink" Target="https://issues.sierrawireless.com/browse/OEMPRI-1440" TargetMode="External"/><Relationship Id="rId617" Type="http://schemas.openxmlformats.org/officeDocument/2006/relationships/hyperlink" Target="https://issues.sierrawireless.com/browse/OEMPRI-3385" TargetMode="External"/><Relationship Id="rId859" Type="http://schemas.openxmlformats.org/officeDocument/2006/relationships/hyperlink" Target="https://issues.sierrawireless.com/browse/OEMPRI-1418" TargetMode="External"/><Relationship Id="rId616" Type="http://schemas.openxmlformats.org/officeDocument/2006/relationships/hyperlink" Target="https://issues.sierrawireless.com/browse/OEMPRI-3404" TargetMode="External"/><Relationship Id="rId858" Type="http://schemas.openxmlformats.org/officeDocument/2006/relationships/hyperlink" Target="https://issues.sierrawireless.com/browse/OEMPRI-1420" TargetMode="External"/><Relationship Id="rId615" Type="http://schemas.openxmlformats.org/officeDocument/2006/relationships/hyperlink" Target="https://issues.sierrawireless.com/browse/OEMPRI-3406" TargetMode="External"/><Relationship Id="rId857" Type="http://schemas.openxmlformats.org/officeDocument/2006/relationships/hyperlink" Target="https://issues.sierrawireless.com/browse/OEMPRI-1421" TargetMode="External"/><Relationship Id="rId614" Type="http://schemas.openxmlformats.org/officeDocument/2006/relationships/hyperlink" Target="https://issues.sierrawireless.com/browse/OEMPRI-3407" TargetMode="External"/><Relationship Id="rId856" Type="http://schemas.openxmlformats.org/officeDocument/2006/relationships/hyperlink" Target="https://issues.sierrawireless.com/browse/OEMPRI-1423" TargetMode="External"/><Relationship Id="rId851" Type="http://schemas.openxmlformats.org/officeDocument/2006/relationships/hyperlink" Target="https://issues.sierrawireless.com/browse/OEMPRI-1441" TargetMode="External"/><Relationship Id="rId850" Type="http://schemas.openxmlformats.org/officeDocument/2006/relationships/hyperlink" Target="https://issues.sierrawireless.com/browse/OEMPRI-1494" TargetMode="External"/><Relationship Id="rId1200" Type="http://schemas.openxmlformats.org/officeDocument/2006/relationships/hyperlink" Target="https://issues.sierrawireless.com/browse/OEMPRI-1932" TargetMode="External"/><Relationship Id="rId1201" Type="http://schemas.openxmlformats.org/officeDocument/2006/relationships/hyperlink" Target="https://issues.sierrawireless.com/browse/OEMPRI-1931" TargetMode="External"/><Relationship Id="rId1236" Type="http://schemas.openxmlformats.org/officeDocument/2006/relationships/table" Target="../tables/table1.xml"/><Relationship Id="rId409" Type="http://schemas.openxmlformats.org/officeDocument/2006/relationships/hyperlink" Target="https://issues.sierrawireless.com/browse/OEMPRI-4099" TargetMode="External"/><Relationship Id="rId404" Type="http://schemas.openxmlformats.org/officeDocument/2006/relationships/hyperlink" Target="https://issues.sierrawireless.com/browse/OEMPRI-4108" TargetMode="External"/><Relationship Id="rId646" Type="http://schemas.openxmlformats.org/officeDocument/2006/relationships/hyperlink" Target="https://issues.sierrawireless.com/browse/OEMPRI-3065" TargetMode="External"/><Relationship Id="rId888" Type="http://schemas.openxmlformats.org/officeDocument/2006/relationships/hyperlink" Target="https://issues.sierrawireless.com/browse/OEMPRI-1035" TargetMode="External"/><Relationship Id="rId403" Type="http://schemas.openxmlformats.org/officeDocument/2006/relationships/hyperlink" Target="https://issues.sierrawireless.com/browse/OEMPRI-4109" TargetMode="External"/><Relationship Id="rId645" Type="http://schemas.openxmlformats.org/officeDocument/2006/relationships/hyperlink" Target="https://issues.sierrawireless.com/browse/OEMPRI-3069" TargetMode="External"/><Relationship Id="rId887" Type="http://schemas.openxmlformats.org/officeDocument/2006/relationships/hyperlink" Target="https://issues.sierrawireless.com/browse/OEMPRI-1204" TargetMode="External"/><Relationship Id="rId402" Type="http://schemas.openxmlformats.org/officeDocument/2006/relationships/hyperlink" Target="https://issues.sierrawireless.com/browse/OEMPRI-4111" TargetMode="External"/><Relationship Id="rId644" Type="http://schemas.openxmlformats.org/officeDocument/2006/relationships/hyperlink" Target="https://issues.sierrawireless.com/browse/OEMPRI-3114" TargetMode="External"/><Relationship Id="rId886" Type="http://schemas.openxmlformats.org/officeDocument/2006/relationships/hyperlink" Target="https://issues.sierrawireless.com/browse/OEMPRI-1235" TargetMode="External"/><Relationship Id="rId401" Type="http://schemas.openxmlformats.org/officeDocument/2006/relationships/hyperlink" Target="https://issues.sierrawireless.com/browse/OEMPRI-4112" TargetMode="External"/><Relationship Id="rId643" Type="http://schemas.openxmlformats.org/officeDocument/2006/relationships/hyperlink" Target="https://issues.sierrawireless.com/browse/OEMPRI-3112" TargetMode="External"/><Relationship Id="rId885" Type="http://schemas.openxmlformats.org/officeDocument/2006/relationships/hyperlink" Target="https://issues.sierrawireless.com/browse/OEMPRI-1238" TargetMode="External"/><Relationship Id="rId408" Type="http://schemas.openxmlformats.org/officeDocument/2006/relationships/hyperlink" Target="https://issues.sierrawireless.com/browse/OEMPRI-4103" TargetMode="External"/><Relationship Id="rId407" Type="http://schemas.openxmlformats.org/officeDocument/2006/relationships/hyperlink" Target="https://issues.sierrawireless.com/browse/OEMPRI-4104" TargetMode="External"/><Relationship Id="rId649" Type="http://schemas.openxmlformats.org/officeDocument/2006/relationships/hyperlink" Target="https://issues.sierrawireless.com/browse/OEMPRI-3068" TargetMode="External"/><Relationship Id="rId406" Type="http://schemas.openxmlformats.org/officeDocument/2006/relationships/hyperlink" Target="https://issues.sierrawireless.com/browse/OEMPRI-4105" TargetMode="External"/><Relationship Id="rId648" Type="http://schemas.openxmlformats.org/officeDocument/2006/relationships/hyperlink" Target="https://issues.sierrawireless.com/browse/OEMPRI-3062" TargetMode="External"/><Relationship Id="rId405" Type="http://schemas.openxmlformats.org/officeDocument/2006/relationships/hyperlink" Target="https://issues.sierrawireless.com/browse/OEMPRI-4107" TargetMode="External"/><Relationship Id="rId647" Type="http://schemas.openxmlformats.org/officeDocument/2006/relationships/hyperlink" Target="https://issues.sierrawireless.com/browse/OEMPRI-3063" TargetMode="External"/><Relationship Id="rId889" Type="http://schemas.openxmlformats.org/officeDocument/2006/relationships/hyperlink" Target="https://issues.sierrawireless.com/browse/OEMPRI-707" TargetMode="External"/><Relationship Id="rId880" Type="http://schemas.openxmlformats.org/officeDocument/2006/relationships/hyperlink" Target="https://issues.sierrawireless.com/browse/OEMPRI-1273" TargetMode="External"/><Relationship Id="rId1230" Type="http://schemas.openxmlformats.org/officeDocument/2006/relationships/hyperlink" Target="https://issues.sierrawireless.com/browse/OEMPRI-1938" TargetMode="External"/><Relationship Id="rId400" Type="http://schemas.openxmlformats.org/officeDocument/2006/relationships/hyperlink" Target="https://issues.sierrawireless.com/browse/OEMPRI-4122" TargetMode="External"/><Relationship Id="rId642" Type="http://schemas.openxmlformats.org/officeDocument/2006/relationships/hyperlink" Target="https://issues.sierrawireless.com/browse/OEMPRI-3113" TargetMode="External"/><Relationship Id="rId884" Type="http://schemas.openxmlformats.org/officeDocument/2006/relationships/hyperlink" Target="https://issues.sierrawireless.com/browse/OEMPRI-1239" TargetMode="External"/><Relationship Id="rId1231" Type="http://schemas.openxmlformats.org/officeDocument/2006/relationships/hyperlink" Target="https://issues.sierrawireless.com/browse/OEMPRI-1849" TargetMode="External"/><Relationship Id="rId641" Type="http://schemas.openxmlformats.org/officeDocument/2006/relationships/hyperlink" Target="https://issues.sierrawireless.com/browse/OEMPRI-3116" TargetMode="External"/><Relationship Id="rId883" Type="http://schemas.openxmlformats.org/officeDocument/2006/relationships/hyperlink" Target="https://issues.sierrawireless.com/browse/OEMPRI-1237" TargetMode="External"/><Relationship Id="rId1232" Type="http://schemas.openxmlformats.org/officeDocument/2006/relationships/hyperlink" Target="https://issues.sierrawireless.com/browse/OEMPRI-1848" TargetMode="External"/><Relationship Id="rId640" Type="http://schemas.openxmlformats.org/officeDocument/2006/relationships/hyperlink" Target="https://issues.sierrawireless.com/browse/OEMPRI-3118" TargetMode="External"/><Relationship Id="rId882" Type="http://schemas.openxmlformats.org/officeDocument/2006/relationships/hyperlink" Target="https://issues.sierrawireless.com/browse/OEMPRI-1243" TargetMode="External"/><Relationship Id="rId1233" Type="http://schemas.openxmlformats.org/officeDocument/2006/relationships/drawing" Target="../drawings/drawing2.xml"/><Relationship Id="rId881" Type="http://schemas.openxmlformats.org/officeDocument/2006/relationships/hyperlink" Target="https://issues.sierrawireless.com/browse/OEMPRI-1247" TargetMode="External"/><Relationship Id="rId1234" Type="http://schemas.openxmlformats.org/officeDocument/2006/relationships/vmlDrawing" Target="../drawings/vmlDrawing1.vml"/><Relationship Id="rId1224" Type="http://schemas.openxmlformats.org/officeDocument/2006/relationships/hyperlink" Target="https://issues.sierrawireless.com/browse/OEMPRI-2033" TargetMode="External"/><Relationship Id="rId1225" Type="http://schemas.openxmlformats.org/officeDocument/2006/relationships/hyperlink" Target="https://issues.sierrawireless.com/browse/OEMPRI-1998" TargetMode="External"/><Relationship Id="rId1226" Type="http://schemas.openxmlformats.org/officeDocument/2006/relationships/hyperlink" Target="https://issues.sierrawireless.com/browse/OEMPRI-2102" TargetMode="External"/><Relationship Id="rId1227" Type="http://schemas.openxmlformats.org/officeDocument/2006/relationships/hyperlink" Target="https://issues.sierrawireless.com/browse/OEMPRI-1999" TargetMode="External"/><Relationship Id="rId1228" Type="http://schemas.openxmlformats.org/officeDocument/2006/relationships/hyperlink" Target="https://issues.sierrawireless.com/browse/OEMPRI-1882" TargetMode="External"/><Relationship Id="rId1229" Type="http://schemas.openxmlformats.org/officeDocument/2006/relationships/hyperlink" Target="https://issues.sierrawireless.com/browse/OEMPRI-2000" TargetMode="External"/><Relationship Id="rId635" Type="http://schemas.openxmlformats.org/officeDocument/2006/relationships/hyperlink" Target="https://issues.sierrawireless.com/browse/OEMPRI-3189" TargetMode="External"/><Relationship Id="rId877" Type="http://schemas.openxmlformats.org/officeDocument/2006/relationships/hyperlink" Target="https://issues.sierrawireless.com/browse/OEMPRI-1332" TargetMode="External"/><Relationship Id="rId634" Type="http://schemas.openxmlformats.org/officeDocument/2006/relationships/hyperlink" Target="https://issues.sierrawireless.com/browse/OEMPRI-3190" TargetMode="External"/><Relationship Id="rId876" Type="http://schemas.openxmlformats.org/officeDocument/2006/relationships/hyperlink" Target="https://issues.sierrawireless.com/browse/OEMPRI-1335" TargetMode="External"/><Relationship Id="rId633" Type="http://schemas.openxmlformats.org/officeDocument/2006/relationships/hyperlink" Target="https://issues.sierrawireless.com/browse/OEMPRI-3208" TargetMode="External"/><Relationship Id="rId875" Type="http://schemas.openxmlformats.org/officeDocument/2006/relationships/hyperlink" Target="https://issues.sierrawireless.com/browse/OEMPRI-1336" TargetMode="External"/><Relationship Id="rId632" Type="http://schemas.openxmlformats.org/officeDocument/2006/relationships/hyperlink" Target="https://issues.sierrawireless.com/browse/OEMPRI-3219" TargetMode="External"/><Relationship Id="rId874" Type="http://schemas.openxmlformats.org/officeDocument/2006/relationships/hyperlink" Target="https://issues.sierrawireless.com/browse/OEMPRI-1334" TargetMode="External"/><Relationship Id="rId639" Type="http://schemas.openxmlformats.org/officeDocument/2006/relationships/hyperlink" Target="https://issues.sierrawireless.com/browse/OEMPRI-3156" TargetMode="External"/><Relationship Id="rId638" Type="http://schemas.openxmlformats.org/officeDocument/2006/relationships/hyperlink" Target="https://issues.sierrawireless.com/browse/OEMPRI-3171" TargetMode="External"/><Relationship Id="rId637" Type="http://schemas.openxmlformats.org/officeDocument/2006/relationships/hyperlink" Target="https://issues.sierrawireless.com/browse/OEMPRI-3180" TargetMode="External"/><Relationship Id="rId879" Type="http://schemas.openxmlformats.org/officeDocument/2006/relationships/hyperlink" Target="https://issues.sierrawireless.com/browse/OEMPRI-1307" TargetMode="External"/><Relationship Id="rId636" Type="http://schemas.openxmlformats.org/officeDocument/2006/relationships/hyperlink" Target="https://issues.sierrawireless.com/browse/OEMPRI-3188" TargetMode="External"/><Relationship Id="rId878" Type="http://schemas.openxmlformats.org/officeDocument/2006/relationships/hyperlink" Target="https://issues.sierrawireless.com/browse/OEMPRI-1324" TargetMode="External"/><Relationship Id="rId631" Type="http://schemas.openxmlformats.org/officeDocument/2006/relationships/hyperlink" Target="https://issues.sierrawireless.com/browse/OEMPRI-3216" TargetMode="External"/><Relationship Id="rId873" Type="http://schemas.openxmlformats.org/officeDocument/2006/relationships/hyperlink" Target="https://issues.sierrawireless.com/browse/OEMPRI-1342" TargetMode="External"/><Relationship Id="rId1220" Type="http://schemas.openxmlformats.org/officeDocument/2006/relationships/hyperlink" Target="https://issues.sierrawireless.com/browse/OEMPRI-2037" TargetMode="External"/><Relationship Id="rId630" Type="http://schemas.openxmlformats.org/officeDocument/2006/relationships/hyperlink" Target="https://issues.sierrawireless.com/browse/OEMPRI-3218" TargetMode="External"/><Relationship Id="rId872" Type="http://schemas.openxmlformats.org/officeDocument/2006/relationships/hyperlink" Target="https://issues.sierrawireless.com/browse/OEMPRI-1351" TargetMode="External"/><Relationship Id="rId1221" Type="http://schemas.openxmlformats.org/officeDocument/2006/relationships/hyperlink" Target="https://issues.sierrawireless.com/browse/OEMPRI-2036" TargetMode="External"/><Relationship Id="rId871" Type="http://schemas.openxmlformats.org/officeDocument/2006/relationships/hyperlink" Target="https://issues.sierrawireless.com/browse/OEMPRI-1353" TargetMode="External"/><Relationship Id="rId1222" Type="http://schemas.openxmlformats.org/officeDocument/2006/relationships/hyperlink" Target="https://issues.sierrawireless.com/browse/OEMPRI-2035" TargetMode="External"/><Relationship Id="rId870" Type="http://schemas.openxmlformats.org/officeDocument/2006/relationships/hyperlink" Target="https://issues.sierrawireless.com/browse/OEMPRI-1355" TargetMode="External"/><Relationship Id="rId1223" Type="http://schemas.openxmlformats.org/officeDocument/2006/relationships/hyperlink" Target="https://issues.sierrawireless.com/browse/OEMPRI-2034" TargetMode="External"/><Relationship Id="rId829" Type="http://schemas.openxmlformats.org/officeDocument/2006/relationships/hyperlink" Target="https://issues.sierrawireless.com/browse/OEMPRI-2187" TargetMode="External"/><Relationship Id="rId828" Type="http://schemas.openxmlformats.org/officeDocument/2006/relationships/hyperlink" Target="https://issues.sierrawireless.com/browse/OEMPRI-2188" TargetMode="External"/><Relationship Id="rId827" Type="http://schemas.openxmlformats.org/officeDocument/2006/relationships/hyperlink" Target="https://issues.sierrawireless.com/browse/OEMPRI-2189" TargetMode="External"/><Relationship Id="rId822" Type="http://schemas.openxmlformats.org/officeDocument/2006/relationships/hyperlink" Target="https://issues.sierrawireless.com/browse/OEMPRI-2204" TargetMode="External"/><Relationship Id="rId821" Type="http://schemas.openxmlformats.org/officeDocument/2006/relationships/hyperlink" Target="https://issues.sierrawireless.com/browse/OEMPRI-2205" TargetMode="External"/><Relationship Id="rId820" Type="http://schemas.openxmlformats.org/officeDocument/2006/relationships/hyperlink" Target="https://issues.sierrawireless.com/browse/OEMPRI-2206" TargetMode="External"/><Relationship Id="rId826" Type="http://schemas.openxmlformats.org/officeDocument/2006/relationships/hyperlink" Target="https://issues.sierrawireless.com/browse/OEMPRI-2196" TargetMode="External"/><Relationship Id="rId825" Type="http://schemas.openxmlformats.org/officeDocument/2006/relationships/hyperlink" Target="https://issues.sierrawireless.com/browse/OEMPRI-2195" TargetMode="External"/><Relationship Id="rId824" Type="http://schemas.openxmlformats.org/officeDocument/2006/relationships/hyperlink" Target="https://issues.sierrawireless.com/browse/OEMPRI-2201" TargetMode="External"/><Relationship Id="rId823" Type="http://schemas.openxmlformats.org/officeDocument/2006/relationships/hyperlink" Target="https://issues.sierrawireless.com/browse/OEMPRI-2202" TargetMode="External"/><Relationship Id="rId819" Type="http://schemas.openxmlformats.org/officeDocument/2006/relationships/hyperlink" Target="https://issues.sierrawireless.com/browse/OEMPRI-2233" TargetMode="External"/><Relationship Id="rId818" Type="http://schemas.openxmlformats.org/officeDocument/2006/relationships/hyperlink" Target="https://issues.sierrawireless.com/browse/OEMPRI-2236" TargetMode="External"/><Relationship Id="rId817" Type="http://schemas.openxmlformats.org/officeDocument/2006/relationships/hyperlink" Target="https://issues.sierrawireless.com/browse/OEMPRI-2237" TargetMode="External"/><Relationship Id="rId816" Type="http://schemas.openxmlformats.org/officeDocument/2006/relationships/hyperlink" Target="https://issues.sierrawireless.com/browse/OEMPRI-2252" TargetMode="External"/><Relationship Id="rId811" Type="http://schemas.openxmlformats.org/officeDocument/2006/relationships/hyperlink" Target="https://issues.sierrawireless.com/browse/OEMPRI-2315" TargetMode="External"/><Relationship Id="rId810" Type="http://schemas.openxmlformats.org/officeDocument/2006/relationships/hyperlink" Target="https://issues.sierrawireless.com/browse/OEMPRI-2335" TargetMode="External"/><Relationship Id="rId815" Type="http://schemas.openxmlformats.org/officeDocument/2006/relationships/hyperlink" Target="https://issues.sierrawireless.com/browse/OEMPRI-2258" TargetMode="External"/><Relationship Id="rId814" Type="http://schemas.openxmlformats.org/officeDocument/2006/relationships/hyperlink" Target="https://issues.sierrawireless.com/browse/OEMPRI-2259" TargetMode="External"/><Relationship Id="rId813" Type="http://schemas.openxmlformats.org/officeDocument/2006/relationships/hyperlink" Target="https://issues.sierrawireless.com/browse/OEMPRI-2303" TargetMode="External"/><Relationship Id="rId812" Type="http://schemas.openxmlformats.org/officeDocument/2006/relationships/hyperlink" Target="https://issues.sierrawireless.com/browse/OEMPRI-2311" TargetMode="External"/><Relationship Id="rId609" Type="http://schemas.openxmlformats.org/officeDocument/2006/relationships/hyperlink" Target="https://issues.sierrawireless.com/browse/OEMPRI-3479" TargetMode="External"/><Relationship Id="rId608" Type="http://schemas.openxmlformats.org/officeDocument/2006/relationships/hyperlink" Target="https://issues.sierrawireless.com/browse/OEMPRI-3481" TargetMode="External"/><Relationship Id="rId607" Type="http://schemas.openxmlformats.org/officeDocument/2006/relationships/hyperlink" Target="https://issues.sierrawireless.com/browse/OEMPRI-3534" TargetMode="External"/><Relationship Id="rId849" Type="http://schemas.openxmlformats.org/officeDocument/2006/relationships/hyperlink" Target="https://issues.sierrawireless.com/browse/OEMPRI-1495" TargetMode="External"/><Relationship Id="rId602" Type="http://schemas.openxmlformats.org/officeDocument/2006/relationships/hyperlink" Target="https://issues.sierrawireless.com/browse/OEMPRI-3540" TargetMode="External"/><Relationship Id="rId844" Type="http://schemas.openxmlformats.org/officeDocument/2006/relationships/hyperlink" Target="https://issues.sierrawireless.com/browse/OEMPRI-1504" TargetMode="External"/><Relationship Id="rId601" Type="http://schemas.openxmlformats.org/officeDocument/2006/relationships/hyperlink" Target="https://issues.sierrawireless.com/browse/OEMPRI-3541" TargetMode="External"/><Relationship Id="rId843" Type="http://schemas.openxmlformats.org/officeDocument/2006/relationships/hyperlink" Target="https://issues.sierrawireless.com/browse/OEMPRI-1506" TargetMode="External"/><Relationship Id="rId600" Type="http://schemas.openxmlformats.org/officeDocument/2006/relationships/hyperlink" Target="https://issues.sierrawireless.com/browse/OEMPRI-3542" TargetMode="External"/><Relationship Id="rId842" Type="http://schemas.openxmlformats.org/officeDocument/2006/relationships/hyperlink" Target="https://issues.sierrawireless.com/browse/OEMPRI-1507" TargetMode="External"/><Relationship Id="rId841" Type="http://schemas.openxmlformats.org/officeDocument/2006/relationships/hyperlink" Target="https://issues.sierrawireless.com/browse/OEMPRI-1509" TargetMode="External"/><Relationship Id="rId606" Type="http://schemas.openxmlformats.org/officeDocument/2006/relationships/hyperlink" Target="https://issues.sierrawireless.com/browse/OEMPRI-3538" TargetMode="External"/><Relationship Id="rId848" Type="http://schemas.openxmlformats.org/officeDocument/2006/relationships/hyperlink" Target="https://issues.sierrawireless.com/browse/OEMPRI-1498" TargetMode="External"/><Relationship Id="rId605" Type="http://schemas.openxmlformats.org/officeDocument/2006/relationships/hyperlink" Target="https://issues.sierrawireless.com/browse/OEMPRI-3535" TargetMode="External"/><Relationship Id="rId847" Type="http://schemas.openxmlformats.org/officeDocument/2006/relationships/hyperlink" Target="https://issues.sierrawireless.com/browse/OEMPRI-1500" TargetMode="External"/><Relationship Id="rId604" Type="http://schemas.openxmlformats.org/officeDocument/2006/relationships/hyperlink" Target="https://issues.sierrawireless.com/browse/OEMPRI-3536" TargetMode="External"/><Relationship Id="rId846" Type="http://schemas.openxmlformats.org/officeDocument/2006/relationships/hyperlink" Target="https://issues.sierrawireless.com/browse/OEMPRI-1501" TargetMode="External"/><Relationship Id="rId603" Type="http://schemas.openxmlformats.org/officeDocument/2006/relationships/hyperlink" Target="https://issues.sierrawireless.com/browse/OEMPRI-3539" TargetMode="External"/><Relationship Id="rId845" Type="http://schemas.openxmlformats.org/officeDocument/2006/relationships/hyperlink" Target="https://issues.sierrawireless.com/browse/OEMPRI-1502" TargetMode="External"/><Relationship Id="rId840" Type="http://schemas.openxmlformats.org/officeDocument/2006/relationships/hyperlink" Target="https://issues.sierrawireless.com/browse/OEMPRI-1511" TargetMode="External"/><Relationship Id="rId839" Type="http://schemas.openxmlformats.org/officeDocument/2006/relationships/hyperlink" Target="https://issues.sierrawireless.com/browse/OEMPRI-1512" TargetMode="External"/><Relationship Id="rId838" Type="http://schemas.openxmlformats.org/officeDocument/2006/relationships/hyperlink" Target="https://issues.sierrawireless.com/browse/OEMPRI-1513" TargetMode="External"/><Relationship Id="rId833" Type="http://schemas.openxmlformats.org/officeDocument/2006/relationships/hyperlink" Target="https://issues.sierrawireless.com/browse/OEMPRI-2149" TargetMode="External"/><Relationship Id="rId832" Type="http://schemas.openxmlformats.org/officeDocument/2006/relationships/hyperlink" Target="https://issues.sierrawireless.com/browse/OEMPRI-2174" TargetMode="External"/><Relationship Id="rId831" Type="http://schemas.openxmlformats.org/officeDocument/2006/relationships/hyperlink" Target="https://issues.sierrawireless.com/browse/OEMPRI-2180" TargetMode="External"/><Relationship Id="rId830" Type="http://schemas.openxmlformats.org/officeDocument/2006/relationships/hyperlink" Target="https://issues.sierrawireless.com/browse/OEMPRI-2186" TargetMode="External"/><Relationship Id="rId837" Type="http://schemas.openxmlformats.org/officeDocument/2006/relationships/hyperlink" Target="https://issues.sierrawireless.com/browse/OEMPRI-1514" TargetMode="External"/><Relationship Id="rId836" Type="http://schemas.openxmlformats.org/officeDocument/2006/relationships/hyperlink" Target="https://issues.sierrawireless.com/browse/OEMPRI-1520" TargetMode="External"/><Relationship Id="rId835" Type="http://schemas.openxmlformats.org/officeDocument/2006/relationships/hyperlink" Target="https://issues.sierrawireless.com/browse/OEMPRI-1567" TargetMode="External"/><Relationship Id="rId834" Type="http://schemas.openxmlformats.org/officeDocument/2006/relationships/hyperlink" Target="https://issues.sierrawireless.com/browse/OEMPRI-1568" TargetMode="External"/><Relationship Id="rId1059" Type="http://schemas.openxmlformats.org/officeDocument/2006/relationships/hyperlink" Target="https://issues.sierrawireless.com/browse/OEMPRI-2075" TargetMode="External"/><Relationship Id="rId228" Type="http://schemas.openxmlformats.org/officeDocument/2006/relationships/hyperlink" Target="https://issues.sierrawireless.com/browse/OEMPRI-4701" TargetMode="External"/><Relationship Id="rId227" Type="http://schemas.openxmlformats.org/officeDocument/2006/relationships/hyperlink" Target="https://issues.sierrawireless.com/browse/OEMPRI-4726" TargetMode="External"/><Relationship Id="rId469" Type="http://schemas.openxmlformats.org/officeDocument/2006/relationships/hyperlink" Target="https://issues.sierrawireless.com/browse/OEMPRI-3963" TargetMode="External"/><Relationship Id="rId226" Type="http://schemas.openxmlformats.org/officeDocument/2006/relationships/hyperlink" Target="https://issues.sierrawireless.com/browse/OEMPRI-4740" TargetMode="External"/><Relationship Id="rId468" Type="http://schemas.openxmlformats.org/officeDocument/2006/relationships/hyperlink" Target="https://issues.sierrawireless.com/browse/OEMPRI-3955" TargetMode="External"/><Relationship Id="rId225" Type="http://schemas.openxmlformats.org/officeDocument/2006/relationships/hyperlink" Target="https://issues.sierrawireless.com/browse/OEMPRI-4733" TargetMode="External"/><Relationship Id="rId467" Type="http://schemas.openxmlformats.org/officeDocument/2006/relationships/hyperlink" Target="https://issues.sierrawireless.com/browse/OEMPRI-3957" TargetMode="External"/><Relationship Id="rId229" Type="http://schemas.openxmlformats.org/officeDocument/2006/relationships/hyperlink" Target="https://issues.sierrawireless.com/browse/OEMPRI-4700" TargetMode="External"/><Relationship Id="rId1050" Type="http://schemas.openxmlformats.org/officeDocument/2006/relationships/hyperlink" Target="https://issues.sierrawireless.com/browse/OEMPRI-781" TargetMode="External"/><Relationship Id="rId220" Type="http://schemas.openxmlformats.org/officeDocument/2006/relationships/hyperlink" Target="https://issues.sierrawireless.com/browse/OEMPRI-4761" TargetMode="External"/><Relationship Id="rId462" Type="http://schemas.openxmlformats.org/officeDocument/2006/relationships/hyperlink" Target="https://issues.sierrawireless.com/browse/OEMPRI-3968" TargetMode="External"/><Relationship Id="rId1051" Type="http://schemas.openxmlformats.org/officeDocument/2006/relationships/hyperlink" Target="https://issues.sierrawireless.com/browse/OEMPRI-1969" TargetMode="External"/><Relationship Id="rId461" Type="http://schemas.openxmlformats.org/officeDocument/2006/relationships/hyperlink" Target="https://issues.sierrawireless.com/browse/OEMPRI-3969" TargetMode="External"/><Relationship Id="rId1052" Type="http://schemas.openxmlformats.org/officeDocument/2006/relationships/hyperlink" Target="https://issues.sierrawireless.com/browse/OEMPRI-1942" TargetMode="External"/><Relationship Id="rId460" Type="http://schemas.openxmlformats.org/officeDocument/2006/relationships/hyperlink" Target="https://issues.sierrawireless.com/browse/OEMPRI-3970" TargetMode="External"/><Relationship Id="rId1053" Type="http://schemas.openxmlformats.org/officeDocument/2006/relationships/hyperlink" Target="https://issues.sierrawireless.com/browse/OEMPRI-1941" TargetMode="External"/><Relationship Id="rId1054" Type="http://schemas.openxmlformats.org/officeDocument/2006/relationships/hyperlink" Target="https://issues.sierrawireless.com/browse/OEMPRI-1939" TargetMode="External"/><Relationship Id="rId224" Type="http://schemas.openxmlformats.org/officeDocument/2006/relationships/hyperlink" Target="https://issues.sierrawireless.com/browse/OEMPRI-4738" TargetMode="External"/><Relationship Id="rId466" Type="http://schemas.openxmlformats.org/officeDocument/2006/relationships/hyperlink" Target="https://issues.sierrawireless.com/browse/OEMPRI-3961" TargetMode="External"/><Relationship Id="rId1055" Type="http://schemas.openxmlformats.org/officeDocument/2006/relationships/hyperlink" Target="https://issues.sierrawireless.com/browse/OEMPRI-2108" TargetMode="External"/><Relationship Id="rId223" Type="http://schemas.openxmlformats.org/officeDocument/2006/relationships/hyperlink" Target="https://issues.sierrawireless.com/browse/OEMPRI-4737" TargetMode="External"/><Relationship Id="rId465" Type="http://schemas.openxmlformats.org/officeDocument/2006/relationships/hyperlink" Target="https://issues.sierrawireless.com/browse/OEMPRI-3964" TargetMode="External"/><Relationship Id="rId1056" Type="http://schemas.openxmlformats.org/officeDocument/2006/relationships/hyperlink" Target="https://issues.sierrawireless.com/browse/OEMPRI-2107" TargetMode="External"/><Relationship Id="rId222" Type="http://schemas.openxmlformats.org/officeDocument/2006/relationships/hyperlink" Target="https://issues.sierrawireless.com/browse/OEMPRI-4739" TargetMode="External"/><Relationship Id="rId464" Type="http://schemas.openxmlformats.org/officeDocument/2006/relationships/hyperlink" Target="https://issues.sierrawireless.com/browse/OEMPRI-3965" TargetMode="External"/><Relationship Id="rId1057" Type="http://schemas.openxmlformats.org/officeDocument/2006/relationships/hyperlink" Target="https://issues.sierrawireless.com/browse/OEMPRI-2077" TargetMode="External"/><Relationship Id="rId221" Type="http://schemas.openxmlformats.org/officeDocument/2006/relationships/hyperlink" Target="https://issues.sierrawireless.com/browse/OEMPRI-4760" TargetMode="External"/><Relationship Id="rId463" Type="http://schemas.openxmlformats.org/officeDocument/2006/relationships/hyperlink" Target="https://issues.sierrawireless.com/browse/OEMPRI-3966" TargetMode="External"/><Relationship Id="rId1058" Type="http://schemas.openxmlformats.org/officeDocument/2006/relationships/hyperlink" Target="https://issues.sierrawireless.com/browse/OEMPRI-2076" TargetMode="External"/><Relationship Id="rId1048" Type="http://schemas.openxmlformats.org/officeDocument/2006/relationships/hyperlink" Target="https://issues.sierrawireless.com/browse/OEMPRI-1638" TargetMode="External"/><Relationship Id="rId1049" Type="http://schemas.openxmlformats.org/officeDocument/2006/relationships/hyperlink" Target="https://issues.sierrawireless.com/browse/OEMPRI-1637" TargetMode="External"/><Relationship Id="rId217" Type="http://schemas.openxmlformats.org/officeDocument/2006/relationships/hyperlink" Target="https://issues.sierrawireless.com/browse/OEMPRI-4765" TargetMode="External"/><Relationship Id="rId459" Type="http://schemas.openxmlformats.org/officeDocument/2006/relationships/hyperlink" Target="https://issues.sierrawireless.com/browse/OEMPRI-3971" TargetMode="External"/><Relationship Id="rId216" Type="http://schemas.openxmlformats.org/officeDocument/2006/relationships/hyperlink" Target="https://issues.sierrawireless.com/browse/OEMPRI-4766" TargetMode="External"/><Relationship Id="rId458" Type="http://schemas.openxmlformats.org/officeDocument/2006/relationships/hyperlink" Target="https://issues.sierrawireless.com/browse/OEMPRI-3972" TargetMode="External"/><Relationship Id="rId215" Type="http://schemas.openxmlformats.org/officeDocument/2006/relationships/hyperlink" Target="https://issues.sierrawireless.com/browse/OEMPRI-4767" TargetMode="External"/><Relationship Id="rId457" Type="http://schemas.openxmlformats.org/officeDocument/2006/relationships/hyperlink" Target="https://issues.sierrawireless.com/browse/OEMPRI-3974" TargetMode="External"/><Relationship Id="rId699" Type="http://schemas.openxmlformats.org/officeDocument/2006/relationships/hyperlink" Target="https://issues.sierrawireless.com/browse/OEMPRI-2996" TargetMode="External"/><Relationship Id="rId214" Type="http://schemas.openxmlformats.org/officeDocument/2006/relationships/hyperlink" Target="https://issues.sierrawireless.com/browse/OEMPRI-4776" TargetMode="External"/><Relationship Id="rId456" Type="http://schemas.openxmlformats.org/officeDocument/2006/relationships/hyperlink" Target="https://issues.sierrawireless.com/browse/OEMPRI-3977" TargetMode="External"/><Relationship Id="rId698" Type="http://schemas.openxmlformats.org/officeDocument/2006/relationships/hyperlink" Target="https://issues.sierrawireless.com/browse/OEMPRI-3003" TargetMode="External"/><Relationship Id="rId219" Type="http://schemas.openxmlformats.org/officeDocument/2006/relationships/hyperlink" Target="https://issues.sierrawireless.com/browse/OEMPRI-4763" TargetMode="External"/><Relationship Id="rId218" Type="http://schemas.openxmlformats.org/officeDocument/2006/relationships/hyperlink" Target="https://issues.sierrawireless.com/browse/OEMPRI-4764" TargetMode="External"/><Relationship Id="rId451" Type="http://schemas.openxmlformats.org/officeDocument/2006/relationships/hyperlink" Target="https://issues.sierrawireless.com/browse/OEMPRI-3990" TargetMode="External"/><Relationship Id="rId693" Type="http://schemas.openxmlformats.org/officeDocument/2006/relationships/hyperlink" Target="https://issues.sierrawireless.com/browse/OEMPRI-2977" TargetMode="External"/><Relationship Id="rId1040" Type="http://schemas.openxmlformats.org/officeDocument/2006/relationships/hyperlink" Target="https://issues.sierrawireless.com/browse/OEMPRI-1697" TargetMode="External"/><Relationship Id="rId450" Type="http://schemas.openxmlformats.org/officeDocument/2006/relationships/hyperlink" Target="https://issues.sierrawireless.com/browse/OEMPRI-3991" TargetMode="External"/><Relationship Id="rId692" Type="http://schemas.openxmlformats.org/officeDocument/2006/relationships/hyperlink" Target="https://issues.sierrawireless.com/browse/OEMPRI-2978" TargetMode="External"/><Relationship Id="rId1041" Type="http://schemas.openxmlformats.org/officeDocument/2006/relationships/hyperlink" Target="https://issues.sierrawireless.com/browse/OEMPRI-1696" TargetMode="External"/><Relationship Id="rId691" Type="http://schemas.openxmlformats.org/officeDocument/2006/relationships/hyperlink" Target="https://issues.sierrawireless.com/browse/OEMPRI-2979" TargetMode="External"/><Relationship Id="rId1042" Type="http://schemas.openxmlformats.org/officeDocument/2006/relationships/hyperlink" Target="https://issues.sierrawireless.com/browse/OEMPRI-1695" TargetMode="External"/><Relationship Id="rId690" Type="http://schemas.openxmlformats.org/officeDocument/2006/relationships/hyperlink" Target="https://issues.sierrawireless.com/browse/OEMPRI-2981" TargetMode="External"/><Relationship Id="rId1043" Type="http://schemas.openxmlformats.org/officeDocument/2006/relationships/hyperlink" Target="https://issues.sierrawireless.com/browse/OEMPRI-1694" TargetMode="External"/><Relationship Id="rId213" Type="http://schemas.openxmlformats.org/officeDocument/2006/relationships/hyperlink" Target="https://issues.sierrawireless.com/browse/OEMPRI-4777" TargetMode="External"/><Relationship Id="rId455" Type="http://schemas.openxmlformats.org/officeDocument/2006/relationships/hyperlink" Target="https://issues.sierrawireless.com/browse/OEMPRI-3980" TargetMode="External"/><Relationship Id="rId697" Type="http://schemas.openxmlformats.org/officeDocument/2006/relationships/hyperlink" Target="https://issues.sierrawireless.com/browse/OEMPRI-3006" TargetMode="External"/><Relationship Id="rId1044" Type="http://schemas.openxmlformats.org/officeDocument/2006/relationships/hyperlink" Target="https://issues.sierrawireless.com/browse/OEMPRI-1693" TargetMode="External"/><Relationship Id="rId212" Type="http://schemas.openxmlformats.org/officeDocument/2006/relationships/hyperlink" Target="https://issues.sierrawireless.com/browse/OEMPRI-4778" TargetMode="External"/><Relationship Id="rId454" Type="http://schemas.openxmlformats.org/officeDocument/2006/relationships/hyperlink" Target="https://issues.sierrawireless.com/browse/OEMPRI-3981" TargetMode="External"/><Relationship Id="rId696" Type="http://schemas.openxmlformats.org/officeDocument/2006/relationships/hyperlink" Target="https://issues.sierrawireless.com/browse/OEMPRI-3009" TargetMode="External"/><Relationship Id="rId1045" Type="http://schemas.openxmlformats.org/officeDocument/2006/relationships/hyperlink" Target="https://issues.sierrawireless.com/browse/OEMPRI-1605" TargetMode="External"/><Relationship Id="rId211" Type="http://schemas.openxmlformats.org/officeDocument/2006/relationships/hyperlink" Target="https://issues.sierrawireless.com/browse/OEMPRI-4775" TargetMode="External"/><Relationship Id="rId453" Type="http://schemas.openxmlformats.org/officeDocument/2006/relationships/hyperlink" Target="https://issues.sierrawireless.com/browse/OEMPRI-3982" TargetMode="External"/><Relationship Id="rId695" Type="http://schemas.openxmlformats.org/officeDocument/2006/relationships/hyperlink" Target="https://issues.sierrawireless.com/browse/OEMPRI-3012" TargetMode="External"/><Relationship Id="rId1046" Type="http://schemas.openxmlformats.org/officeDocument/2006/relationships/hyperlink" Target="https://issues.sierrawireless.com/browse/OEMPRI-1779" TargetMode="External"/><Relationship Id="rId210" Type="http://schemas.openxmlformats.org/officeDocument/2006/relationships/hyperlink" Target="https://issues.sierrawireless.com/browse/OEMPRI-4779" TargetMode="External"/><Relationship Id="rId452" Type="http://schemas.openxmlformats.org/officeDocument/2006/relationships/hyperlink" Target="https://issues.sierrawireless.com/browse/OEMPRI-3988" TargetMode="External"/><Relationship Id="rId694" Type="http://schemas.openxmlformats.org/officeDocument/2006/relationships/hyperlink" Target="https://issues.sierrawireless.com/browse/OEMPRI-2975" TargetMode="External"/><Relationship Id="rId1047" Type="http://schemas.openxmlformats.org/officeDocument/2006/relationships/hyperlink" Target="https://issues.sierrawireless.com/browse/OEMPRI-1745" TargetMode="External"/><Relationship Id="rId491" Type="http://schemas.openxmlformats.org/officeDocument/2006/relationships/hyperlink" Target="https://issues.sierrawireless.com/browse/OEMPRI-3904" TargetMode="External"/><Relationship Id="rId490" Type="http://schemas.openxmlformats.org/officeDocument/2006/relationships/hyperlink" Target="https://issues.sierrawireless.com/browse/OEMPRI-3905" TargetMode="External"/><Relationship Id="rId249" Type="http://schemas.openxmlformats.org/officeDocument/2006/relationships/hyperlink" Target="https://issues.sierrawireless.com/browse/OEMPRI-4617" TargetMode="External"/><Relationship Id="rId248" Type="http://schemas.openxmlformats.org/officeDocument/2006/relationships/hyperlink" Target="https://issues.sierrawireless.com/browse/COUGAR-2089" TargetMode="External"/><Relationship Id="rId247" Type="http://schemas.openxmlformats.org/officeDocument/2006/relationships/hyperlink" Target="https://issues.sierrawireless.com/browse/COUGAR-2090" TargetMode="External"/><Relationship Id="rId489" Type="http://schemas.openxmlformats.org/officeDocument/2006/relationships/hyperlink" Target="https://issues.sierrawireless.com/browse/OEMPRI-3906" TargetMode="External"/><Relationship Id="rId1070" Type="http://schemas.openxmlformats.org/officeDocument/2006/relationships/hyperlink" Target="https://issues.sierrawireless.com/browse/OEMPRI-1973" TargetMode="External"/><Relationship Id="rId1071" Type="http://schemas.openxmlformats.org/officeDocument/2006/relationships/hyperlink" Target="https://issues.sierrawireless.com/browse/OEMPRI-1972" TargetMode="External"/><Relationship Id="rId1072" Type="http://schemas.openxmlformats.org/officeDocument/2006/relationships/hyperlink" Target="https://issues.sierrawireless.com/browse/OEMPRI-1971" TargetMode="External"/><Relationship Id="rId242" Type="http://schemas.openxmlformats.org/officeDocument/2006/relationships/hyperlink" Target="https://issues.sierrawireless.com/browse/OEMPRI-4654" TargetMode="External"/><Relationship Id="rId484" Type="http://schemas.openxmlformats.org/officeDocument/2006/relationships/hyperlink" Target="https://issues.sierrawireless.com/browse/OEMPRI-3924" TargetMode="External"/><Relationship Id="rId1073" Type="http://schemas.openxmlformats.org/officeDocument/2006/relationships/hyperlink" Target="https://issues.sierrawireless.com/browse/OEMPRI-1884" TargetMode="External"/><Relationship Id="rId241" Type="http://schemas.openxmlformats.org/officeDocument/2006/relationships/hyperlink" Target="https://issues.sierrawireless.com/browse/OEMPRI-4669" TargetMode="External"/><Relationship Id="rId483" Type="http://schemas.openxmlformats.org/officeDocument/2006/relationships/hyperlink" Target="https://issues.sierrawireless.com/browse/OEMPRI-3928" TargetMode="External"/><Relationship Id="rId1074" Type="http://schemas.openxmlformats.org/officeDocument/2006/relationships/hyperlink" Target="https://issues.sierrawireless.com/browse/OEMPRI-2046" TargetMode="External"/><Relationship Id="rId240" Type="http://schemas.openxmlformats.org/officeDocument/2006/relationships/hyperlink" Target="https://issues.sierrawireless.com/browse/OEMPRI-4684" TargetMode="External"/><Relationship Id="rId482" Type="http://schemas.openxmlformats.org/officeDocument/2006/relationships/hyperlink" Target="https://issues.sierrawireless.com/browse/OEMPRI-3929" TargetMode="External"/><Relationship Id="rId1075" Type="http://schemas.openxmlformats.org/officeDocument/2006/relationships/hyperlink" Target="https://issues.sierrawireless.com/browse/OEMPRI-2045" TargetMode="External"/><Relationship Id="rId481" Type="http://schemas.openxmlformats.org/officeDocument/2006/relationships/hyperlink" Target="https://issues.sierrawireless.com/browse/OEMPRI-3930" TargetMode="External"/><Relationship Id="rId1076" Type="http://schemas.openxmlformats.org/officeDocument/2006/relationships/hyperlink" Target="https://issues.sierrawireless.com/browse/OEMPRI-2147" TargetMode="External"/><Relationship Id="rId246" Type="http://schemas.openxmlformats.org/officeDocument/2006/relationships/hyperlink" Target="https://issues.sierrawireless.com/browse/OEMPRI-4625" TargetMode="External"/><Relationship Id="rId488" Type="http://schemas.openxmlformats.org/officeDocument/2006/relationships/hyperlink" Target="https://issues.sierrawireless.com/browse/OEMPRI-3907" TargetMode="External"/><Relationship Id="rId1077" Type="http://schemas.openxmlformats.org/officeDocument/2006/relationships/hyperlink" Target="https://issues.sierrawireless.com/browse/OEMPRI-2146" TargetMode="External"/><Relationship Id="rId245" Type="http://schemas.openxmlformats.org/officeDocument/2006/relationships/hyperlink" Target="https://issues.sierrawireless.com/browse/OEMPRI-4651" TargetMode="External"/><Relationship Id="rId487" Type="http://schemas.openxmlformats.org/officeDocument/2006/relationships/hyperlink" Target="https://issues.sierrawireless.com/browse/OEMPRI-3921" TargetMode="External"/><Relationship Id="rId1078" Type="http://schemas.openxmlformats.org/officeDocument/2006/relationships/hyperlink" Target="https://issues.sierrawireless.com/browse/OEMPRI-2145" TargetMode="External"/><Relationship Id="rId244" Type="http://schemas.openxmlformats.org/officeDocument/2006/relationships/hyperlink" Target="https://issues.sierrawireless.com/browse/OEMPRI-4649" TargetMode="External"/><Relationship Id="rId486" Type="http://schemas.openxmlformats.org/officeDocument/2006/relationships/hyperlink" Target="https://issues.sierrawireless.com/browse/OEMPRI-3922" TargetMode="External"/><Relationship Id="rId1079" Type="http://schemas.openxmlformats.org/officeDocument/2006/relationships/hyperlink" Target="https://issues.sierrawireless.com/browse/OEMPRI-2144" TargetMode="External"/><Relationship Id="rId243" Type="http://schemas.openxmlformats.org/officeDocument/2006/relationships/hyperlink" Target="https://issues.sierrawireless.com/browse/OEMPRI-4650" TargetMode="External"/><Relationship Id="rId485" Type="http://schemas.openxmlformats.org/officeDocument/2006/relationships/hyperlink" Target="https://issues.sierrawireless.com/browse/OEMPRI-3923" TargetMode="External"/><Relationship Id="rId480" Type="http://schemas.openxmlformats.org/officeDocument/2006/relationships/hyperlink" Target="https://issues.sierrawireless.com/browse/OEMPRI-3937" TargetMode="External"/><Relationship Id="rId239" Type="http://schemas.openxmlformats.org/officeDocument/2006/relationships/hyperlink" Target="https://issues.sierrawireless.com/browse/OEMPRI-4686" TargetMode="External"/><Relationship Id="rId238" Type="http://schemas.openxmlformats.org/officeDocument/2006/relationships/hyperlink" Target="https://issues.sierrawireless.com/browse/OEMPRI-4688" TargetMode="External"/><Relationship Id="rId237" Type="http://schemas.openxmlformats.org/officeDocument/2006/relationships/hyperlink" Target="https://issues.sierrawireless.com/browse/OEMPRI-4682" TargetMode="External"/><Relationship Id="rId479" Type="http://schemas.openxmlformats.org/officeDocument/2006/relationships/hyperlink" Target="https://issues.sierrawireless.com/browse/OEMPRI-3938" TargetMode="External"/><Relationship Id="rId236" Type="http://schemas.openxmlformats.org/officeDocument/2006/relationships/hyperlink" Target="https://issues.sierrawireless.com/browse/OEMPRI-4683" TargetMode="External"/><Relationship Id="rId478" Type="http://schemas.openxmlformats.org/officeDocument/2006/relationships/hyperlink" Target="https://issues.sierrawireless.com/browse/OEMPRI-3939" TargetMode="External"/><Relationship Id="rId1060" Type="http://schemas.openxmlformats.org/officeDocument/2006/relationships/hyperlink" Target="https://issues.sierrawireless.com/browse/OEMPRI-2074" TargetMode="External"/><Relationship Id="rId1061" Type="http://schemas.openxmlformats.org/officeDocument/2006/relationships/hyperlink" Target="https://issues.sierrawireless.com/browse/OEMPRI-2073" TargetMode="External"/><Relationship Id="rId231" Type="http://schemas.openxmlformats.org/officeDocument/2006/relationships/hyperlink" Target="https://issues.sierrawireless.com/browse/OEMPRI-4698" TargetMode="External"/><Relationship Id="rId473" Type="http://schemas.openxmlformats.org/officeDocument/2006/relationships/hyperlink" Target="https://issues.sierrawireless.com/browse/OEMPRI-3958" TargetMode="External"/><Relationship Id="rId1062" Type="http://schemas.openxmlformats.org/officeDocument/2006/relationships/hyperlink" Target="https://issues.sierrawireless.com/browse/OEMPRI-2072" TargetMode="External"/><Relationship Id="rId230" Type="http://schemas.openxmlformats.org/officeDocument/2006/relationships/hyperlink" Target="https://issues.sierrawireless.com/browse/OEMPRI-4699" TargetMode="External"/><Relationship Id="rId472" Type="http://schemas.openxmlformats.org/officeDocument/2006/relationships/hyperlink" Target="https://issues.sierrawireless.com/browse/OEMPRI-3959" TargetMode="External"/><Relationship Id="rId1063" Type="http://schemas.openxmlformats.org/officeDocument/2006/relationships/hyperlink" Target="https://issues.sierrawireless.com/browse/OEMPRI-1883" TargetMode="External"/><Relationship Id="rId471" Type="http://schemas.openxmlformats.org/officeDocument/2006/relationships/hyperlink" Target="https://issues.sierrawireless.com/browse/OEMPRI-3960" TargetMode="External"/><Relationship Id="rId1064" Type="http://schemas.openxmlformats.org/officeDocument/2006/relationships/hyperlink" Target="https://issues.sierrawireless.com/browse/OEMPRI-1851" TargetMode="External"/><Relationship Id="rId470" Type="http://schemas.openxmlformats.org/officeDocument/2006/relationships/hyperlink" Target="https://issues.sierrawireless.com/browse/OEMPRI-3962" TargetMode="External"/><Relationship Id="rId1065" Type="http://schemas.openxmlformats.org/officeDocument/2006/relationships/hyperlink" Target="https://issues.sierrawireless.com/browse/OEMPRI-1850" TargetMode="External"/><Relationship Id="rId235" Type="http://schemas.openxmlformats.org/officeDocument/2006/relationships/hyperlink" Target="https://issues.sierrawireless.com/browse/OEMPRI-4685" TargetMode="External"/><Relationship Id="rId477" Type="http://schemas.openxmlformats.org/officeDocument/2006/relationships/hyperlink" Target="https://issues.sierrawireless.com/browse/OEMPRI-3952" TargetMode="External"/><Relationship Id="rId1066" Type="http://schemas.openxmlformats.org/officeDocument/2006/relationships/hyperlink" Target="https://issues.sierrawireless.com/browse/OEMPRI-2143" TargetMode="External"/><Relationship Id="rId234" Type="http://schemas.openxmlformats.org/officeDocument/2006/relationships/hyperlink" Target="https://issues.sierrawireless.com/browse/OEMPRI-4687" TargetMode="External"/><Relationship Id="rId476" Type="http://schemas.openxmlformats.org/officeDocument/2006/relationships/hyperlink" Target="https://issues.sierrawireless.com/browse/OEMPRI-3953" TargetMode="External"/><Relationship Id="rId1067" Type="http://schemas.openxmlformats.org/officeDocument/2006/relationships/hyperlink" Target="https://issues.sierrawireless.com/browse/OEMPRI-2078" TargetMode="External"/><Relationship Id="rId233" Type="http://schemas.openxmlformats.org/officeDocument/2006/relationships/hyperlink" Target="https://issues.sierrawireless.com/browse/OEMPRI-4702" TargetMode="External"/><Relationship Id="rId475" Type="http://schemas.openxmlformats.org/officeDocument/2006/relationships/hyperlink" Target="https://issues.sierrawireless.com/browse/OEMPRI-3954" TargetMode="External"/><Relationship Id="rId1068" Type="http://schemas.openxmlformats.org/officeDocument/2006/relationships/hyperlink" Target="https://issues.sierrawireless.com/browse/OEMPRI-1975" TargetMode="External"/><Relationship Id="rId232" Type="http://schemas.openxmlformats.org/officeDocument/2006/relationships/hyperlink" Target="https://issues.sierrawireless.com/browse/OEMPRI-4697" TargetMode="External"/><Relationship Id="rId474" Type="http://schemas.openxmlformats.org/officeDocument/2006/relationships/hyperlink" Target="https://issues.sierrawireless.com/browse/OEMPRI-3956" TargetMode="External"/><Relationship Id="rId1069" Type="http://schemas.openxmlformats.org/officeDocument/2006/relationships/hyperlink" Target="https://issues.sierrawireless.com/browse/OEMPRI-1974" TargetMode="External"/><Relationship Id="rId1015" Type="http://schemas.openxmlformats.org/officeDocument/2006/relationships/hyperlink" Target="https://issues.sierrawireless.com/browse/OEMPRI-1632" TargetMode="External"/><Relationship Id="rId1016" Type="http://schemas.openxmlformats.org/officeDocument/2006/relationships/hyperlink" Target="https://issues.sierrawireless.com/browse/OEMPRI-1631" TargetMode="External"/><Relationship Id="rId1017" Type="http://schemas.openxmlformats.org/officeDocument/2006/relationships/hyperlink" Target="https://issues.sierrawireless.com/browse/OEMPRI-1630" TargetMode="External"/><Relationship Id="rId1018" Type="http://schemas.openxmlformats.org/officeDocument/2006/relationships/hyperlink" Target="https://issues.sierrawireless.com/browse/OEMPRI-1586" TargetMode="External"/><Relationship Id="rId1019" Type="http://schemas.openxmlformats.org/officeDocument/2006/relationships/hyperlink" Target="https://issues.sierrawireless.com/browse/OEMPRI-1824" TargetMode="External"/><Relationship Id="rId426" Type="http://schemas.openxmlformats.org/officeDocument/2006/relationships/hyperlink" Target="https://issues.sierrawireless.com/browse/OEMPRI-4032" TargetMode="External"/><Relationship Id="rId668" Type="http://schemas.openxmlformats.org/officeDocument/2006/relationships/hyperlink" Target="https://issues.sierrawireless.com/browse/OEMPRI-3029" TargetMode="External"/><Relationship Id="rId425" Type="http://schemas.openxmlformats.org/officeDocument/2006/relationships/hyperlink" Target="https://issues.sierrawireless.com/browse/OEMPRI-4051" TargetMode="External"/><Relationship Id="rId667" Type="http://schemas.openxmlformats.org/officeDocument/2006/relationships/hyperlink" Target="https://issues.sierrawireless.com/browse/OEMPRI-3033" TargetMode="External"/><Relationship Id="rId424" Type="http://schemas.openxmlformats.org/officeDocument/2006/relationships/hyperlink" Target="https://issues.sierrawireless.com/browse/OEMPRI-4052" TargetMode="External"/><Relationship Id="rId666" Type="http://schemas.openxmlformats.org/officeDocument/2006/relationships/hyperlink" Target="https://issues.sierrawireless.com/browse/OEMPRI-3045" TargetMode="External"/><Relationship Id="rId423" Type="http://schemas.openxmlformats.org/officeDocument/2006/relationships/hyperlink" Target="https://issues.sierrawireless.com/browse/OEMPRI-4047" TargetMode="External"/><Relationship Id="rId665" Type="http://schemas.openxmlformats.org/officeDocument/2006/relationships/hyperlink" Target="https://issues.sierrawireless.com/browse/OEMPRI-3048" TargetMode="External"/><Relationship Id="rId429" Type="http://schemas.openxmlformats.org/officeDocument/2006/relationships/hyperlink" Target="https://issues.sierrawireless.com/browse/OEMPRI-4031" TargetMode="External"/><Relationship Id="rId428" Type="http://schemas.openxmlformats.org/officeDocument/2006/relationships/hyperlink" Target="https://issues.sierrawireless.com/browse/OEMPRI-4033" TargetMode="External"/><Relationship Id="rId427" Type="http://schemas.openxmlformats.org/officeDocument/2006/relationships/hyperlink" Target="https://issues.sierrawireless.com/browse/OEMPRI-4036" TargetMode="External"/><Relationship Id="rId669" Type="http://schemas.openxmlformats.org/officeDocument/2006/relationships/hyperlink" Target="https://issues.sierrawireless.com/browse/OEMPRI-3025" TargetMode="External"/><Relationship Id="rId660" Type="http://schemas.openxmlformats.org/officeDocument/2006/relationships/hyperlink" Target="https://issues.sierrawireless.com/browse/OEMPRI-3027" TargetMode="External"/><Relationship Id="rId1010" Type="http://schemas.openxmlformats.org/officeDocument/2006/relationships/hyperlink" Target="https://issues.sierrawireless.com/browse/OEMPRI-1770" TargetMode="External"/><Relationship Id="rId422" Type="http://schemas.openxmlformats.org/officeDocument/2006/relationships/hyperlink" Target="https://issues.sierrawireless.com/browse/OEMPRI-4048" TargetMode="External"/><Relationship Id="rId664" Type="http://schemas.openxmlformats.org/officeDocument/2006/relationships/hyperlink" Target="https://issues.sierrawireless.com/browse/OEMPRI-3051" TargetMode="External"/><Relationship Id="rId1011" Type="http://schemas.openxmlformats.org/officeDocument/2006/relationships/hyperlink" Target="https://issues.sierrawireless.com/browse/OEMPRI-1740" TargetMode="External"/><Relationship Id="rId421" Type="http://schemas.openxmlformats.org/officeDocument/2006/relationships/hyperlink" Target="https://issues.sierrawireless.com/browse/OEMPRI-4057" TargetMode="External"/><Relationship Id="rId663" Type="http://schemas.openxmlformats.org/officeDocument/2006/relationships/hyperlink" Target="https://issues.sierrawireless.com/browse/OEMPRI-3022" TargetMode="External"/><Relationship Id="rId1012" Type="http://schemas.openxmlformats.org/officeDocument/2006/relationships/hyperlink" Target="https://issues.sierrawireless.com/browse/OEMPRI-1739" TargetMode="External"/><Relationship Id="rId420" Type="http://schemas.openxmlformats.org/officeDocument/2006/relationships/hyperlink" Target="https://issues.sierrawireless.com/browse/OEMPRI-4069" TargetMode="External"/><Relationship Id="rId662" Type="http://schemas.openxmlformats.org/officeDocument/2006/relationships/hyperlink" Target="https://issues.sierrawireless.com/browse/OEMPRI-3023" TargetMode="External"/><Relationship Id="rId1013" Type="http://schemas.openxmlformats.org/officeDocument/2006/relationships/hyperlink" Target="https://issues.sierrawireless.com/browse/OEMPRI-1736" TargetMode="External"/><Relationship Id="rId661" Type="http://schemas.openxmlformats.org/officeDocument/2006/relationships/hyperlink" Target="https://issues.sierrawireless.com/browse/OEMPRI-3026" TargetMode="External"/><Relationship Id="rId1014" Type="http://schemas.openxmlformats.org/officeDocument/2006/relationships/hyperlink" Target="https://issues.sierrawireless.com/browse/OEMPRI-1655" TargetMode="External"/><Relationship Id="rId1004" Type="http://schemas.openxmlformats.org/officeDocument/2006/relationships/hyperlink" Target="https://issues.sierrawireless.com/browse/OEMPRI-1654" TargetMode="External"/><Relationship Id="rId1005" Type="http://schemas.openxmlformats.org/officeDocument/2006/relationships/hyperlink" Target="https://issues.sierrawireless.com/browse/OEMPRI-1653" TargetMode="External"/><Relationship Id="rId1006" Type="http://schemas.openxmlformats.org/officeDocument/2006/relationships/hyperlink" Target="https://issues.sierrawireless.com/browse/OEMPRI-1627" TargetMode="External"/><Relationship Id="rId1007" Type="http://schemas.openxmlformats.org/officeDocument/2006/relationships/hyperlink" Target="https://issues.sierrawireless.com/browse/OEMPRI-1585" TargetMode="External"/><Relationship Id="rId1008" Type="http://schemas.openxmlformats.org/officeDocument/2006/relationships/hyperlink" Target="https://issues.sierrawireless.com/browse/OEMPRI-1584" TargetMode="External"/><Relationship Id="rId1009" Type="http://schemas.openxmlformats.org/officeDocument/2006/relationships/hyperlink" Target="https://issues.sierrawireless.com/browse/OEMPRI-1583" TargetMode="External"/><Relationship Id="rId415" Type="http://schemas.openxmlformats.org/officeDocument/2006/relationships/hyperlink" Target="https://issues.sierrawireless.com/browse/OEMPRI-4091" TargetMode="External"/><Relationship Id="rId657" Type="http://schemas.openxmlformats.org/officeDocument/2006/relationships/hyperlink" Target="https://issues.sierrawireless.com/browse/OEMPRI-3044" TargetMode="External"/><Relationship Id="rId899" Type="http://schemas.openxmlformats.org/officeDocument/2006/relationships/hyperlink" Target="https://issues.sierrawireless.com/browse/OEMPRI-1746" TargetMode="External"/><Relationship Id="rId414" Type="http://schemas.openxmlformats.org/officeDocument/2006/relationships/hyperlink" Target="https://issues.sierrawireless.com/browse/OEMPRI-4093" TargetMode="External"/><Relationship Id="rId656" Type="http://schemas.openxmlformats.org/officeDocument/2006/relationships/hyperlink" Target="https://issues.sierrawireless.com/browse/OEMPRI-3046" TargetMode="External"/><Relationship Id="rId898" Type="http://schemas.openxmlformats.org/officeDocument/2006/relationships/hyperlink" Target="https://issues.sierrawireless.com/browse/OEMPRI-1747" TargetMode="External"/><Relationship Id="rId413" Type="http://schemas.openxmlformats.org/officeDocument/2006/relationships/hyperlink" Target="https://issues.sierrawireless.com/browse/OEMPRI-4078" TargetMode="External"/><Relationship Id="rId655" Type="http://schemas.openxmlformats.org/officeDocument/2006/relationships/hyperlink" Target="https://issues.sierrawireless.com/browse/OEMPRI-3047" TargetMode="External"/><Relationship Id="rId897" Type="http://schemas.openxmlformats.org/officeDocument/2006/relationships/hyperlink" Target="https://issues.sierrawireless.com/browse/OEMPRI-1748" TargetMode="External"/><Relationship Id="rId412" Type="http://schemas.openxmlformats.org/officeDocument/2006/relationships/hyperlink" Target="https://issues.sierrawireless.com/browse/OEMPRI-4082" TargetMode="External"/><Relationship Id="rId654" Type="http://schemas.openxmlformats.org/officeDocument/2006/relationships/hyperlink" Target="https://issues.sierrawireless.com/browse/OEMPRI-3049" TargetMode="External"/><Relationship Id="rId896" Type="http://schemas.openxmlformats.org/officeDocument/2006/relationships/hyperlink" Target="https://issues.sierrawireless.com/browse/OEMPRI-1606" TargetMode="External"/><Relationship Id="rId419" Type="http://schemas.openxmlformats.org/officeDocument/2006/relationships/hyperlink" Target="https://issues.sierrawireless.com/browse/OEMPRI-4096" TargetMode="External"/><Relationship Id="rId418" Type="http://schemas.openxmlformats.org/officeDocument/2006/relationships/hyperlink" Target="https://issues.sierrawireless.com/browse/OEMPRI-4106" TargetMode="External"/><Relationship Id="rId417" Type="http://schemas.openxmlformats.org/officeDocument/2006/relationships/hyperlink" Target="https://issues.sierrawireless.com/browse/OEMPRI-4085" TargetMode="External"/><Relationship Id="rId659" Type="http://schemas.openxmlformats.org/officeDocument/2006/relationships/hyperlink" Target="https://issues.sierrawireless.com/browse/OEMPRI-3030" TargetMode="External"/><Relationship Id="rId416" Type="http://schemas.openxmlformats.org/officeDocument/2006/relationships/hyperlink" Target="https://issues.sierrawireless.com/browse/OEMPRI-4086" TargetMode="External"/><Relationship Id="rId658" Type="http://schemas.openxmlformats.org/officeDocument/2006/relationships/hyperlink" Target="https://issues.sierrawireless.com/browse/OEMPRI-3034" TargetMode="External"/><Relationship Id="rId891" Type="http://schemas.openxmlformats.org/officeDocument/2006/relationships/hyperlink" Target="https://issues.sierrawireless.com/browse/OEMPRI-704" TargetMode="External"/><Relationship Id="rId890" Type="http://schemas.openxmlformats.org/officeDocument/2006/relationships/hyperlink" Target="https://issues.sierrawireless.com/browse/OEMPRI-706" TargetMode="External"/><Relationship Id="rId411" Type="http://schemas.openxmlformats.org/officeDocument/2006/relationships/hyperlink" Target="https://issues.sierrawireless.com/browse/OEMPRI-4090" TargetMode="External"/><Relationship Id="rId653" Type="http://schemas.openxmlformats.org/officeDocument/2006/relationships/hyperlink" Target="https://issues.sierrawireless.com/browse/OEMPRI-3050" TargetMode="External"/><Relationship Id="rId895" Type="http://schemas.openxmlformats.org/officeDocument/2006/relationships/hyperlink" Target="https://issues.sierrawireless.com/browse/OEMPRI-310" TargetMode="External"/><Relationship Id="rId1000" Type="http://schemas.openxmlformats.org/officeDocument/2006/relationships/hyperlink" Target="https://issues.sierrawireless.com/browse/OEMPRI-1767" TargetMode="External"/><Relationship Id="rId410" Type="http://schemas.openxmlformats.org/officeDocument/2006/relationships/hyperlink" Target="https://issues.sierrawireless.com/browse/OEMPRI-4092" TargetMode="External"/><Relationship Id="rId652" Type="http://schemas.openxmlformats.org/officeDocument/2006/relationships/hyperlink" Target="https://issues.sierrawireless.com/browse/OEMPRI-3052" TargetMode="External"/><Relationship Id="rId894" Type="http://schemas.openxmlformats.org/officeDocument/2006/relationships/hyperlink" Target="https://issues.sierrawireless.com/browse/OEMPRI-611" TargetMode="External"/><Relationship Id="rId1001" Type="http://schemas.openxmlformats.org/officeDocument/2006/relationships/hyperlink" Target="https://issues.sierrawireless.com/browse/OEMPRI-1766" TargetMode="External"/><Relationship Id="rId651" Type="http://schemas.openxmlformats.org/officeDocument/2006/relationships/hyperlink" Target="https://issues.sierrawireless.com/browse/OEMPRI-3053" TargetMode="External"/><Relationship Id="rId893" Type="http://schemas.openxmlformats.org/officeDocument/2006/relationships/hyperlink" Target="https://issues.sierrawireless.com/browse/OEMPRI-651" TargetMode="External"/><Relationship Id="rId1002" Type="http://schemas.openxmlformats.org/officeDocument/2006/relationships/hyperlink" Target="https://issues.sierrawireless.com/browse/OEMPRI-1765" TargetMode="External"/><Relationship Id="rId650" Type="http://schemas.openxmlformats.org/officeDocument/2006/relationships/hyperlink" Target="https://issues.sierrawireless.com/browse/OEMPRI-3064" TargetMode="External"/><Relationship Id="rId892" Type="http://schemas.openxmlformats.org/officeDocument/2006/relationships/hyperlink" Target="https://issues.sierrawireless.com/browse/OEMPRI-703" TargetMode="External"/><Relationship Id="rId1003" Type="http://schemas.openxmlformats.org/officeDocument/2006/relationships/hyperlink" Target="https://issues.sierrawireless.com/browse/OEMPRI-1656" TargetMode="External"/><Relationship Id="rId1037" Type="http://schemas.openxmlformats.org/officeDocument/2006/relationships/hyperlink" Target="https://issues.sierrawireless.com/browse/OEMPRI-1633" TargetMode="External"/><Relationship Id="rId1038" Type="http://schemas.openxmlformats.org/officeDocument/2006/relationships/hyperlink" Target="https://issues.sierrawireless.com/browse/OEMPRI-1715" TargetMode="External"/><Relationship Id="rId1039" Type="http://schemas.openxmlformats.org/officeDocument/2006/relationships/hyperlink" Target="https://issues.sierrawireless.com/browse/OEMPRI-1802" TargetMode="External"/><Relationship Id="rId206" Type="http://schemas.openxmlformats.org/officeDocument/2006/relationships/hyperlink" Target="https://issues.sierrawireless.com/browse/OEMPRI-4821" TargetMode="External"/><Relationship Id="rId448" Type="http://schemas.openxmlformats.org/officeDocument/2006/relationships/hyperlink" Target="https://issues.sierrawireless.com/browse/OEMPRI-3994" TargetMode="External"/><Relationship Id="rId205" Type="http://schemas.openxmlformats.org/officeDocument/2006/relationships/hyperlink" Target="https://issues.sierrawireless.com/browse/OEMPRI-4814" TargetMode="External"/><Relationship Id="rId447" Type="http://schemas.openxmlformats.org/officeDocument/2006/relationships/hyperlink" Target="https://issues.sierrawireless.com/browse/OEMPRI-3995" TargetMode="External"/><Relationship Id="rId689" Type="http://schemas.openxmlformats.org/officeDocument/2006/relationships/hyperlink" Target="https://issues.sierrawireless.com/browse/OEMPRI-2982" TargetMode="External"/><Relationship Id="rId204" Type="http://schemas.openxmlformats.org/officeDocument/2006/relationships/hyperlink" Target="https://issues.sierrawireless.com/browse/OEMPRI-4815" TargetMode="External"/><Relationship Id="rId446" Type="http://schemas.openxmlformats.org/officeDocument/2006/relationships/hyperlink" Target="https://issues.sierrawireless.com/browse/OEMPRI-3997" TargetMode="External"/><Relationship Id="rId688" Type="http://schemas.openxmlformats.org/officeDocument/2006/relationships/hyperlink" Target="https://issues.sierrawireless.com/browse/OEMPRI-2986" TargetMode="External"/><Relationship Id="rId203" Type="http://schemas.openxmlformats.org/officeDocument/2006/relationships/hyperlink" Target="https://issues.sierrawireless.com/browse/OEMPRI-4816" TargetMode="External"/><Relationship Id="rId445" Type="http://schemas.openxmlformats.org/officeDocument/2006/relationships/hyperlink" Target="https://issues.sierrawireless.com/browse/OEMPRI-3998" TargetMode="External"/><Relationship Id="rId687" Type="http://schemas.openxmlformats.org/officeDocument/2006/relationships/hyperlink" Target="https://issues.sierrawireless.com/browse/OEMPRI-2987" TargetMode="External"/><Relationship Id="rId209" Type="http://schemas.openxmlformats.org/officeDocument/2006/relationships/hyperlink" Target="https://issues.sierrawireless.com/browse/OEMPRI-4802" TargetMode="External"/><Relationship Id="rId208" Type="http://schemas.openxmlformats.org/officeDocument/2006/relationships/hyperlink" Target="https://issues.sierrawireless.com/browse/OEMPRI-4800" TargetMode="External"/><Relationship Id="rId207" Type="http://schemas.openxmlformats.org/officeDocument/2006/relationships/hyperlink" Target="https://issues.sierrawireless.com/browse/OEMPRI-4801" TargetMode="External"/><Relationship Id="rId449" Type="http://schemas.openxmlformats.org/officeDocument/2006/relationships/hyperlink" Target="https://issues.sierrawireless.com/browse/OEMPRI-3993" TargetMode="External"/><Relationship Id="rId440" Type="http://schemas.openxmlformats.org/officeDocument/2006/relationships/hyperlink" Target="https://issues.sierrawireless.com/browse/OEMPRI-4003" TargetMode="External"/><Relationship Id="rId682" Type="http://schemas.openxmlformats.org/officeDocument/2006/relationships/hyperlink" Target="https://issues.sierrawireless.com/browse/OEMPRI-2999" TargetMode="External"/><Relationship Id="rId681" Type="http://schemas.openxmlformats.org/officeDocument/2006/relationships/hyperlink" Target="https://issues.sierrawireless.com/browse/OEMPRI-3000" TargetMode="External"/><Relationship Id="rId1030" Type="http://schemas.openxmlformats.org/officeDocument/2006/relationships/hyperlink" Target="https://issues.sierrawireless.com/browse/OEMPRI-1771" TargetMode="External"/><Relationship Id="rId680" Type="http://schemas.openxmlformats.org/officeDocument/2006/relationships/hyperlink" Target="https://issues.sierrawireless.com/browse/OEMPRI-3001" TargetMode="External"/><Relationship Id="rId1031" Type="http://schemas.openxmlformats.org/officeDocument/2006/relationships/hyperlink" Target="https://issues.sierrawireless.com/browse/OEMPRI-1665" TargetMode="External"/><Relationship Id="rId1032" Type="http://schemas.openxmlformats.org/officeDocument/2006/relationships/hyperlink" Target="https://issues.sierrawireless.com/browse/OEMPRI-1664" TargetMode="External"/><Relationship Id="rId202" Type="http://schemas.openxmlformats.org/officeDocument/2006/relationships/hyperlink" Target="https://issues.sierrawireless.com/browse/OEMPRI-4817" TargetMode="External"/><Relationship Id="rId444" Type="http://schemas.openxmlformats.org/officeDocument/2006/relationships/hyperlink" Target="https://issues.sierrawireless.com/browse/OEMPRI-3999" TargetMode="External"/><Relationship Id="rId686" Type="http://schemas.openxmlformats.org/officeDocument/2006/relationships/hyperlink" Target="https://issues.sierrawireless.com/browse/OEMPRI-2989" TargetMode="External"/><Relationship Id="rId1033" Type="http://schemas.openxmlformats.org/officeDocument/2006/relationships/hyperlink" Target="https://issues.sierrawireless.com/browse/OEMPRI-1663" TargetMode="External"/><Relationship Id="rId201" Type="http://schemas.openxmlformats.org/officeDocument/2006/relationships/hyperlink" Target="https://issues.sierrawireless.com/browse/OEMPRI-4820" TargetMode="External"/><Relationship Id="rId443" Type="http://schemas.openxmlformats.org/officeDocument/2006/relationships/hyperlink" Target="https://issues.sierrawireless.com/browse/OEMPRI-4000" TargetMode="External"/><Relationship Id="rId685" Type="http://schemas.openxmlformats.org/officeDocument/2006/relationships/hyperlink" Target="https://issues.sierrawireless.com/browse/OEMPRI-2990" TargetMode="External"/><Relationship Id="rId1034" Type="http://schemas.openxmlformats.org/officeDocument/2006/relationships/hyperlink" Target="https://issues.sierrawireless.com/browse/OEMPRI-1636" TargetMode="External"/><Relationship Id="rId200" Type="http://schemas.openxmlformats.org/officeDocument/2006/relationships/hyperlink" Target="https://issues.sierrawireless.com/browse/OEMPRI-4826" TargetMode="External"/><Relationship Id="rId442" Type="http://schemas.openxmlformats.org/officeDocument/2006/relationships/hyperlink" Target="https://issues.sierrawireless.com/browse/OEMPRI-4001" TargetMode="External"/><Relationship Id="rId684" Type="http://schemas.openxmlformats.org/officeDocument/2006/relationships/hyperlink" Target="https://issues.sierrawireless.com/browse/OEMPRI-2997" TargetMode="External"/><Relationship Id="rId1035" Type="http://schemas.openxmlformats.org/officeDocument/2006/relationships/hyperlink" Target="https://issues.sierrawireless.com/browse/OEMPRI-1635" TargetMode="External"/><Relationship Id="rId441" Type="http://schemas.openxmlformats.org/officeDocument/2006/relationships/hyperlink" Target="https://issues.sierrawireless.com/browse/OEMPRI-4002" TargetMode="External"/><Relationship Id="rId683" Type="http://schemas.openxmlformats.org/officeDocument/2006/relationships/hyperlink" Target="https://issues.sierrawireless.com/browse/OEMPRI-2998" TargetMode="External"/><Relationship Id="rId1036" Type="http://schemas.openxmlformats.org/officeDocument/2006/relationships/hyperlink" Target="https://issues.sierrawireless.com/browse/OEMPRI-1634" TargetMode="External"/><Relationship Id="rId1026" Type="http://schemas.openxmlformats.org/officeDocument/2006/relationships/hyperlink" Target="https://issues.sierrawireless.com/browse/OEMPRI-1657" TargetMode="External"/><Relationship Id="rId1027" Type="http://schemas.openxmlformats.org/officeDocument/2006/relationships/hyperlink" Target="https://issues.sierrawireless.com/browse/OEMPRI-1801" TargetMode="External"/><Relationship Id="rId1028" Type="http://schemas.openxmlformats.org/officeDocument/2006/relationships/hyperlink" Target="https://issues.sierrawireless.com/browse/OEMPRI-1603" TargetMode="External"/><Relationship Id="rId1029" Type="http://schemas.openxmlformats.org/officeDocument/2006/relationships/hyperlink" Target="https://issues.sierrawireless.com/browse/OEMPRI-1827" TargetMode="External"/><Relationship Id="rId437" Type="http://schemas.openxmlformats.org/officeDocument/2006/relationships/hyperlink" Target="https://issues.sierrawireless.com/browse/OEMPRI-4020" TargetMode="External"/><Relationship Id="rId679" Type="http://schemas.openxmlformats.org/officeDocument/2006/relationships/hyperlink" Target="https://issues.sierrawireless.com/browse/OEMPRI-3004" TargetMode="External"/><Relationship Id="rId436" Type="http://schemas.openxmlformats.org/officeDocument/2006/relationships/hyperlink" Target="https://issues.sierrawireless.com/browse/OEMPRI-4017" TargetMode="External"/><Relationship Id="rId678" Type="http://schemas.openxmlformats.org/officeDocument/2006/relationships/hyperlink" Target="https://issues.sierrawireless.com/browse/OEMPRI-3005" TargetMode="External"/><Relationship Id="rId435" Type="http://schemas.openxmlformats.org/officeDocument/2006/relationships/hyperlink" Target="https://issues.sierrawireless.com/browse/OEMPRI-4018" TargetMode="External"/><Relationship Id="rId677" Type="http://schemas.openxmlformats.org/officeDocument/2006/relationships/hyperlink" Target="https://issues.sierrawireless.com/browse/OEMPRI-3007" TargetMode="External"/><Relationship Id="rId434" Type="http://schemas.openxmlformats.org/officeDocument/2006/relationships/hyperlink" Target="https://issues.sierrawireless.com/browse/OEMPRI-4019" TargetMode="External"/><Relationship Id="rId676" Type="http://schemas.openxmlformats.org/officeDocument/2006/relationships/hyperlink" Target="https://issues.sierrawireless.com/browse/OEMPRI-3008" TargetMode="External"/><Relationship Id="rId439" Type="http://schemas.openxmlformats.org/officeDocument/2006/relationships/hyperlink" Target="https://issues.sierrawireless.com/browse/OEMPRI-4004" TargetMode="External"/><Relationship Id="rId438" Type="http://schemas.openxmlformats.org/officeDocument/2006/relationships/hyperlink" Target="https://issues.sierrawireless.com/browse/OEMPRI-4016" TargetMode="External"/><Relationship Id="rId671" Type="http://schemas.openxmlformats.org/officeDocument/2006/relationships/hyperlink" Target="https://issues.sierrawireless.com/browse/OEMPRI-3018" TargetMode="External"/><Relationship Id="rId670" Type="http://schemas.openxmlformats.org/officeDocument/2006/relationships/hyperlink" Target="https://issues.sierrawireless.com/browse/OEMPRI-3024" TargetMode="External"/><Relationship Id="rId1020" Type="http://schemas.openxmlformats.org/officeDocument/2006/relationships/hyperlink" Target="https://issues.sierrawireless.com/browse/OEMPRI-1744" TargetMode="External"/><Relationship Id="rId1021" Type="http://schemas.openxmlformats.org/officeDocument/2006/relationships/hyperlink" Target="https://issues.sierrawireless.com/browse/OEMPRI-1743" TargetMode="External"/><Relationship Id="rId433" Type="http://schemas.openxmlformats.org/officeDocument/2006/relationships/hyperlink" Target="https://issues.sierrawireless.com/browse/OEMPRI-4022" TargetMode="External"/><Relationship Id="rId675" Type="http://schemas.openxmlformats.org/officeDocument/2006/relationships/hyperlink" Target="https://issues.sierrawireless.com/browse/OEMPRI-3010" TargetMode="External"/><Relationship Id="rId1022" Type="http://schemas.openxmlformats.org/officeDocument/2006/relationships/hyperlink" Target="https://issues.sierrawireless.com/browse/OEMPRI-1742" TargetMode="External"/><Relationship Id="rId432" Type="http://schemas.openxmlformats.org/officeDocument/2006/relationships/hyperlink" Target="https://issues.sierrawireless.com/browse/OEMPRI-4026" TargetMode="External"/><Relationship Id="rId674" Type="http://schemas.openxmlformats.org/officeDocument/2006/relationships/hyperlink" Target="https://issues.sierrawireless.com/browse/OEMPRI-3011" TargetMode="External"/><Relationship Id="rId1023" Type="http://schemas.openxmlformats.org/officeDocument/2006/relationships/hyperlink" Target="https://issues.sierrawireless.com/browse/OEMPRI-1602" TargetMode="External"/><Relationship Id="rId431" Type="http://schemas.openxmlformats.org/officeDocument/2006/relationships/hyperlink" Target="https://issues.sierrawireless.com/browse/OEMPRI-4027" TargetMode="External"/><Relationship Id="rId673" Type="http://schemas.openxmlformats.org/officeDocument/2006/relationships/hyperlink" Target="https://issues.sierrawireless.com/browse/OEMPRI-3013" TargetMode="External"/><Relationship Id="rId1024" Type="http://schemas.openxmlformats.org/officeDocument/2006/relationships/hyperlink" Target="https://issues.sierrawireless.com/browse/OEMPRI-1659" TargetMode="External"/><Relationship Id="rId430" Type="http://schemas.openxmlformats.org/officeDocument/2006/relationships/hyperlink" Target="https://issues.sierrawireless.com/browse/OEMPRI-4028" TargetMode="External"/><Relationship Id="rId672" Type="http://schemas.openxmlformats.org/officeDocument/2006/relationships/hyperlink" Target="https://issues.sierrawireless.com/browse/OEMPRI-3014" TargetMode="External"/><Relationship Id="rId1025" Type="http://schemas.openxmlformats.org/officeDocument/2006/relationships/hyperlink" Target="https://issues.sierrawireless.com/browse/OEMPRI-1658"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issues.sierrawireless.com/browse/OEMPRI-4760" TargetMode="External"/><Relationship Id="rId194" Type="http://schemas.openxmlformats.org/officeDocument/2006/relationships/hyperlink" Target="https://issues.sierrawireless.com/browse/OEMPRI-4737" TargetMode="External"/><Relationship Id="rId193" Type="http://schemas.openxmlformats.org/officeDocument/2006/relationships/hyperlink" Target="https://issues.sierrawireless.com/browse/OEMPRI-4740" TargetMode="External"/><Relationship Id="rId192" Type="http://schemas.openxmlformats.org/officeDocument/2006/relationships/hyperlink" Target="https://issues.sierrawireless.com/browse/OEMPRI-4733" TargetMode="External"/><Relationship Id="rId191" Type="http://schemas.openxmlformats.org/officeDocument/2006/relationships/hyperlink" Target="https://issues.sierrawireless.com/browse/OEMPRI-4739" TargetMode="External"/><Relationship Id="rId187" Type="http://schemas.openxmlformats.org/officeDocument/2006/relationships/hyperlink" Target="https://issues.sierrawireless.com/browse/OEMPRI-4764" TargetMode="External"/><Relationship Id="rId186" Type="http://schemas.openxmlformats.org/officeDocument/2006/relationships/hyperlink" Target="https://issues.sierrawireless.com/browse/OEMPRI-4765" TargetMode="External"/><Relationship Id="rId185" Type="http://schemas.openxmlformats.org/officeDocument/2006/relationships/hyperlink" Target="https://issues.sierrawireless.com/browse/OEMPRI-4766" TargetMode="External"/><Relationship Id="rId184" Type="http://schemas.openxmlformats.org/officeDocument/2006/relationships/hyperlink" Target="https://issues.sierrawireless.com/browse/OEMPRI-4767" TargetMode="External"/><Relationship Id="rId189" Type="http://schemas.openxmlformats.org/officeDocument/2006/relationships/hyperlink" Target="https://issues.sierrawireless.com/browse/OEMPRI-4761" TargetMode="External"/><Relationship Id="rId188" Type="http://schemas.openxmlformats.org/officeDocument/2006/relationships/hyperlink" Target="https://issues.sierrawireless.com/browse/OEMPRI-4763" TargetMode="External"/><Relationship Id="rId183" Type="http://schemas.openxmlformats.org/officeDocument/2006/relationships/hyperlink" Target="https://issues.sierrawireless.com/browse/OEMPRI-4776" TargetMode="External"/><Relationship Id="rId182" Type="http://schemas.openxmlformats.org/officeDocument/2006/relationships/hyperlink" Target="https://issues.sierrawireless.com/browse/OEMPRI-4777" TargetMode="External"/><Relationship Id="rId181" Type="http://schemas.openxmlformats.org/officeDocument/2006/relationships/hyperlink" Target="https://issues.sierrawireless.com/browse/OEMPRI-4778" TargetMode="External"/><Relationship Id="rId180" Type="http://schemas.openxmlformats.org/officeDocument/2006/relationships/hyperlink" Target="https://issues.sierrawireless.com/browse/OEMPRI-4775" TargetMode="External"/><Relationship Id="rId176" Type="http://schemas.openxmlformats.org/officeDocument/2006/relationships/hyperlink" Target="https://issues.sierrawireless.com/browse/OEMPRI-4801" TargetMode="External"/><Relationship Id="rId175" Type="http://schemas.openxmlformats.org/officeDocument/2006/relationships/hyperlink" Target="https://issues.sierrawireless.com/browse/OEMPRI-4821" TargetMode="External"/><Relationship Id="rId174" Type="http://schemas.openxmlformats.org/officeDocument/2006/relationships/hyperlink" Target="https://issues.sierrawireless.com/browse/OEMPRI-4814" TargetMode="External"/><Relationship Id="rId173" Type="http://schemas.openxmlformats.org/officeDocument/2006/relationships/hyperlink" Target="https://issues.sierrawireless.com/browse/OEMPRI-4815" TargetMode="External"/><Relationship Id="rId179" Type="http://schemas.openxmlformats.org/officeDocument/2006/relationships/hyperlink" Target="https://issues.sierrawireless.com/browse/OEMPRI-4779" TargetMode="External"/><Relationship Id="rId178" Type="http://schemas.openxmlformats.org/officeDocument/2006/relationships/hyperlink" Target="https://issues.sierrawireless.com/browse/OEMPRI-4802" TargetMode="External"/><Relationship Id="rId177" Type="http://schemas.openxmlformats.org/officeDocument/2006/relationships/hyperlink" Target="https://issues.sierrawireless.com/browse/OEMPRI-4800" TargetMode="External"/><Relationship Id="rId198" Type="http://schemas.openxmlformats.org/officeDocument/2006/relationships/hyperlink" Target="https://issues.sierrawireless.com/browse/OEMPRI-4700" TargetMode="External"/><Relationship Id="rId197" Type="http://schemas.openxmlformats.org/officeDocument/2006/relationships/hyperlink" Target="https://issues.sierrawireless.com/browse/OEMPRI-4701" TargetMode="External"/><Relationship Id="rId196" Type="http://schemas.openxmlformats.org/officeDocument/2006/relationships/hyperlink" Target="https://issues.sierrawireless.com/browse/OEMPRI-4726" TargetMode="External"/><Relationship Id="rId195" Type="http://schemas.openxmlformats.org/officeDocument/2006/relationships/hyperlink" Target="https://issues.sierrawireless.com/browse/OEMPRI-4738" TargetMode="External"/><Relationship Id="rId199" Type="http://schemas.openxmlformats.org/officeDocument/2006/relationships/hyperlink" Target="https://issues.sierrawireless.com/browse/OEMPRI-4699" TargetMode="External"/><Relationship Id="rId150" Type="http://schemas.openxmlformats.org/officeDocument/2006/relationships/hyperlink" Target="https://issues.sierrawireless.com/browse/OEMPRI-4867" TargetMode="External"/><Relationship Id="rId392" Type="http://schemas.openxmlformats.org/officeDocument/2006/relationships/hyperlink" Target="https://issues.sierrawireless.com/browse/OEMPRI-4027" TargetMode="External"/><Relationship Id="rId391" Type="http://schemas.openxmlformats.org/officeDocument/2006/relationships/hyperlink" Target="https://issues.sierrawireless.com/browse/OEMPRI-4028" TargetMode="External"/><Relationship Id="rId390" Type="http://schemas.openxmlformats.org/officeDocument/2006/relationships/hyperlink" Target="https://issues.sierrawireless.com/browse/OEMPRI-4031" TargetMode="External"/><Relationship Id="rId1" Type="http://schemas.openxmlformats.org/officeDocument/2006/relationships/hyperlink" Target="https://issues.sierrawireless.com/browse/OEMPRI-5381" TargetMode="External"/><Relationship Id="rId2" Type="http://schemas.openxmlformats.org/officeDocument/2006/relationships/hyperlink" Target="https://issues.sierrawireless.com/browse/OEMPRI-5377" TargetMode="External"/><Relationship Id="rId3" Type="http://schemas.openxmlformats.org/officeDocument/2006/relationships/hyperlink" Target="https://issues.sierrawireless.com/browse/OEMPRI-5376" TargetMode="External"/><Relationship Id="rId149" Type="http://schemas.openxmlformats.org/officeDocument/2006/relationships/hyperlink" Target="https://issues.sierrawireless.com/browse/OEMPRI-4926" TargetMode="External"/><Relationship Id="rId4" Type="http://schemas.openxmlformats.org/officeDocument/2006/relationships/hyperlink" Target="https://issues.sierrawireless.com/browse/OEMPRI-5375" TargetMode="External"/><Relationship Id="rId148" Type="http://schemas.openxmlformats.org/officeDocument/2006/relationships/hyperlink" Target="https://issues.sierrawireless.com/browse/OEMPRI-4930" TargetMode="External"/><Relationship Id="rId1090" Type="http://schemas.openxmlformats.org/officeDocument/2006/relationships/hyperlink" Target="https://issues.sierrawireless.com/browse/OEMPRI-1864" TargetMode="External"/><Relationship Id="rId1091" Type="http://schemas.openxmlformats.org/officeDocument/2006/relationships/hyperlink" Target="https://issues.sierrawireless.com/browse/OEMPRI-1863" TargetMode="External"/><Relationship Id="rId1092" Type="http://schemas.openxmlformats.org/officeDocument/2006/relationships/hyperlink" Target="https://issues.sierrawireless.com/browse/OEMPRI-1862" TargetMode="External"/><Relationship Id="rId1093" Type="http://schemas.openxmlformats.org/officeDocument/2006/relationships/hyperlink" Target="https://issues.sierrawireless.com/browse/OEMPRI-1861" TargetMode="External"/><Relationship Id="rId1094" Type="http://schemas.openxmlformats.org/officeDocument/2006/relationships/hyperlink" Target="https://issues.sierrawireless.com/browse/OEMPRI-2118" TargetMode="External"/><Relationship Id="rId9" Type="http://schemas.openxmlformats.org/officeDocument/2006/relationships/hyperlink" Target="https://issues.sierrawireless.com/browse/OEMPRI-5367" TargetMode="External"/><Relationship Id="rId143" Type="http://schemas.openxmlformats.org/officeDocument/2006/relationships/hyperlink" Target="https://issues.sierrawireless.com/browse/OEMPRI-5008" TargetMode="External"/><Relationship Id="rId385" Type="http://schemas.openxmlformats.org/officeDocument/2006/relationships/hyperlink" Target="https://issues.sierrawireless.com/browse/OEMPRI-4057" TargetMode="External"/><Relationship Id="rId1095" Type="http://schemas.openxmlformats.org/officeDocument/2006/relationships/hyperlink" Target="https://issues.sierrawireless.com/browse/OEMPRI-2011" TargetMode="External"/><Relationship Id="rId142" Type="http://schemas.openxmlformats.org/officeDocument/2006/relationships/hyperlink" Target="https://issues.sierrawireless.com/browse/OEMPRI-4957" TargetMode="External"/><Relationship Id="rId384" Type="http://schemas.openxmlformats.org/officeDocument/2006/relationships/hyperlink" Target="https://issues.sierrawireless.com/browse/OEMPRI-4047" TargetMode="External"/><Relationship Id="rId1096" Type="http://schemas.openxmlformats.org/officeDocument/2006/relationships/hyperlink" Target="https://issues.sierrawireless.com/browse/OEMPRI-1867" TargetMode="External"/><Relationship Id="rId141" Type="http://schemas.openxmlformats.org/officeDocument/2006/relationships/hyperlink" Target="https://issues.sierrawireless.com/browse/OEMPRI-4967" TargetMode="External"/><Relationship Id="rId383" Type="http://schemas.openxmlformats.org/officeDocument/2006/relationships/hyperlink" Target="https://issues.sierrawireless.com/browse/OEMPRI-4048" TargetMode="External"/><Relationship Id="rId1097" Type="http://schemas.openxmlformats.org/officeDocument/2006/relationships/hyperlink" Target="https://issues.sierrawireless.com/browse/OEMPRI-2085" TargetMode="External"/><Relationship Id="rId140" Type="http://schemas.openxmlformats.org/officeDocument/2006/relationships/hyperlink" Target="https://issues.sierrawireless.com/browse/OEMPRI-4961" TargetMode="External"/><Relationship Id="rId382" Type="http://schemas.openxmlformats.org/officeDocument/2006/relationships/hyperlink" Target="https://issues.sierrawireless.com/browse/OEMPRI-4069" TargetMode="External"/><Relationship Id="rId1098" Type="http://schemas.openxmlformats.org/officeDocument/2006/relationships/hyperlink" Target="https://issues.sierrawireless.com/browse/OEMPRI-2015" TargetMode="External"/><Relationship Id="rId5" Type="http://schemas.openxmlformats.org/officeDocument/2006/relationships/hyperlink" Target="https://issues.sierrawireless.com/browse/OEMPRI-5374" TargetMode="External"/><Relationship Id="rId147" Type="http://schemas.openxmlformats.org/officeDocument/2006/relationships/hyperlink" Target="https://issues.sierrawireless.com/browse/OEMPRI-4933" TargetMode="External"/><Relationship Id="rId389" Type="http://schemas.openxmlformats.org/officeDocument/2006/relationships/hyperlink" Target="https://issues.sierrawireless.com/browse/OEMPRI-4033" TargetMode="External"/><Relationship Id="rId1099" Type="http://schemas.openxmlformats.org/officeDocument/2006/relationships/hyperlink" Target="https://issues.sierrawireless.com/browse/OEMPRI-1922" TargetMode="External"/><Relationship Id="rId6" Type="http://schemas.openxmlformats.org/officeDocument/2006/relationships/hyperlink" Target="https://issues.sierrawireless.com/browse/OEMPRI-5370" TargetMode="External"/><Relationship Id="rId146" Type="http://schemas.openxmlformats.org/officeDocument/2006/relationships/hyperlink" Target="https://issues.sierrawireless.com/browse/OEMPRI-4934" TargetMode="External"/><Relationship Id="rId388" Type="http://schemas.openxmlformats.org/officeDocument/2006/relationships/hyperlink" Target="https://issues.sierrawireless.com/browse/OEMPRI-4036" TargetMode="External"/><Relationship Id="rId7" Type="http://schemas.openxmlformats.org/officeDocument/2006/relationships/hyperlink" Target="https://issues.sierrawireless.com/browse/OEMPRI-5369" TargetMode="External"/><Relationship Id="rId145" Type="http://schemas.openxmlformats.org/officeDocument/2006/relationships/hyperlink" Target="https://issues.sierrawireless.com/browse/OEMPRI-4935" TargetMode="External"/><Relationship Id="rId387" Type="http://schemas.openxmlformats.org/officeDocument/2006/relationships/hyperlink" Target="https://issues.sierrawireless.com/browse/OEMPRI-4051" TargetMode="External"/><Relationship Id="rId8" Type="http://schemas.openxmlformats.org/officeDocument/2006/relationships/hyperlink" Target="https://issues.sierrawireless.com/browse/OEMTP-1370" TargetMode="External"/><Relationship Id="rId144" Type="http://schemas.openxmlformats.org/officeDocument/2006/relationships/hyperlink" Target="https://issues.sierrawireless.com/browse/OEMPRI-4936" TargetMode="External"/><Relationship Id="rId386" Type="http://schemas.openxmlformats.org/officeDocument/2006/relationships/hyperlink" Target="https://issues.sierrawireless.com/browse/OEMPRI-4052" TargetMode="External"/><Relationship Id="rId381" Type="http://schemas.openxmlformats.org/officeDocument/2006/relationships/hyperlink" Target="https://issues.sierrawireless.com/browse/OEMPRI-4096" TargetMode="External"/><Relationship Id="rId380" Type="http://schemas.openxmlformats.org/officeDocument/2006/relationships/hyperlink" Target="https://issues.sierrawireless.com/browse/OEMPRI-4106" TargetMode="External"/><Relationship Id="rId139" Type="http://schemas.openxmlformats.org/officeDocument/2006/relationships/hyperlink" Target="https://issues.sierrawireless.com/browse/OEMPRI-4959" TargetMode="External"/><Relationship Id="rId138" Type="http://schemas.openxmlformats.org/officeDocument/2006/relationships/hyperlink" Target="https://issues.sierrawireless.com/browse/OEMPRI-4960" TargetMode="External"/><Relationship Id="rId137" Type="http://schemas.openxmlformats.org/officeDocument/2006/relationships/hyperlink" Target="https://issues.sierrawireless.com/browse/OEMPRI-4962" TargetMode="External"/><Relationship Id="rId379" Type="http://schemas.openxmlformats.org/officeDocument/2006/relationships/hyperlink" Target="https://issues.sierrawireless.com/browse/OEMPRI-4085" TargetMode="External"/><Relationship Id="rId1080" Type="http://schemas.openxmlformats.org/officeDocument/2006/relationships/hyperlink" Target="https://issues.sierrawireless.com/browse/OEMPRI-1953" TargetMode="External"/><Relationship Id="rId1081" Type="http://schemas.openxmlformats.org/officeDocument/2006/relationships/hyperlink" Target="https://issues.sierrawireless.com/browse/OEMPRI-1919" TargetMode="External"/><Relationship Id="rId1082" Type="http://schemas.openxmlformats.org/officeDocument/2006/relationships/hyperlink" Target="https://issues.sierrawireless.com/browse/OEMPRI-1917" TargetMode="External"/><Relationship Id="rId1083" Type="http://schemas.openxmlformats.org/officeDocument/2006/relationships/hyperlink" Target="https://issues.sierrawireless.com/browse/OEMPRI-1860" TargetMode="External"/><Relationship Id="rId132" Type="http://schemas.openxmlformats.org/officeDocument/2006/relationships/hyperlink" Target="https://issues.sierrawireless.com/browse/OEMPRI-4998" TargetMode="External"/><Relationship Id="rId374" Type="http://schemas.openxmlformats.org/officeDocument/2006/relationships/hyperlink" Target="https://issues.sierrawireless.com/browse/OEMPRI-4082" TargetMode="External"/><Relationship Id="rId1084" Type="http://schemas.openxmlformats.org/officeDocument/2006/relationships/hyperlink" Target="https://issues.sierrawireless.com/browse/OEMPRI-1844" TargetMode="External"/><Relationship Id="rId131" Type="http://schemas.openxmlformats.org/officeDocument/2006/relationships/hyperlink" Target="https://issues.sierrawireless.com/browse/OEMPRI-5000" TargetMode="External"/><Relationship Id="rId373" Type="http://schemas.openxmlformats.org/officeDocument/2006/relationships/hyperlink" Target="https://issues.sierrawireless.com/browse/OEMPRI-4090" TargetMode="External"/><Relationship Id="rId1085" Type="http://schemas.openxmlformats.org/officeDocument/2006/relationships/hyperlink" Target="https://issues.sierrawireless.com/browse/OEMPRI-1843" TargetMode="External"/><Relationship Id="rId130" Type="http://schemas.openxmlformats.org/officeDocument/2006/relationships/hyperlink" Target="https://issues.sierrawireless.com/browse/OEMPRI-5011" TargetMode="External"/><Relationship Id="rId372" Type="http://schemas.openxmlformats.org/officeDocument/2006/relationships/hyperlink" Target="https://issues.sierrawireless.com/browse/OEMPRI-4092" TargetMode="External"/><Relationship Id="rId1086" Type="http://schemas.openxmlformats.org/officeDocument/2006/relationships/hyperlink" Target="https://issues.sierrawireless.com/browse/OEMPRI-2009" TargetMode="External"/><Relationship Id="rId371" Type="http://schemas.openxmlformats.org/officeDocument/2006/relationships/hyperlink" Target="https://issues.sierrawireless.com/browse/OEMPRI-4099" TargetMode="External"/><Relationship Id="rId1087" Type="http://schemas.openxmlformats.org/officeDocument/2006/relationships/hyperlink" Target="https://issues.sierrawireless.com/browse/OEMPRI-1955" TargetMode="External"/><Relationship Id="rId136" Type="http://schemas.openxmlformats.org/officeDocument/2006/relationships/hyperlink" Target="https://issues.sierrawireless.com/browse/OEMPRI-4963" TargetMode="External"/><Relationship Id="rId378" Type="http://schemas.openxmlformats.org/officeDocument/2006/relationships/hyperlink" Target="https://issues.sierrawireless.com/browse/OEMPRI-4086" TargetMode="External"/><Relationship Id="rId1088" Type="http://schemas.openxmlformats.org/officeDocument/2006/relationships/hyperlink" Target="https://issues.sierrawireless.com/browse/OEMPRI-1866" TargetMode="External"/><Relationship Id="rId135" Type="http://schemas.openxmlformats.org/officeDocument/2006/relationships/hyperlink" Target="https://issues.sierrawireless.com/browse/OEMPRI-4978" TargetMode="External"/><Relationship Id="rId377" Type="http://schemas.openxmlformats.org/officeDocument/2006/relationships/hyperlink" Target="https://issues.sierrawireless.com/browse/OEMPRI-4091" TargetMode="External"/><Relationship Id="rId1089" Type="http://schemas.openxmlformats.org/officeDocument/2006/relationships/hyperlink" Target="https://issues.sierrawireless.com/browse/OEMPRI-1865" TargetMode="External"/><Relationship Id="rId134" Type="http://schemas.openxmlformats.org/officeDocument/2006/relationships/hyperlink" Target="https://issues.sierrawireless.com/browse/OEMPRI-4980" TargetMode="External"/><Relationship Id="rId376" Type="http://schemas.openxmlformats.org/officeDocument/2006/relationships/hyperlink" Target="https://issues.sierrawireless.com/browse/OEMPRI-4093" TargetMode="External"/><Relationship Id="rId133" Type="http://schemas.openxmlformats.org/officeDocument/2006/relationships/hyperlink" Target="https://issues.sierrawireless.com/browse/OEMPRI-4995" TargetMode="External"/><Relationship Id="rId375" Type="http://schemas.openxmlformats.org/officeDocument/2006/relationships/hyperlink" Target="https://issues.sierrawireless.com/browse/OEMPRI-4078" TargetMode="External"/><Relationship Id="rId172" Type="http://schemas.openxmlformats.org/officeDocument/2006/relationships/hyperlink" Target="https://issues.sierrawireless.com/browse/OEMPRI-4816" TargetMode="External"/><Relationship Id="rId171" Type="http://schemas.openxmlformats.org/officeDocument/2006/relationships/hyperlink" Target="https://issues.sierrawireless.com/browse/OEMPRI-4817" TargetMode="External"/><Relationship Id="rId170" Type="http://schemas.openxmlformats.org/officeDocument/2006/relationships/hyperlink" Target="https://issues.sierrawireless.com/browse/OEMPRI-4820" TargetMode="External"/><Relationship Id="rId165" Type="http://schemas.openxmlformats.org/officeDocument/2006/relationships/hyperlink" Target="https://issues.sierrawireless.com/browse/OEMPRI-4855" TargetMode="External"/><Relationship Id="rId164" Type="http://schemas.openxmlformats.org/officeDocument/2006/relationships/hyperlink" Target="https://issues.sierrawireless.com/browse/OEMPRI-4854" TargetMode="External"/><Relationship Id="rId163" Type="http://schemas.openxmlformats.org/officeDocument/2006/relationships/hyperlink" Target="https://issues.sierrawireless.com/browse/OEMPRI-4971" TargetMode="External"/><Relationship Id="rId162" Type="http://schemas.openxmlformats.org/officeDocument/2006/relationships/hyperlink" Target="https://issues.sierrawireless.com/browse/OEMPRI-4864" TargetMode="External"/><Relationship Id="rId169" Type="http://schemas.openxmlformats.org/officeDocument/2006/relationships/hyperlink" Target="https://issues.sierrawireless.com/browse/OEMPRI-4826" TargetMode="External"/><Relationship Id="rId168" Type="http://schemas.openxmlformats.org/officeDocument/2006/relationships/hyperlink" Target="https://issues.sierrawireless.com/browse/OEMPRI-4818" TargetMode="External"/><Relationship Id="rId167" Type="http://schemas.openxmlformats.org/officeDocument/2006/relationships/hyperlink" Target="https://issues.sierrawireless.com/browse/OEMPRI-4832" TargetMode="External"/><Relationship Id="rId166" Type="http://schemas.openxmlformats.org/officeDocument/2006/relationships/hyperlink" Target="https://issues.sierrawireless.com/browse/OEMPRI-4853" TargetMode="External"/><Relationship Id="rId161" Type="http://schemas.openxmlformats.org/officeDocument/2006/relationships/hyperlink" Target="https://issues.sierrawireless.com/browse/OEMPRI-4862" TargetMode="External"/><Relationship Id="rId160" Type="http://schemas.openxmlformats.org/officeDocument/2006/relationships/hyperlink" Target="https://issues.sierrawireless.com/browse/OEMPRI-4863" TargetMode="External"/><Relationship Id="rId159" Type="http://schemas.openxmlformats.org/officeDocument/2006/relationships/hyperlink" Target="https://issues.sierrawireless.com/browse/OEMPRI-4868" TargetMode="External"/><Relationship Id="rId154" Type="http://schemas.openxmlformats.org/officeDocument/2006/relationships/hyperlink" Target="https://issues.sierrawireless.com/browse/OEMPRI-4865" TargetMode="External"/><Relationship Id="rId396" Type="http://schemas.openxmlformats.org/officeDocument/2006/relationships/hyperlink" Target="https://issues.sierrawireless.com/browse/OEMPRI-4018" TargetMode="External"/><Relationship Id="rId153" Type="http://schemas.openxmlformats.org/officeDocument/2006/relationships/hyperlink" Target="https://issues.sierrawireless.com/browse/OEMPRI-4872" TargetMode="External"/><Relationship Id="rId395" Type="http://schemas.openxmlformats.org/officeDocument/2006/relationships/hyperlink" Target="https://issues.sierrawireless.com/browse/OEMPRI-4019" TargetMode="External"/><Relationship Id="rId152" Type="http://schemas.openxmlformats.org/officeDocument/2006/relationships/hyperlink" Target="https://issues.sierrawireless.com/browse/OEMPRI-4873" TargetMode="External"/><Relationship Id="rId394" Type="http://schemas.openxmlformats.org/officeDocument/2006/relationships/hyperlink" Target="https://issues.sierrawireless.com/browse/OEMPRI-4022" TargetMode="External"/><Relationship Id="rId151" Type="http://schemas.openxmlformats.org/officeDocument/2006/relationships/hyperlink" Target="https://issues.sierrawireless.com/browse/OEMPRI-4866" TargetMode="External"/><Relationship Id="rId393" Type="http://schemas.openxmlformats.org/officeDocument/2006/relationships/hyperlink" Target="https://issues.sierrawireless.com/browse/OEMPRI-4026" TargetMode="External"/><Relationship Id="rId158" Type="http://schemas.openxmlformats.org/officeDocument/2006/relationships/hyperlink" Target="https://issues.sierrawireless.com/browse/OEMPRI-4869" TargetMode="External"/><Relationship Id="rId157" Type="http://schemas.openxmlformats.org/officeDocument/2006/relationships/hyperlink" Target="https://issues.sierrawireless.com/browse/OEMPRI-4870" TargetMode="External"/><Relationship Id="rId399" Type="http://schemas.openxmlformats.org/officeDocument/2006/relationships/hyperlink" Target="https://issues.sierrawireless.com/browse/OEMPRI-4016" TargetMode="External"/><Relationship Id="rId156" Type="http://schemas.openxmlformats.org/officeDocument/2006/relationships/hyperlink" Target="https://issues.sierrawireless.com/browse/OEMPRI-4871" TargetMode="External"/><Relationship Id="rId398" Type="http://schemas.openxmlformats.org/officeDocument/2006/relationships/hyperlink" Target="https://issues.sierrawireless.com/browse/OEMPRI-4020" TargetMode="External"/><Relationship Id="rId155" Type="http://schemas.openxmlformats.org/officeDocument/2006/relationships/hyperlink" Target="https://issues.sierrawireless.com/browse/OEMPRI-4874" TargetMode="External"/><Relationship Id="rId397" Type="http://schemas.openxmlformats.org/officeDocument/2006/relationships/hyperlink" Target="https://issues.sierrawireless.com/browse/OEMPRI-4017" TargetMode="External"/><Relationship Id="rId808" Type="http://schemas.openxmlformats.org/officeDocument/2006/relationships/hyperlink" Target="https://issues.sierrawireless.com/browse/OEMPRI-1498" TargetMode="External"/><Relationship Id="rId807" Type="http://schemas.openxmlformats.org/officeDocument/2006/relationships/hyperlink" Target="https://issues.sierrawireless.com/browse/OEMPRI-1500" TargetMode="External"/><Relationship Id="rId806" Type="http://schemas.openxmlformats.org/officeDocument/2006/relationships/hyperlink" Target="https://issues.sierrawireless.com/browse/OEMPRI-1501" TargetMode="External"/><Relationship Id="rId805" Type="http://schemas.openxmlformats.org/officeDocument/2006/relationships/hyperlink" Target="https://issues.sierrawireless.com/browse/OEMPRI-1502" TargetMode="External"/><Relationship Id="rId809" Type="http://schemas.openxmlformats.org/officeDocument/2006/relationships/hyperlink" Target="https://issues.sierrawireless.com/browse/OEMPRI-1495" TargetMode="External"/><Relationship Id="rId800" Type="http://schemas.openxmlformats.org/officeDocument/2006/relationships/hyperlink" Target="https://issues.sierrawireless.com/browse/OEMPRI-1511" TargetMode="External"/><Relationship Id="rId804" Type="http://schemas.openxmlformats.org/officeDocument/2006/relationships/hyperlink" Target="https://issues.sierrawireless.com/browse/OEMPRI-1504" TargetMode="External"/><Relationship Id="rId803" Type="http://schemas.openxmlformats.org/officeDocument/2006/relationships/hyperlink" Target="https://issues.sierrawireless.com/browse/OEMPRI-1506" TargetMode="External"/><Relationship Id="rId802" Type="http://schemas.openxmlformats.org/officeDocument/2006/relationships/hyperlink" Target="https://issues.sierrawireless.com/browse/OEMPRI-1507" TargetMode="External"/><Relationship Id="rId801" Type="http://schemas.openxmlformats.org/officeDocument/2006/relationships/hyperlink" Target="https://issues.sierrawireless.com/browse/OEMPRI-1509" TargetMode="External"/><Relationship Id="rId40" Type="http://schemas.openxmlformats.org/officeDocument/2006/relationships/hyperlink" Target="https://issues.sierrawireless.com/browse/OEMPRI-5268" TargetMode="External"/><Relationship Id="rId42" Type="http://schemas.openxmlformats.org/officeDocument/2006/relationships/hyperlink" Target="https://issues.sierrawireless.com/browse/OEMPRI-5247" TargetMode="External"/><Relationship Id="rId41" Type="http://schemas.openxmlformats.org/officeDocument/2006/relationships/hyperlink" Target="https://issues.sierrawireless.com/browse/OEMPRI-5267" TargetMode="External"/><Relationship Id="rId44" Type="http://schemas.openxmlformats.org/officeDocument/2006/relationships/hyperlink" Target="https://issues.sierrawireless.com/browse/OEMPRI-5240" TargetMode="External"/><Relationship Id="rId43" Type="http://schemas.openxmlformats.org/officeDocument/2006/relationships/hyperlink" Target="https://issues.sierrawireless.com/browse/OEMPRI-5244" TargetMode="External"/><Relationship Id="rId46" Type="http://schemas.openxmlformats.org/officeDocument/2006/relationships/hyperlink" Target="https://issues.sierrawireless.com/browse/OEMPRI-5223" TargetMode="External"/><Relationship Id="rId45" Type="http://schemas.openxmlformats.org/officeDocument/2006/relationships/hyperlink" Target="https://issues.sierrawireless.com/browse/OEMPRI-5224" TargetMode="External"/><Relationship Id="rId509" Type="http://schemas.openxmlformats.org/officeDocument/2006/relationships/hyperlink" Target="https://issues.sierrawireless.com/browse/OEMPRI-3749" TargetMode="External"/><Relationship Id="rId508" Type="http://schemas.openxmlformats.org/officeDocument/2006/relationships/hyperlink" Target="https://issues.sierrawireless.com/browse/OEMPRI-3750" TargetMode="External"/><Relationship Id="rId503" Type="http://schemas.openxmlformats.org/officeDocument/2006/relationships/hyperlink" Target="https://issues.sierrawireless.com/browse/OEMPRI-3757" TargetMode="External"/><Relationship Id="rId745" Type="http://schemas.openxmlformats.org/officeDocument/2006/relationships/hyperlink" Target="https://issues.sierrawireless.com/browse/OEMPRI-2514" TargetMode="External"/><Relationship Id="rId987" Type="http://schemas.openxmlformats.org/officeDocument/2006/relationships/hyperlink" Target="https://issues.sierrawireless.com/browse/OEMPRI-1827" TargetMode="External"/><Relationship Id="rId502" Type="http://schemas.openxmlformats.org/officeDocument/2006/relationships/hyperlink" Target="https://issues.sierrawireless.com/browse/OEMPRI-3761" TargetMode="External"/><Relationship Id="rId744" Type="http://schemas.openxmlformats.org/officeDocument/2006/relationships/hyperlink" Target="https://issues.sierrawireless.com/browse/OEMPRI-2523" TargetMode="External"/><Relationship Id="rId986" Type="http://schemas.openxmlformats.org/officeDocument/2006/relationships/hyperlink" Target="https://issues.sierrawireless.com/browse/OEMPRI-1603" TargetMode="External"/><Relationship Id="rId501" Type="http://schemas.openxmlformats.org/officeDocument/2006/relationships/hyperlink" Target="https://issues.sierrawireless.com/browse/OEMPRI-3782" TargetMode="External"/><Relationship Id="rId743" Type="http://schemas.openxmlformats.org/officeDocument/2006/relationships/hyperlink" Target="https://issues.sierrawireless.com/browse/OEMPRI-2557" TargetMode="External"/><Relationship Id="rId985" Type="http://schemas.openxmlformats.org/officeDocument/2006/relationships/hyperlink" Target="https://issues.sierrawireless.com/browse/OEMPRI-1801" TargetMode="External"/><Relationship Id="rId500" Type="http://schemas.openxmlformats.org/officeDocument/2006/relationships/hyperlink" Target="https://issues.sierrawireless.com/browse/OEMPRI-3772" TargetMode="External"/><Relationship Id="rId742" Type="http://schemas.openxmlformats.org/officeDocument/2006/relationships/hyperlink" Target="https://issues.sierrawireless.com/browse/OEMPRI-2579" TargetMode="External"/><Relationship Id="rId984" Type="http://schemas.openxmlformats.org/officeDocument/2006/relationships/hyperlink" Target="https://issues.sierrawireless.com/browse/OEMPRI-1657" TargetMode="External"/><Relationship Id="rId507" Type="http://schemas.openxmlformats.org/officeDocument/2006/relationships/hyperlink" Target="https://issues.sierrawireless.com/browse/OEMPRI-3752" TargetMode="External"/><Relationship Id="rId749" Type="http://schemas.openxmlformats.org/officeDocument/2006/relationships/hyperlink" Target="https://issues.sierrawireless.com/browse/OEMPRI-2412" TargetMode="External"/><Relationship Id="rId506" Type="http://schemas.openxmlformats.org/officeDocument/2006/relationships/hyperlink" Target="https://issues.sierrawireless.com/browse/OEMPRI-3753" TargetMode="External"/><Relationship Id="rId748" Type="http://schemas.openxmlformats.org/officeDocument/2006/relationships/hyperlink" Target="https://issues.sierrawireless.com/browse/OEMPRI-2483" TargetMode="External"/><Relationship Id="rId505" Type="http://schemas.openxmlformats.org/officeDocument/2006/relationships/hyperlink" Target="https://issues.sierrawireless.com/browse/OEMPRI-3754" TargetMode="External"/><Relationship Id="rId747" Type="http://schemas.openxmlformats.org/officeDocument/2006/relationships/hyperlink" Target="https://issues.sierrawireless.com/browse/OEMPRI-2511" TargetMode="External"/><Relationship Id="rId989" Type="http://schemas.openxmlformats.org/officeDocument/2006/relationships/hyperlink" Target="https://issues.sierrawireless.com/browse/OEMPRI-1665" TargetMode="External"/><Relationship Id="rId504" Type="http://schemas.openxmlformats.org/officeDocument/2006/relationships/hyperlink" Target="https://issues.sierrawireless.com/browse/OEMPRI-3755" TargetMode="External"/><Relationship Id="rId746" Type="http://schemas.openxmlformats.org/officeDocument/2006/relationships/hyperlink" Target="https://issues.sierrawireless.com/browse/OEMPRI-2513" TargetMode="External"/><Relationship Id="rId988" Type="http://schemas.openxmlformats.org/officeDocument/2006/relationships/hyperlink" Target="https://issues.sierrawireless.com/browse/OEMPRI-1771" TargetMode="External"/><Relationship Id="rId48" Type="http://schemas.openxmlformats.org/officeDocument/2006/relationships/hyperlink" Target="https://issues.sierrawireless.com/browse/OEMPRI-5221" TargetMode="External"/><Relationship Id="rId47" Type="http://schemas.openxmlformats.org/officeDocument/2006/relationships/hyperlink" Target="https://issues.sierrawireless.com/browse/OEMPRI-5222" TargetMode="External"/><Relationship Id="rId49" Type="http://schemas.openxmlformats.org/officeDocument/2006/relationships/hyperlink" Target="https://issues.sierrawireless.com/browse/OEMPRI-5220" TargetMode="External"/><Relationship Id="rId741" Type="http://schemas.openxmlformats.org/officeDocument/2006/relationships/hyperlink" Target="https://issues.sierrawireless.com/browse/OEMPRI-2583" TargetMode="External"/><Relationship Id="rId983" Type="http://schemas.openxmlformats.org/officeDocument/2006/relationships/hyperlink" Target="https://issues.sierrawireless.com/browse/OEMPRI-1658" TargetMode="External"/><Relationship Id="rId740" Type="http://schemas.openxmlformats.org/officeDocument/2006/relationships/hyperlink" Target="https://issues.sierrawireless.com/browse/OEMPRI-2584" TargetMode="External"/><Relationship Id="rId982" Type="http://schemas.openxmlformats.org/officeDocument/2006/relationships/hyperlink" Target="https://issues.sierrawireless.com/browse/OEMPRI-1659" TargetMode="External"/><Relationship Id="rId981" Type="http://schemas.openxmlformats.org/officeDocument/2006/relationships/hyperlink" Target="https://issues.sierrawireless.com/browse/OEMPRI-1602" TargetMode="External"/><Relationship Id="rId980" Type="http://schemas.openxmlformats.org/officeDocument/2006/relationships/hyperlink" Target="https://issues.sierrawireless.com/browse/OEMPRI-1742" TargetMode="External"/><Relationship Id="rId31" Type="http://schemas.openxmlformats.org/officeDocument/2006/relationships/hyperlink" Target="https://issues.sierrawireless.com/browse/OEMPRI-5300" TargetMode="External"/><Relationship Id="rId30" Type="http://schemas.openxmlformats.org/officeDocument/2006/relationships/hyperlink" Target="https://issues.sierrawireless.com/browse/OEMPRI-5310" TargetMode="External"/><Relationship Id="rId33" Type="http://schemas.openxmlformats.org/officeDocument/2006/relationships/hyperlink" Target="https://issues.sierrawireless.com/browse/OEMPRI-5280" TargetMode="External"/><Relationship Id="rId32" Type="http://schemas.openxmlformats.org/officeDocument/2006/relationships/hyperlink" Target="https://issues.sierrawireless.com/browse/OEMPRI-5287" TargetMode="External"/><Relationship Id="rId35" Type="http://schemas.openxmlformats.org/officeDocument/2006/relationships/hyperlink" Target="https://issues.sierrawireless.com/browse/OEMPRI-5277" TargetMode="External"/><Relationship Id="rId34" Type="http://schemas.openxmlformats.org/officeDocument/2006/relationships/hyperlink" Target="https://issues.sierrawireless.com/browse/OEMPRI-5284" TargetMode="External"/><Relationship Id="rId739" Type="http://schemas.openxmlformats.org/officeDocument/2006/relationships/hyperlink" Target="https://issues.sierrawireless.com/browse/OEMPRI-2585" TargetMode="External"/><Relationship Id="rId734" Type="http://schemas.openxmlformats.org/officeDocument/2006/relationships/hyperlink" Target="https://issues.sierrawireless.com/browse/OEMPRI-2597" TargetMode="External"/><Relationship Id="rId976" Type="http://schemas.openxmlformats.org/officeDocument/2006/relationships/hyperlink" Target="https://issues.sierrawireless.com/browse/OEMPRI-1586" TargetMode="External"/><Relationship Id="rId733" Type="http://schemas.openxmlformats.org/officeDocument/2006/relationships/hyperlink" Target="https://issues.sierrawireless.com/browse/OEMPRI-2598" TargetMode="External"/><Relationship Id="rId975" Type="http://schemas.openxmlformats.org/officeDocument/2006/relationships/hyperlink" Target="https://issues.sierrawireless.com/browse/OEMPRI-1630" TargetMode="External"/><Relationship Id="rId732" Type="http://schemas.openxmlformats.org/officeDocument/2006/relationships/hyperlink" Target="https://issues.sierrawireless.com/browse/OEMPRI-2599" TargetMode="External"/><Relationship Id="rId974" Type="http://schemas.openxmlformats.org/officeDocument/2006/relationships/hyperlink" Target="https://issues.sierrawireless.com/browse/OEMPRI-1631" TargetMode="External"/><Relationship Id="rId731" Type="http://schemas.openxmlformats.org/officeDocument/2006/relationships/hyperlink" Target="https://issues.sierrawireless.com/browse/OEMPRI-2600" TargetMode="External"/><Relationship Id="rId973" Type="http://schemas.openxmlformats.org/officeDocument/2006/relationships/hyperlink" Target="https://issues.sierrawireless.com/browse/OEMPRI-1632" TargetMode="External"/><Relationship Id="rId738" Type="http://schemas.openxmlformats.org/officeDocument/2006/relationships/hyperlink" Target="https://issues.sierrawireless.com/browse/OEMPRI-2586" TargetMode="External"/><Relationship Id="rId737" Type="http://schemas.openxmlformats.org/officeDocument/2006/relationships/hyperlink" Target="https://issues.sierrawireless.com/browse/OEMPRI-2587" TargetMode="External"/><Relationship Id="rId979" Type="http://schemas.openxmlformats.org/officeDocument/2006/relationships/hyperlink" Target="https://issues.sierrawireless.com/browse/OEMPRI-1743" TargetMode="External"/><Relationship Id="rId736" Type="http://schemas.openxmlformats.org/officeDocument/2006/relationships/hyperlink" Target="https://issues.sierrawireless.com/browse/OEMPRI-2590" TargetMode="External"/><Relationship Id="rId978" Type="http://schemas.openxmlformats.org/officeDocument/2006/relationships/hyperlink" Target="https://issues.sierrawireless.com/browse/OEMPRI-1744" TargetMode="External"/><Relationship Id="rId735" Type="http://schemas.openxmlformats.org/officeDocument/2006/relationships/hyperlink" Target="https://issues.sierrawireless.com/browse/OEMPRI-2591" TargetMode="External"/><Relationship Id="rId977" Type="http://schemas.openxmlformats.org/officeDocument/2006/relationships/hyperlink" Target="https://issues.sierrawireless.com/browse/OEMPRI-1824" TargetMode="External"/><Relationship Id="rId37" Type="http://schemas.openxmlformats.org/officeDocument/2006/relationships/hyperlink" Target="https://issues.sierrawireless.com/browse/OEMPRI-5270" TargetMode="External"/><Relationship Id="rId36" Type="http://schemas.openxmlformats.org/officeDocument/2006/relationships/hyperlink" Target="https://issues.sierrawireless.com/browse/OEMPRI-5276" TargetMode="External"/><Relationship Id="rId39" Type="http://schemas.openxmlformats.org/officeDocument/2006/relationships/hyperlink" Target="https://issues.sierrawireless.com/browse/OEMPRI-5269" TargetMode="External"/><Relationship Id="rId38" Type="http://schemas.openxmlformats.org/officeDocument/2006/relationships/hyperlink" Target="https://issues.sierrawireless.com/browse/OEMTP-1352" TargetMode="External"/><Relationship Id="rId730" Type="http://schemas.openxmlformats.org/officeDocument/2006/relationships/hyperlink" Target="https://issues.sierrawireless.com/browse/OEMPRI-2601" TargetMode="External"/><Relationship Id="rId972" Type="http://schemas.openxmlformats.org/officeDocument/2006/relationships/hyperlink" Target="https://issues.sierrawireless.com/browse/OEMPRI-1655" TargetMode="External"/><Relationship Id="rId971" Type="http://schemas.openxmlformats.org/officeDocument/2006/relationships/hyperlink" Target="https://issues.sierrawireless.com/browse/OEMPRI-1736" TargetMode="External"/><Relationship Id="rId970" Type="http://schemas.openxmlformats.org/officeDocument/2006/relationships/hyperlink" Target="https://issues.sierrawireless.com/browse/OEMPRI-1739" TargetMode="External"/><Relationship Id="rId1114" Type="http://schemas.openxmlformats.org/officeDocument/2006/relationships/hyperlink" Target="https://issues.sierrawireless.com/browse/OEMPRI-2120" TargetMode="External"/><Relationship Id="rId1115" Type="http://schemas.openxmlformats.org/officeDocument/2006/relationships/hyperlink" Target="https://issues.sierrawireless.com/browse/OEMPRI-2065" TargetMode="External"/><Relationship Id="rId20" Type="http://schemas.openxmlformats.org/officeDocument/2006/relationships/hyperlink" Target="https://issues.sierrawireless.com/browse/OEMPRI-5330" TargetMode="External"/><Relationship Id="rId1116" Type="http://schemas.openxmlformats.org/officeDocument/2006/relationships/hyperlink" Target="https://issues.sierrawireless.com/browse/OEMPRI-2018" TargetMode="External"/><Relationship Id="rId1117" Type="http://schemas.openxmlformats.org/officeDocument/2006/relationships/hyperlink" Target="https://issues.sierrawireless.com/browse/OEMPRI-1871" TargetMode="External"/><Relationship Id="rId22" Type="http://schemas.openxmlformats.org/officeDocument/2006/relationships/hyperlink" Target="https://issues.sierrawireless.com/browse/OEMPRI-5329" TargetMode="External"/><Relationship Id="rId1118" Type="http://schemas.openxmlformats.org/officeDocument/2006/relationships/hyperlink" Target="https://issues.sierrawireless.com/browse/OEMPRI-1870" TargetMode="External"/><Relationship Id="rId21" Type="http://schemas.openxmlformats.org/officeDocument/2006/relationships/hyperlink" Target="https://issues.sierrawireless.com/browse/OEMPRI-5331" TargetMode="External"/><Relationship Id="rId1119" Type="http://schemas.openxmlformats.org/officeDocument/2006/relationships/hyperlink" Target="https://issues.sierrawireless.com/browse/OEMPRI-1869" TargetMode="External"/><Relationship Id="rId24" Type="http://schemas.openxmlformats.org/officeDocument/2006/relationships/hyperlink" Target="https://issues.sierrawireless.com/browse/OEMPRI-5318" TargetMode="External"/><Relationship Id="rId23" Type="http://schemas.openxmlformats.org/officeDocument/2006/relationships/hyperlink" Target="https://issues.sierrawireless.com/browse/OEMPRI-5320" TargetMode="External"/><Relationship Id="rId525" Type="http://schemas.openxmlformats.org/officeDocument/2006/relationships/hyperlink" Target="https://issues.sierrawireless.com/browse/OEMPRI-3660" TargetMode="External"/><Relationship Id="rId767" Type="http://schemas.openxmlformats.org/officeDocument/2006/relationships/hyperlink" Target="https://issues.sierrawireless.com/browse/OEMPRI-2348" TargetMode="External"/><Relationship Id="rId524" Type="http://schemas.openxmlformats.org/officeDocument/2006/relationships/hyperlink" Target="https://issues.sierrawireless.com/browse/OEMPRI-3675" TargetMode="External"/><Relationship Id="rId766" Type="http://schemas.openxmlformats.org/officeDocument/2006/relationships/hyperlink" Target="https://issues.sierrawireless.com/browse/OEMPRI-2359" TargetMode="External"/><Relationship Id="rId523" Type="http://schemas.openxmlformats.org/officeDocument/2006/relationships/hyperlink" Target="https://issues.sierrawireless.com/browse/OEMPRI-3676" TargetMode="External"/><Relationship Id="rId765" Type="http://schemas.openxmlformats.org/officeDocument/2006/relationships/hyperlink" Target="https://issues.sierrawireless.com/browse/OEMPRI-2361" TargetMode="External"/><Relationship Id="rId522" Type="http://schemas.openxmlformats.org/officeDocument/2006/relationships/hyperlink" Target="https://issues.sierrawireless.com/browse/OEMPRI-3698" TargetMode="External"/><Relationship Id="rId764" Type="http://schemas.openxmlformats.org/officeDocument/2006/relationships/hyperlink" Target="https://issues.sierrawireless.com/browse/OEMPRI-2362" TargetMode="External"/><Relationship Id="rId529" Type="http://schemas.openxmlformats.org/officeDocument/2006/relationships/hyperlink" Target="https://issues.sierrawireless.com/browse/OEMPRI-3655" TargetMode="External"/><Relationship Id="rId528" Type="http://schemas.openxmlformats.org/officeDocument/2006/relationships/hyperlink" Target="https://issues.sierrawireless.com/browse/OEMPRI-3656" TargetMode="External"/><Relationship Id="rId527" Type="http://schemas.openxmlformats.org/officeDocument/2006/relationships/hyperlink" Target="https://issues.sierrawireless.com/browse/OEMPRI-3658" TargetMode="External"/><Relationship Id="rId769" Type="http://schemas.openxmlformats.org/officeDocument/2006/relationships/hyperlink" Target="https://issues.sierrawireless.com/browse/OEMPRI-2338" TargetMode="External"/><Relationship Id="rId526" Type="http://schemas.openxmlformats.org/officeDocument/2006/relationships/hyperlink" Target="https://issues.sierrawireless.com/browse/OEMPRI-3659" TargetMode="External"/><Relationship Id="rId768" Type="http://schemas.openxmlformats.org/officeDocument/2006/relationships/hyperlink" Target="https://issues.sierrawireless.com/browse/OEMPRI-2339" TargetMode="External"/><Relationship Id="rId26" Type="http://schemas.openxmlformats.org/officeDocument/2006/relationships/hyperlink" Target="https://issues.sierrawireless.com/browse/OEMPRI-5323" TargetMode="External"/><Relationship Id="rId25" Type="http://schemas.openxmlformats.org/officeDocument/2006/relationships/hyperlink" Target="https://issues.sierrawireless.com/browse/OEMPRI-5319" TargetMode="External"/><Relationship Id="rId28" Type="http://schemas.openxmlformats.org/officeDocument/2006/relationships/hyperlink" Target="https://issues.sierrawireless.com/browse/OEMPRI-5321" TargetMode="External"/><Relationship Id="rId27" Type="http://schemas.openxmlformats.org/officeDocument/2006/relationships/hyperlink" Target="https://issues.sierrawireless.com/browse/OEMPRI-5322" TargetMode="External"/><Relationship Id="rId521" Type="http://schemas.openxmlformats.org/officeDocument/2006/relationships/hyperlink" Target="https://issues.sierrawireless.com/browse/OEMPRI-3700" TargetMode="External"/><Relationship Id="rId763" Type="http://schemas.openxmlformats.org/officeDocument/2006/relationships/hyperlink" Target="https://issues.sierrawireless.com/browse/OEMPRI-2364" TargetMode="External"/><Relationship Id="rId1110" Type="http://schemas.openxmlformats.org/officeDocument/2006/relationships/hyperlink" Target="https://issues.sierrawireless.com/browse/OEMPRI-1959" TargetMode="External"/><Relationship Id="rId29" Type="http://schemas.openxmlformats.org/officeDocument/2006/relationships/hyperlink" Target="https://issues.sierrawireless.com/browse/OEMPRI-5302" TargetMode="External"/><Relationship Id="rId520" Type="http://schemas.openxmlformats.org/officeDocument/2006/relationships/hyperlink" Target="https://issues.sierrawireless.com/browse/OEMPRI-3701" TargetMode="External"/><Relationship Id="rId762" Type="http://schemas.openxmlformats.org/officeDocument/2006/relationships/hyperlink" Target="https://issues.sierrawireless.com/browse/OEMPRI-2385" TargetMode="External"/><Relationship Id="rId1111" Type="http://schemas.openxmlformats.org/officeDocument/2006/relationships/hyperlink" Target="https://issues.sierrawireless.com/browse/OEMPRI-1958" TargetMode="External"/><Relationship Id="rId761" Type="http://schemas.openxmlformats.org/officeDocument/2006/relationships/hyperlink" Target="https://issues.sierrawireless.com/browse/OEMPRI-2392" TargetMode="External"/><Relationship Id="rId1112" Type="http://schemas.openxmlformats.org/officeDocument/2006/relationships/hyperlink" Target="https://issues.sierrawireless.com/browse/OEMPRI-1891" TargetMode="External"/><Relationship Id="rId760" Type="http://schemas.openxmlformats.org/officeDocument/2006/relationships/hyperlink" Target="https://issues.sierrawireless.com/browse/OEMPRI-2393" TargetMode="External"/><Relationship Id="rId1113" Type="http://schemas.openxmlformats.org/officeDocument/2006/relationships/hyperlink" Target="https://issues.sierrawireless.com/browse/OEMPRI-1868" TargetMode="External"/><Relationship Id="rId1103" Type="http://schemas.openxmlformats.org/officeDocument/2006/relationships/hyperlink" Target="https://issues.sierrawireless.com/browse/OEMPRI-2089" TargetMode="External"/><Relationship Id="rId1104" Type="http://schemas.openxmlformats.org/officeDocument/2006/relationships/hyperlink" Target="https://issues.sierrawireless.com/browse/OEMPRI-2088" TargetMode="External"/><Relationship Id="rId1105" Type="http://schemas.openxmlformats.org/officeDocument/2006/relationships/hyperlink" Target="https://issues.sierrawireless.com/browse/OEMPRI-2059" TargetMode="External"/><Relationship Id="rId1106" Type="http://schemas.openxmlformats.org/officeDocument/2006/relationships/hyperlink" Target="https://issues.sierrawireless.com/browse/OEMPRI-2058" TargetMode="External"/><Relationship Id="rId11" Type="http://schemas.openxmlformats.org/officeDocument/2006/relationships/hyperlink" Target="https://issues.sierrawireless.com/browse/OEMPRI-5365" TargetMode="External"/><Relationship Id="rId1107" Type="http://schemas.openxmlformats.org/officeDocument/2006/relationships/hyperlink" Target="https://issues.sierrawireless.com/browse/OEMPRI-1956" TargetMode="External"/><Relationship Id="rId10" Type="http://schemas.openxmlformats.org/officeDocument/2006/relationships/hyperlink" Target="https://issues.sierrawireless.com/browse/OEMPRI-5368" TargetMode="External"/><Relationship Id="rId1108" Type="http://schemas.openxmlformats.org/officeDocument/2006/relationships/hyperlink" Target="https://issues.sierrawireless.com/browse/OEMPRI-2064" TargetMode="External"/><Relationship Id="rId13" Type="http://schemas.openxmlformats.org/officeDocument/2006/relationships/hyperlink" Target="https://issues.sierrawireless.com/browse/OEMPRI-5363" TargetMode="External"/><Relationship Id="rId1109" Type="http://schemas.openxmlformats.org/officeDocument/2006/relationships/hyperlink" Target="https://issues.sierrawireless.com/browse/OEMPRI-2017" TargetMode="External"/><Relationship Id="rId12" Type="http://schemas.openxmlformats.org/officeDocument/2006/relationships/hyperlink" Target="https://issues.sierrawireless.com/browse/OEMPRI-5364" TargetMode="External"/><Relationship Id="rId519" Type="http://schemas.openxmlformats.org/officeDocument/2006/relationships/hyperlink" Target="https://issues.sierrawireless.com/browse/OEMPRI-3708" TargetMode="External"/><Relationship Id="rId514" Type="http://schemas.openxmlformats.org/officeDocument/2006/relationships/hyperlink" Target="https://issues.sierrawireless.com/browse/OEMPRI-3756" TargetMode="External"/><Relationship Id="rId756" Type="http://schemas.openxmlformats.org/officeDocument/2006/relationships/hyperlink" Target="https://issues.sierrawireless.com/browse/OEMPRI-2400" TargetMode="External"/><Relationship Id="rId998" Type="http://schemas.openxmlformats.org/officeDocument/2006/relationships/hyperlink" Target="https://issues.sierrawireless.com/browse/OEMPRI-1697" TargetMode="External"/><Relationship Id="rId513" Type="http://schemas.openxmlformats.org/officeDocument/2006/relationships/hyperlink" Target="https://issues.sierrawireless.com/browse/OEMPRI-3759" TargetMode="External"/><Relationship Id="rId755" Type="http://schemas.openxmlformats.org/officeDocument/2006/relationships/hyperlink" Target="https://issues.sierrawireless.com/browse/OEMPRI-2401" TargetMode="External"/><Relationship Id="rId997" Type="http://schemas.openxmlformats.org/officeDocument/2006/relationships/hyperlink" Target="https://issues.sierrawireless.com/browse/OEMPRI-1802" TargetMode="External"/><Relationship Id="rId512" Type="http://schemas.openxmlformats.org/officeDocument/2006/relationships/hyperlink" Target="https://issues.sierrawireless.com/browse/OEMPRI-3746" TargetMode="External"/><Relationship Id="rId754" Type="http://schemas.openxmlformats.org/officeDocument/2006/relationships/hyperlink" Target="https://issues.sierrawireless.com/browse/OEMPRI-2402" TargetMode="External"/><Relationship Id="rId996" Type="http://schemas.openxmlformats.org/officeDocument/2006/relationships/hyperlink" Target="https://issues.sierrawireless.com/browse/OEMPRI-1715" TargetMode="External"/><Relationship Id="rId511" Type="http://schemas.openxmlformats.org/officeDocument/2006/relationships/hyperlink" Target="https://issues.sierrawireless.com/browse/OEMPRI-3747" TargetMode="External"/><Relationship Id="rId753" Type="http://schemas.openxmlformats.org/officeDocument/2006/relationships/hyperlink" Target="https://issues.sierrawireless.com/browse/OEMPRI-2403" TargetMode="External"/><Relationship Id="rId995" Type="http://schemas.openxmlformats.org/officeDocument/2006/relationships/hyperlink" Target="https://issues.sierrawireless.com/browse/OEMPRI-1633" TargetMode="External"/><Relationship Id="rId518" Type="http://schemas.openxmlformats.org/officeDocument/2006/relationships/hyperlink" Target="https://issues.sierrawireless.com/browse/OEMPRI-3714" TargetMode="External"/><Relationship Id="rId517" Type="http://schemas.openxmlformats.org/officeDocument/2006/relationships/hyperlink" Target="https://issues.sierrawireless.com/browse/OEMPRI-3715" TargetMode="External"/><Relationship Id="rId759" Type="http://schemas.openxmlformats.org/officeDocument/2006/relationships/hyperlink" Target="https://issues.sierrawireless.com/browse/OEMPRI-2396" TargetMode="External"/><Relationship Id="rId516" Type="http://schemas.openxmlformats.org/officeDocument/2006/relationships/hyperlink" Target="https://issues.sierrawireless.com/browse/OEMPRI-3745" TargetMode="External"/><Relationship Id="rId758" Type="http://schemas.openxmlformats.org/officeDocument/2006/relationships/hyperlink" Target="https://issues.sierrawireless.com/browse/OEMPRI-2397" TargetMode="External"/><Relationship Id="rId515" Type="http://schemas.openxmlformats.org/officeDocument/2006/relationships/hyperlink" Target="https://issues.sierrawireless.com/browse/OEMPRI-3751" TargetMode="External"/><Relationship Id="rId757" Type="http://schemas.openxmlformats.org/officeDocument/2006/relationships/hyperlink" Target="https://issues.sierrawireless.com/browse/OEMPRI-2399" TargetMode="External"/><Relationship Id="rId999" Type="http://schemas.openxmlformats.org/officeDocument/2006/relationships/hyperlink" Target="https://issues.sierrawireless.com/browse/OEMPRI-1696" TargetMode="External"/><Relationship Id="rId15" Type="http://schemas.openxmlformats.org/officeDocument/2006/relationships/hyperlink" Target="https://issues.sierrawireless.com/browse/OEMPRI-5349" TargetMode="External"/><Relationship Id="rId990" Type="http://schemas.openxmlformats.org/officeDocument/2006/relationships/hyperlink" Target="https://issues.sierrawireless.com/browse/OEMPRI-1664" TargetMode="External"/><Relationship Id="rId14" Type="http://schemas.openxmlformats.org/officeDocument/2006/relationships/hyperlink" Target="https://issues.sierrawireless.com/browse/OEMPRI-5350" TargetMode="External"/><Relationship Id="rId17" Type="http://schemas.openxmlformats.org/officeDocument/2006/relationships/hyperlink" Target="https://issues.sierrawireless.com/browse/OEMPRI-5336" TargetMode="External"/><Relationship Id="rId16" Type="http://schemas.openxmlformats.org/officeDocument/2006/relationships/hyperlink" Target="https://issues.sierrawireless.com/browse/OEMPRI-5348" TargetMode="External"/><Relationship Id="rId19" Type="http://schemas.openxmlformats.org/officeDocument/2006/relationships/hyperlink" Target="https://issues.sierrawireless.com/browse/OEMPRI-5334" TargetMode="External"/><Relationship Id="rId510" Type="http://schemas.openxmlformats.org/officeDocument/2006/relationships/hyperlink" Target="https://issues.sierrawireless.com/browse/OEMPRI-3748" TargetMode="External"/><Relationship Id="rId752" Type="http://schemas.openxmlformats.org/officeDocument/2006/relationships/hyperlink" Target="https://issues.sierrawireless.com/browse/OEMPRI-2405" TargetMode="External"/><Relationship Id="rId994" Type="http://schemas.openxmlformats.org/officeDocument/2006/relationships/hyperlink" Target="https://issues.sierrawireless.com/browse/OEMPRI-1634" TargetMode="External"/><Relationship Id="rId18" Type="http://schemas.openxmlformats.org/officeDocument/2006/relationships/hyperlink" Target="https://issues.sierrawireless.com/browse/OEMPRI-5333" TargetMode="External"/><Relationship Id="rId751" Type="http://schemas.openxmlformats.org/officeDocument/2006/relationships/hyperlink" Target="https://issues.sierrawireless.com/browse/OEMPRI-2406" TargetMode="External"/><Relationship Id="rId993" Type="http://schemas.openxmlformats.org/officeDocument/2006/relationships/hyperlink" Target="https://issues.sierrawireless.com/browse/OEMPRI-1635" TargetMode="External"/><Relationship Id="rId1100" Type="http://schemas.openxmlformats.org/officeDocument/2006/relationships/hyperlink" Target="https://issues.sierrawireless.com/browse/OEMPRI-1921" TargetMode="External"/><Relationship Id="rId750" Type="http://schemas.openxmlformats.org/officeDocument/2006/relationships/hyperlink" Target="https://issues.sierrawireless.com/browse/OEMPRI-2411" TargetMode="External"/><Relationship Id="rId992" Type="http://schemas.openxmlformats.org/officeDocument/2006/relationships/hyperlink" Target="https://issues.sierrawireless.com/browse/OEMPRI-1636" TargetMode="External"/><Relationship Id="rId1101" Type="http://schemas.openxmlformats.org/officeDocument/2006/relationships/hyperlink" Target="https://issues.sierrawireless.com/browse/OEMPRI-2091" TargetMode="External"/><Relationship Id="rId991" Type="http://schemas.openxmlformats.org/officeDocument/2006/relationships/hyperlink" Target="https://issues.sierrawireless.com/browse/OEMPRI-1663" TargetMode="External"/><Relationship Id="rId1102" Type="http://schemas.openxmlformats.org/officeDocument/2006/relationships/hyperlink" Target="https://issues.sierrawireless.com/browse/OEMPRI-2090" TargetMode="External"/><Relationship Id="rId84" Type="http://schemas.openxmlformats.org/officeDocument/2006/relationships/hyperlink" Target="https://issues.sierrawireless.com/browse/OEMPRI-5159" TargetMode="External"/><Relationship Id="rId83" Type="http://schemas.openxmlformats.org/officeDocument/2006/relationships/hyperlink" Target="https://issues.sierrawireless.com/browse/OEMPRI-5160" TargetMode="External"/><Relationship Id="rId86" Type="http://schemas.openxmlformats.org/officeDocument/2006/relationships/hyperlink" Target="https://issues.sierrawireless.com/browse/OEMPRI-5151" TargetMode="External"/><Relationship Id="rId85" Type="http://schemas.openxmlformats.org/officeDocument/2006/relationships/hyperlink" Target="https://issues.sierrawireless.com/browse/OEMPRI-5158" TargetMode="External"/><Relationship Id="rId88" Type="http://schemas.openxmlformats.org/officeDocument/2006/relationships/hyperlink" Target="https://issues.sierrawireless.com/browse/OEMPRI-5153" TargetMode="External"/><Relationship Id="rId87" Type="http://schemas.openxmlformats.org/officeDocument/2006/relationships/hyperlink" Target="https://issues.sierrawireless.com/browse/OEMPRI-5152" TargetMode="External"/><Relationship Id="rId89" Type="http://schemas.openxmlformats.org/officeDocument/2006/relationships/hyperlink" Target="https://issues.sierrawireless.com/browse/OEMPRI-5138" TargetMode="External"/><Relationship Id="rId709" Type="http://schemas.openxmlformats.org/officeDocument/2006/relationships/hyperlink" Target="https://issues.sierrawireless.com/browse/OEMPRI-2689" TargetMode="External"/><Relationship Id="rId708" Type="http://schemas.openxmlformats.org/officeDocument/2006/relationships/hyperlink" Target="https://issues.sierrawireless.com/browse/OEMPRI-2690" TargetMode="External"/><Relationship Id="rId707" Type="http://schemas.openxmlformats.org/officeDocument/2006/relationships/hyperlink" Target="https://issues.sierrawireless.com/browse/OEMPRI-2698" TargetMode="External"/><Relationship Id="rId949" Type="http://schemas.openxmlformats.org/officeDocument/2006/relationships/hyperlink" Target="https://issues.sierrawireless.com/browse/OEMPRI-1819" TargetMode="External"/><Relationship Id="rId706" Type="http://schemas.openxmlformats.org/officeDocument/2006/relationships/hyperlink" Target="https://issues.sierrawireless.com/browse/OEMPRI-2722" TargetMode="External"/><Relationship Id="rId948" Type="http://schemas.openxmlformats.org/officeDocument/2006/relationships/hyperlink" Target="https://issues.sierrawireless.com/browse/OEMPRI-1820" TargetMode="External"/><Relationship Id="rId80" Type="http://schemas.openxmlformats.org/officeDocument/2006/relationships/hyperlink" Target="https://issues.sierrawireless.com/browse/OEMPRI-5278" TargetMode="External"/><Relationship Id="rId82" Type="http://schemas.openxmlformats.org/officeDocument/2006/relationships/hyperlink" Target="https://issues.sierrawireless.com/browse/OEMPRI-5157" TargetMode="External"/><Relationship Id="rId81" Type="http://schemas.openxmlformats.org/officeDocument/2006/relationships/hyperlink" Target="https://issues.sierrawireless.com/browse/OEMPRI-5156" TargetMode="External"/><Relationship Id="rId701" Type="http://schemas.openxmlformats.org/officeDocument/2006/relationships/hyperlink" Target="https://issues.sierrawireless.com/browse/OEMPRI-2760" TargetMode="External"/><Relationship Id="rId943" Type="http://schemas.openxmlformats.org/officeDocument/2006/relationships/hyperlink" Target="https://issues.sierrawireless.com/browse/OEMPRI-1689" TargetMode="External"/><Relationship Id="rId700" Type="http://schemas.openxmlformats.org/officeDocument/2006/relationships/hyperlink" Target="https://issues.sierrawireless.com/browse/OEMPRI-2764" TargetMode="External"/><Relationship Id="rId942" Type="http://schemas.openxmlformats.org/officeDocument/2006/relationships/hyperlink" Target="https://issues.sierrawireless.com/browse/OEMPRI-1713" TargetMode="External"/><Relationship Id="rId941" Type="http://schemas.openxmlformats.org/officeDocument/2006/relationships/hyperlink" Target="https://issues.sierrawireless.com/browse/OEMPRI-1817" TargetMode="External"/><Relationship Id="rId940" Type="http://schemas.openxmlformats.org/officeDocument/2006/relationships/hyperlink" Target="https://issues.sierrawireless.com/browse/OEMPRI-1816" TargetMode="External"/><Relationship Id="rId705" Type="http://schemas.openxmlformats.org/officeDocument/2006/relationships/hyperlink" Target="https://issues.sierrawireless.com/browse/OEMPRI-2723" TargetMode="External"/><Relationship Id="rId947" Type="http://schemas.openxmlformats.org/officeDocument/2006/relationships/hyperlink" Target="https://issues.sierrawireless.com/browse/OEMPRI-1821" TargetMode="External"/><Relationship Id="rId704" Type="http://schemas.openxmlformats.org/officeDocument/2006/relationships/hyperlink" Target="https://issues.sierrawireless.com/browse/OEMPRI-2728" TargetMode="External"/><Relationship Id="rId946" Type="http://schemas.openxmlformats.org/officeDocument/2006/relationships/hyperlink" Target="https://issues.sierrawireless.com/browse/OEMPRI-1822" TargetMode="External"/><Relationship Id="rId703" Type="http://schemas.openxmlformats.org/officeDocument/2006/relationships/hyperlink" Target="https://issues.sierrawireless.com/browse/OEMPRI-2741" TargetMode="External"/><Relationship Id="rId945" Type="http://schemas.openxmlformats.org/officeDocument/2006/relationships/hyperlink" Target="https://issues.sierrawireless.com/browse/OEMPRI-1823" TargetMode="External"/><Relationship Id="rId702" Type="http://schemas.openxmlformats.org/officeDocument/2006/relationships/hyperlink" Target="https://issues.sierrawireless.com/browse/OEMPRI-2750" TargetMode="External"/><Relationship Id="rId944" Type="http://schemas.openxmlformats.org/officeDocument/2006/relationships/hyperlink" Target="https://issues.sierrawireless.com/browse/OEMPRI-1735" TargetMode="External"/><Relationship Id="rId73" Type="http://schemas.openxmlformats.org/officeDocument/2006/relationships/hyperlink" Target="https://issues.sierrawireless.com/browse/OEMPRI-5178" TargetMode="External"/><Relationship Id="rId72" Type="http://schemas.openxmlformats.org/officeDocument/2006/relationships/hyperlink" Target="https://issues.sierrawireless.com/browse/OEMPRI-5179" TargetMode="External"/><Relationship Id="rId75" Type="http://schemas.openxmlformats.org/officeDocument/2006/relationships/hyperlink" Target="https://issues.sierrawireless.com/browse/OEMPRI-5175" TargetMode="External"/><Relationship Id="rId74" Type="http://schemas.openxmlformats.org/officeDocument/2006/relationships/hyperlink" Target="https://issues.sierrawireless.com/browse/OEMPRI-5176" TargetMode="External"/><Relationship Id="rId77" Type="http://schemas.openxmlformats.org/officeDocument/2006/relationships/hyperlink" Target="https://issues.sierrawireless.com/browse/OEMPRI-5172" TargetMode="External"/><Relationship Id="rId76" Type="http://schemas.openxmlformats.org/officeDocument/2006/relationships/hyperlink" Target="https://issues.sierrawireless.com/browse/OEMPRI-5174" TargetMode="External"/><Relationship Id="rId79" Type="http://schemas.openxmlformats.org/officeDocument/2006/relationships/hyperlink" Target="https://issues.sierrawireless.com/browse/OEMPRI-5285" TargetMode="External"/><Relationship Id="rId78" Type="http://schemas.openxmlformats.org/officeDocument/2006/relationships/hyperlink" Target="https://issues.sierrawireless.com/browse/OEMPRI-5171" TargetMode="External"/><Relationship Id="rId939" Type="http://schemas.openxmlformats.org/officeDocument/2006/relationships/hyperlink" Target="https://issues.sierrawireless.com/browse/OEMPRI-1643" TargetMode="External"/><Relationship Id="rId938" Type="http://schemas.openxmlformats.org/officeDocument/2006/relationships/hyperlink" Target="https://issues.sierrawireless.com/browse/OEMPRI-1644" TargetMode="External"/><Relationship Id="rId937" Type="http://schemas.openxmlformats.org/officeDocument/2006/relationships/hyperlink" Target="https://issues.sierrawireless.com/browse/OEMPRI-1645" TargetMode="External"/><Relationship Id="rId71" Type="http://schemas.openxmlformats.org/officeDocument/2006/relationships/hyperlink" Target="https://issues.sierrawireless.com/browse/OEMPRI-5162" TargetMode="External"/><Relationship Id="rId70" Type="http://schemas.openxmlformats.org/officeDocument/2006/relationships/hyperlink" Target="https://issues.sierrawireless.com/browse/OEMPRI-5163" TargetMode="External"/><Relationship Id="rId932" Type="http://schemas.openxmlformats.org/officeDocument/2006/relationships/hyperlink" Target="https://issues.sierrawireless.com/browse/OEMPRI-1650" TargetMode="External"/><Relationship Id="rId931" Type="http://schemas.openxmlformats.org/officeDocument/2006/relationships/hyperlink" Target="https://issues.sierrawireless.com/browse/OEMPRI-1651" TargetMode="External"/><Relationship Id="rId930" Type="http://schemas.openxmlformats.org/officeDocument/2006/relationships/hyperlink" Target="https://issues.sierrawireless.com/browse/OEMPRI-1734" TargetMode="External"/><Relationship Id="rId936" Type="http://schemas.openxmlformats.org/officeDocument/2006/relationships/hyperlink" Target="https://issues.sierrawireless.com/browse/OEMPRI-1646" TargetMode="External"/><Relationship Id="rId935" Type="http://schemas.openxmlformats.org/officeDocument/2006/relationships/hyperlink" Target="https://issues.sierrawireless.com/browse/OEMPRI-1647" TargetMode="External"/><Relationship Id="rId934" Type="http://schemas.openxmlformats.org/officeDocument/2006/relationships/hyperlink" Target="https://issues.sierrawireless.com/browse/OEMPRI-1648" TargetMode="External"/><Relationship Id="rId933" Type="http://schemas.openxmlformats.org/officeDocument/2006/relationships/hyperlink" Target="https://issues.sierrawireless.com/browse/OEMPRI-1649" TargetMode="External"/><Relationship Id="rId62" Type="http://schemas.openxmlformats.org/officeDocument/2006/relationships/hyperlink" Target="https://issues.sierrawireless.com/browse/OEMPRI-5226" TargetMode="External"/><Relationship Id="rId61" Type="http://schemas.openxmlformats.org/officeDocument/2006/relationships/hyperlink" Target="https://issues.sierrawireless.com/browse/OEMPRI-5213" TargetMode="External"/><Relationship Id="rId64" Type="http://schemas.openxmlformats.org/officeDocument/2006/relationships/hyperlink" Target="https://issues.sierrawireless.com/browse/OEMPRI-5211" TargetMode="External"/><Relationship Id="rId63" Type="http://schemas.openxmlformats.org/officeDocument/2006/relationships/hyperlink" Target="https://issues.sierrawireless.com/browse/OEMPRI-5212" TargetMode="External"/><Relationship Id="rId66" Type="http://schemas.openxmlformats.org/officeDocument/2006/relationships/hyperlink" Target="https://issues.sierrawireless.com/browse/OEMPRI-5196" TargetMode="External"/><Relationship Id="rId65" Type="http://schemas.openxmlformats.org/officeDocument/2006/relationships/hyperlink" Target="https://issues.sierrawireless.com/browse/OEMPRI-5210" TargetMode="External"/><Relationship Id="rId68" Type="http://schemas.openxmlformats.org/officeDocument/2006/relationships/hyperlink" Target="https://issues.sierrawireless.com/browse/OEMPRI-5177" TargetMode="External"/><Relationship Id="rId67" Type="http://schemas.openxmlformats.org/officeDocument/2006/relationships/hyperlink" Target="https://issues.sierrawireless.com/browse/OEMPRI-5195" TargetMode="External"/><Relationship Id="rId729" Type="http://schemas.openxmlformats.org/officeDocument/2006/relationships/hyperlink" Target="https://issues.sierrawireless.com/browse/OEMPRI-2602" TargetMode="External"/><Relationship Id="rId728" Type="http://schemas.openxmlformats.org/officeDocument/2006/relationships/hyperlink" Target="https://issues.sierrawireless.com/browse/OEMPRI-2603" TargetMode="External"/><Relationship Id="rId60" Type="http://schemas.openxmlformats.org/officeDocument/2006/relationships/hyperlink" Target="https://issues.sierrawireless.com/browse/OEMPRI-5214" TargetMode="External"/><Relationship Id="rId723" Type="http://schemas.openxmlformats.org/officeDocument/2006/relationships/hyperlink" Target="https://issues.sierrawireless.com/browse/OEMPRI-2623" TargetMode="External"/><Relationship Id="rId965" Type="http://schemas.openxmlformats.org/officeDocument/2006/relationships/hyperlink" Target="https://issues.sierrawireless.com/browse/OEMPRI-1585" TargetMode="External"/><Relationship Id="rId722" Type="http://schemas.openxmlformats.org/officeDocument/2006/relationships/hyperlink" Target="https://issues.sierrawireless.com/browse/OEMPRI-2620" TargetMode="External"/><Relationship Id="rId964" Type="http://schemas.openxmlformats.org/officeDocument/2006/relationships/hyperlink" Target="https://issues.sierrawireless.com/browse/OEMPRI-1627" TargetMode="External"/><Relationship Id="rId721" Type="http://schemas.openxmlformats.org/officeDocument/2006/relationships/hyperlink" Target="https://issues.sierrawireless.com/browse/OEMPRI-2621" TargetMode="External"/><Relationship Id="rId963" Type="http://schemas.openxmlformats.org/officeDocument/2006/relationships/hyperlink" Target="https://issues.sierrawireless.com/browse/OEMPRI-1653" TargetMode="External"/><Relationship Id="rId720" Type="http://schemas.openxmlformats.org/officeDocument/2006/relationships/hyperlink" Target="https://issues.sierrawireless.com/browse/OEMPRI-2668" TargetMode="External"/><Relationship Id="rId962" Type="http://schemas.openxmlformats.org/officeDocument/2006/relationships/hyperlink" Target="https://issues.sierrawireless.com/browse/OEMPRI-1654" TargetMode="External"/><Relationship Id="rId727" Type="http://schemas.openxmlformats.org/officeDocument/2006/relationships/hyperlink" Target="https://issues.sierrawireless.com/browse/OEMPRI-2604" TargetMode="External"/><Relationship Id="rId969" Type="http://schemas.openxmlformats.org/officeDocument/2006/relationships/hyperlink" Target="https://issues.sierrawireless.com/browse/OEMPRI-1740" TargetMode="External"/><Relationship Id="rId726" Type="http://schemas.openxmlformats.org/officeDocument/2006/relationships/hyperlink" Target="https://issues.sierrawireless.com/browse/OEMPRI-2605" TargetMode="External"/><Relationship Id="rId968" Type="http://schemas.openxmlformats.org/officeDocument/2006/relationships/hyperlink" Target="https://issues.sierrawireless.com/browse/OEMPRI-1770" TargetMode="External"/><Relationship Id="rId725" Type="http://schemas.openxmlformats.org/officeDocument/2006/relationships/hyperlink" Target="https://issues.sierrawireless.com/browse/OEMPRI-2608" TargetMode="External"/><Relationship Id="rId967" Type="http://schemas.openxmlformats.org/officeDocument/2006/relationships/hyperlink" Target="https://issues.sierrawireless.com/browse/OEMPRI-1583" TargetMode="External"/><Relationship Id="rId724" Type="http://schemas.openxmlformats.org/officeDocument/2006/relationships/hyperlink" Target="https://issues.sierrawireless.com/browse/OEMPRI-2614" TargetMode="External"/><Relationship Id="rId966" Type="http://schemas.openxmlformats.org/officeDocument/2006/relationships/hyperlink" Target="https://issues.sierrawireless.com/browse/OEMPRI-1584" TargetMode="External"/><Relationship Id="rId69" Type="http://schemas.openxmlformats.org/officeDocument/2006/relationships/hyperlink" Target="https://issues.sierrawireless.com/browse/OEMPRI-5173" TargetMode="External"/><Relationship Id="rId961" Type="http://schemas.openxmlformats.org/officeDocument/2006/relationships/hyperlink" Target="https://issues.sierrawireless.com/browse/OEMPRI-1656" TargetMode="External"/><Relationship Id="rId960" Type="http://schemas.openxmlformats.org/officeDocument/2006/relationships/hyperlink" Target="https://issues.sierrawireless.com/browse/OEMPRI-1765" TargetMode="External"/><Relationship Id="rId51" Type="http://schemas.openxmlformats.org/officeDocument/2006/relationships/hyperlink" Target="https://issues.sierrawireless.com/browse/OEMPRI-5218" TargetMode="External"/><Relationship Id="rId50" Type="http://schemas.openxmlformats.org/officeDocument/2006/relationships/hyperlink" Target="https://issues.sierrawireless.com/browse/OEMPRI-5219" TargetMode="External"/><Relationship Id="rId53" Type="http://schemas.openxmlformats.org/officeDocument/2006/relationships/hyperlink" Target="https://issues.sierrawireless.com/browse/OEMPRI-5216" TargetMode="External"/><Relationship Id="rId52" Type="http://schemas.openxmlformats.org/officeDocument/2006/relationships/hyperlink" Target="https://issues.sierrawireless.com/browse/OEMPRI-5217" TargetMode="External"/><Relationship Id="rId55" Type="http://schemas.openxmlformats.org/officeDocument/2006/relationships/hyperlink" Target="https://issues.sierrawireless.com/browse/OEMPRI-5230" TargetMode="External"/><Relationship Id="rId54" Type="http://schemas.openxmlformats.org/officeDocument/2006/relationships/hyperlink" Target="https://issues.sierrawireless.com/browse/OEMPRI-5215" TargetMode="External"/><Relationship Id="rId57" Type="http://schemas.openxmlformats.org/officeDocument/2006/relationships/hyperlink" Target="https://issues.sierrawireless.com/browse/OEMPRI-5209" TargetMode="External"/><Relationship Id="rId56" Type="http://schemas.openxmlformats.org/officeDocument/2006/relationships/hyperlink" Target="https://issues.sierrawireless.com/browse/OEMPRI-5227" TargetMode="External"/><Relationship Id="rId719" Type="http://schemas.openxmlformats.org/officeDocument/2006/relationships/hyperlink" Target="https://issues.sierrawireless.com/browse/OEMPRI-2682" TargetMode="External"/><Relationship Id="rId718" Type="http://schemas.openxmlformats.org/officeDocument/2006/relationships/hyperlink" Target="https://issues.sierrawireless.com/browse/OEMPRI-2677" TargetMode="External"/><Relationship Id="rId717" Type="http://schemas.openxmlformats.org/officeDocument/2006/relationships/hyperlink" Target="https://issues.sierrawireless.com/browse/OEMPRI-2678" TargetMode="External"/><Relationship Id="rId959" Type="http://schemas.openxmlformats.org/officeDocument/2006/relationships/hyperlink" Target="https://issues.sierrawireless.com/browse/OEMPRI-1766" TargetMode="External"/><Relationship Id="rId712" Type="http://schemas.openxmlformats.org/officeDocument/2006/relationships/hyperlink" Target="https://issues.sierrawireless.com/browse/OEMPRI-2684" TargetMode="External"/><Relationship Id="rId954" Type="http://schemas.openxmlformats.org/officeDocument/2006/relationships/hyperlink" Target="https://issues.sierrawireless.com/browse/OEMPRI-1623" TargetMode="External"/><Relationship Id="rId711" Type="http://schemas.openxmlformats.org/officeDocument/2006/relationships/hyperlink" Target="https://issues.sierrawireless.com/browse/OEMPRI-2685" TargetMode="External"/><Relationship Id="rId953" Type="http://schemas.openxmlformats.org/officeDocument/2006/relationships/hyperlink" Target="https://issues.sierrawireless.com/browse/OEMPRI-1624" TargetMode="External"/><Relationship Id="rId710" Type="http://schemas.openxmlformats.org/officeDocument/2006/relationships/hyperlink" Target="https://issues.sierrawireless.com/browse/OEMPRI-2686" TargetMode="External"/><Relationship Id="rId952" Type="http://schemas.openxmlformats.org/officeDocument/2006/relationships/hyperlink" Target="https://issues.sierrawireless.com/browse/OEMPRI-1625" TargetMode="External"/><Relationship Id="rId951" Type="http://schemas.openxmlformats.org/officeDocument/2006/relationships/hyperlink" Target="https://issues.sierrawireless.com/browse/OEMPRI-1621" TargetMode="External"/><Relationship Id="rId716" Type="http://schemas.openxmlformats.org/officeDocument/2006/relationships/hyperlink" Target="https://issues.sierrawireless.com/browse/OEMPRI-2679" TargetMode="External"/><Relationship Id="rId958" Type="http://schemas.openxmlformats.org/officeDocument/2006/relationships/hyperlink" Target="https://issues.sierrawireless.com/browse/OEMPRI-1767" TargetMode="External"/><Relationship Id="rId715" Type="http://schemas.openxmlformats.org/officeDocument/2006/relationships/hyperlink" Target="https://issues.sierrawireless.com/browse/OEMPRI-2680" TargetMode="External"/><Relationship Id="rId957" Type="http://schemas.openxmlformats.org/officeDocument/2006/relationships/hyperlink" Target="https://issues.sierrawireless.com/browse/OEMPRI-1768" TargetMode="External"/><Relationship Id="rId714" Type="http://schemas.openxmlformats.org/officeDocument/2006/relationships/hyperlink" Target="https://issues.sierrawireless.com/browse/OEMPRI-2681" TargetMode="External"/><Relationship Id="rId956" Type="http://schemas.openxmlformats.org/officeDocument/2006/relationships/hyperlink" Target="https://issues.sierrawireless.com/browse/OEMPRI-1764" TargetMode="External"/><Relationship Id="rId713" Type="http://schemas.openxmlformats.org/officeDocument/2006/relationships/hyperlink" Target="https://issues.sierrawireless.com/browse/OEMPRI-2683" TargetMode="External"/><Relationship Id="rId955" Type="http://schemas.openxmlformats.org/officeDocument/2006/relationships/hyperlink" Target="https://issues.sierrawireless.com/browse/OEMPRI-1622" TargetMode="External"/><Relationship Id="rId59" Type="http://schemas.openxmlformats.org/officeDocument/2006/relationships/hyperlink" Target="https://issues.sierrawireless.com/browse/OEMPRI-5225" TargetMode="External"/><Relationship Id="rId58" Type="http://schemas.openxmlformats.org/officeDocument/2006/relationships/hyperlink" Target="https://issues.sierrawireless.com/browse/OEMPRI-5229" TargetMode="External"/><Relationship Id="rId950" Type="http://schemas.openxmlformats.org/officeDocument/2006/relationships/hyperlink" Target="https://issues.sierrawireless.com/browse/OEMPRI-1818" TargetMode="External"/><Relationship Id="rId590" Type="http://schemas.openxmlformats.org/officeDocument/2006/relationships/hyperlink" Target="https://issues.sierrawireless.com/browse/OEMPRI-3218" TargetMode="External"/><Relationship Id="rId107" Type="http://schemas.openxmlformats.org/officeDocument/2006/relationships/hyperlink" Target="https://issues.sierrawireless.com/browse/OEMPRI-5093" TargetMode="External"/><Relationship Id="rId349" Type="http://schemas.openxmlformats.org/officeDocument/2006/relationships/hyperlink" Target="https://issues.sierrawireless.com/browse/OEMPRI-4196" TargetMode="External"/><Relationship Id="rId106" Type="http://schemas.openxmlformats.org/officeDocument/2006/relationships/hyperlink" Target="https://issues.sierrawireless.com/browse/OEMPRI-5101" TargetMode="External"/><Relationship Id="rId348" Type="http://schemas.openxmlformats.org/officeDocument/2006/relationships/hyperlink" Target="https://issues.sierrawireless.com/browse/OEMPRI-4197" TargetMode="External"/><Relationship Id="rId105" Type="http://schemas.openxmlformats.org/officeDocument/2006/relationships/hyperlink" Target="https://issues.sierrawireless.com/browse/OEMPRI-5104" TargetMode="External"/><Relationship Id="rId347" Type="http://schemas.openxmlformats.org/officeDocument/2006/relationships/hyperlink" Target="https://issues.sierrawireless.com/browse/OEMPRI-4198" TargetMode="External"/><Relationship Id="rId589" Type="http://schemas.openxmlformats.org/officeDocument/2006/relationships/hyperlink" Target="https://issues.sierrawireless.com/browse/OEMPRI-3226" TargetMode="External"/><Relationship Id="rId104" Type="http://schemas.openxmlformats.org/officeDocument/2006/relationships/hyperlink" Target="https://issues.sierrawireless.com/browse/OEMPRI-5096" TargetMode="External"/><Relationship Id="rId346" Type="http://schemas.openxmlformats.org/officeDocument/2006/relationships/hyperlink" Target="https://issues.sierrawireless.com/browse/OEMPRI-4200" TargetMode="External"/><Relationship Id="rId588" Type="http://schemas.openxmlformats.org/officeDocument/2006/relationships/hyperlink" Target="https://issues.sierrawireless.com/browse/OEMPRI-3227" TargetMode="External"/><Relationship Id="rId109" Type="http://schemas.openxmlformats.org/officeDocument/2006/relationships/hyperlink" Target="https://issues.sierrawireless.com/browse/OEMPRI-5082" TargetMode="External"/><Relationship Id="rId1170" Type="http://schemas.openxmlformats.org/officeDocument/2006/relationships/hyperlink" Target="https://issues.sierrawireless.com/browse/OEMPRI-1880" TargetMode="External"/><Relationship Id="rId108" Type="http://schemas.openxmlformats.org/officeDocument/2006/relationships/hyperlink" Target="https://issues.sierrawireless.com/browse/OEMPRI-5089" TargetMode="External"/><Relationship Id="rId1171" Type="http://schemas.openxmlformats.org/officeDocument/2006/relationships/hyperlink" Target="https://issues.sierrawireless.com/browse/OEMPRI-1879" TargetMode="External"/><Relationship Id="rId341" Type="http://schemas.openxmlformats.org/officeDocument/2006/relationships/hyperlink" Target="https://issues.sierrawireless.com/browse/OEMPRI-4205" TargetMode="External"/><Relationship Id="rId583" Type="http://schemas.openxmlformats.org/officeDocument/2006/relationships/hyperlink" Target="https://issues.sierrawireless.com/browse/OEMPRI-3340" TargetMode="External"/><Relationship Id="rId1172" Type="http://schemas.openxmlformats.org/officeDocument/2006/relationships/hyperlink" Target="https://issues.sierrawireless.com/browse/OEMPRI-1878" TargetMode="External"/><Relationship Id="rId340" Type="http://schemas.openxmlformats.org/officeDocument/2006/relationships/hyperlink" Target="https://issues.sierrawireless.com/browse/OEMPRI-4206" TargetMode="External"/><Relationship Id="rId582" Type="http://schemas.openxmlformats.org/officeDocument/2006/relationships/hyperlink" Target="https://issues.sierrawireless.com/browse/OEMPRI-3343" TargetMode="External"/><Relationship Id="rId1173" Type="http://schemas.openxmlformats.org/officeDocument/2006/relationships/hyperlink" Target="https://issues.sierrawireless.com/browse/OEMPRI-2142" TargetMode="External"/><Relationship Id="rId581" Type="http://schemas.openxmlformats.org/officeDocument/2006/relationships/hyperlink" Target="https://issues.sierrawireless.com/browse/OEMPRI-3342" TargetMode="External"/><Relationship Id="rId1174" Type="http://schemas.openxmlformats.org/officeDocument/2006/relationships/hyperlink" Target="https://issues.sierrawireless.com/browse/OEMPRI-2130" TargetMode="External"/><Relationship Id="rId580" Type="http://schemas.openxmlformats.org/officeDocument/2006/relationships/hyperlink" Target="https://issues.sierrawireless.com/browse/OEMPRI-3345" TargetMode="External"/><Relationship Id="rId1175" Type="http://schemas.openxmlformats.org/officeDocument/2006/relationships/hyperlink" Target="https://issues.sierrawireless.com/browse/OEMPRI-2039" TargetMode="External"/><Relationship Id="rId103" Type="http://schemas.openxmlformats.org/officeDocument/2006/relationships/hyperlink" Target="https://issues.sierrawireless.com/browse/OEMPRI-5102" TargetMode="External"/><Relationship Id="rId345" Type="http://schemas.openxmlformats.org/officeDocument/2006/relationships/hyperlink" Target="https://issues.sierrawireless.com/browse/OEMPRI-4201" TargetMode="External"/><Relationship Id="rId587" Type="http://schemas.openxmlformats.org/officeDocument/2006/relationships/hyperlink" Target="https://issues.sierrawireless.com/browse/OEMPRI-3298" TargetMode="External"/><Relationship Id="rId1176" Type="http://schemas.openxmlformats.org/officeDocument/2006/relationships/hyperlink" Target="https://issues.sierrawireless.com/browse/OEMPRI-2038" TargetMode="External"/><Relationship Id="rId102" Type="http://schemas.openxmlformats.org/officeDocument/2006/relationships/hyperlink" Target="https://issues.sierrawireless.com/browse/OEMPRI-5095" TargetMode="External"/><Relationship Id="rId344" Type="http://schemas.openxmlformats.org/officeDocument/2006/relationships/hyperlink" Target="https://issues.sierrawireless.com/browse/OEMPRI-4202" TargetMode="External"/><Relationship Id="rId586" Type="http://schemas.openxmlformats.org/officeDocument/2006/relationships/hyperlink" Target="https://issues.sierrawireless.com/browse/OEMPRI-3301" TargetMode="External"/><Relationship Id="rId1177" Type="http://schemas.openxmlformats.org/officeDocument/2006/relationships/hyperlink" Target="https://issues.sierrawireless.com/browse/OEMPRI-2037" TargetMode="External"/><Relationship Id="rId101" Type="http://schemas.openxmlformats.org/officeDocument/2006/relationships/hyperlink" Target="https://issues.sierrawireless.com/browse/OEMPRI-5090" TargetMode="External"/><Relationship Id="rId343" Type="http://schemas.openxmlformats.org/officeDocument/2006/relationships/hyperlink" Target="https://issues.sierrawireless.com/browse/OEMPRI-4203" TargetMode="External"/><Relationship Id="rId585" Type="http://schemas.openxmlformats.org/officeDocument/2006/relationships/hyperlink" Target="https://issues.sierrawireless.com/browse/OEMPRI-3316" TargetMode="External"/><Relationship Id="rId1178" Type="http://schemas.openxmlformats.org/officeDocument/2006/relationships/hyperlink" Target="https://issues.sierrawireless.com/browse/OEMPRI-2036" TargetMode="External"/><Relationship Id="rId100" Type="http://schemas.openxmlformats.org/officeDocument/2006/relationships/hyperlink" Target="https://issues.sierrawireless.com/browse/OEMPRI-5091" TargetMode="External"/><Relationship Id="rId342" Type="http://schemas.openxmlformats.org/officeDocument/2006/relationships/hyperlink" Target="https://issues.sierrawireless.com/browse/OEMPRI-4204" TargetMode="External"/><Relationship Id="rId584" Type="http://schemas.openxmlformats.org/officeDocument/2006/relationships/hyperlink" Target="https://issues.sierrawireless.com/browse/OEMPRI-3331" TargetMode="External"/><Relationship Id="rId1179" Type="http://schemas.openxmlformats.org/officeDocument/2006/relationships/hyperlink" Target="https://issues.sierrawireless.com/browse/OEMPRI-2035" TargetMode="External"/><Relationship Id="rId1169" Type="http://schemas.openxmlformats.org/officeDocument/2006/relationships/hyperlink" Target="https://issues.sierrawireless.com/browse/OEMPRI-1967" TargetMode="External"/><Relationship Id="rId338" Type="http://schemas.openxmlformats.org/officeDocument/2006/relationships/hyperlink" Target="https://issues.sierrawireless.com/browse/OEMPRI-4263" TargetMode="External"/><Relationship Id="rId337" Type="http://schemas.openxmlformats.org/officeDocument/2006/relationships/hyperlink" Target="https://issues.sierrawireless.com/browse/OEMPRI-4261" TargetMode="External"/><Relationship Id="rId579" Type="http://schemas.openxmlformats.org/officeDocument/2006/relationships/hyperlink" Target="https://issues.sierrawireless.com/browse/OEMPRI-3381" TargetMode="External"/><Relationship Id="rId336" Type="http://schemas.openxmlformats.org/officeDocument/2006/relationships/hyperlink" Target="https://issues.sierrawireless.com/browse/OEMPRI-4262" TargetMode="External"/><Relationship Id="rId578" Type="http://schemas.openxmlformats.org/officeDocument/2006/relationships/hyperlink" Target="https://issues.sierrawireless.com/browse/OEMPRI-3385" TargetMode="External"/><Relationship Id="rId335" Type="http://schemas.openxmlformats.org/officeDocument/2006/relationships/hyperlink" Target="https://issues.sierrawireless.com/browse/OEMPRI-4264" TargetMode="External"/><Relationship Id="rId577" Type="http://schemas.openxmlformats.org/officeDocument/2006/relationships/hyperlink" Target="https://issues.sierrawireless.com/browse/OEMPRI-3404" TargetMode="External"/><Relationship Id="rId339" Type="http://schemas.openxmlformats.org/officeDocument/2006/relationships/hyperlink" Target="https://issues.sierrawireless.com/browse/OEMPRI-4207" TargetMode="External"/><Relationship Id="rId1160" Type="http://schemas.openxmlformats.org/officeDocument/2006/relationships/hyperlink" Target="https://issues.sierrawireless.com/browse/OEMPRI-1930" TargetMode="External"/><Relationship Id="rId330" Type="http://schemas.openxmlformats.org/officeDocument/2006/relationships/hyperlink" Target="https://issues.sierrawireless.com/browse/OEMPRI-4297" TargetMode="External"/><Relationship Id="rId572" Type="http://schemas.openxmlformats.org/officeDocument/2006/relationships/hyperlink" Target="https://issues.sierrawireless.com/browse/OEMPRI-3464" TargetMode="External"/><Relationship Id="rId1161" Type="http://schemas.openxmlformats.org/officeDocument/2006/relationships/hyperlink" Target="https://issues.sierrawireless.com/browse/OEMPRI-1929" TargetMode="External"/><Relationship Id="rId571" Type="http://schemas.openxmlformats.org/officeDocument/2006/relationships/hyperlink" Target="https://issues.sierrawireless.com/browse/OEMPRI-3471" TargetMode="External"/><Relationship Id="rId1162" Type="http://schemas.openxmlformats.org/officeDocument/2006/relationships/hyperlink" Target="https://issues.sierrawireless.com/browse/OEMPRI-1928" TargetMode="External"/><Relationship Id="rId570" Type="http://schemas.openxmlformats.org/officeDocument/2006/relationships/hyperlink" Target="https://issues.sierrawireless.com/browse/OEMPRI-3479" TargetMode="External"/><Relationship Id="rId1163" Type="http://schemas.openxmlformats.org/officeDocument/2006/relationships/hyperlink" Target="https://issues.sierrawireless.com/browse/OEMPRI-1965" TargetMode="External"/><Relationship Id="rId1164" Type="http://schemas.openxmlformats.org/officeDocument/2006/relationships/hyperlink" Target="https://issues.sierrawireless.com/browse/OEMPRI-1964" TargetMode="External"/><Relationship Id="rId334" Type="http://schemas.openxmlformats.org/officeDocument/2006/relationships/hyperlink" Target="https://issues.sierrawireless.com/browse/OEMPRI-4282" TargetMode="External"/><Relationship Id="rId576" Type="http://schemas.openxmlformats.org/officeDocument/2006/relationships/hyperlink" Target="https://issues.sierrawireless.com/browse/OEMPRI-3406" TargetMode="External"/><Relationship Id="rId1165" Type="http://schemas.openxmlformats.org/officeDocument/2006/relationships/hyperlink" Target="https://issues.sierrawireless.com/browse/OEMPRI-1963" TargetMode="External"/><Relationship Id="rId333" Type="http://schemas.openxmlformats.org/officeDocument/2006/relationships/hyperlink" Target="https://issues.sierrawireless.com/browse/OEMPRI-4294" TargetMode="External"/><Relationship Id="rId575" Type="http://schemas.openxmlformats.org/officeDocument/2006/relationships/hyperlink" Target="https://issues.sierrawireless.com/browse/OEMPRI-3407" TargetMode="External"/><Relationship Id="rId1166" Type="http://schemas.openxmlformats.org/officeDocument/2006/relationships/hyperlink" Target="https://issues.sierrawireless.com/browse/OEMPRI-2126" TargetMode="External"/><Relationship Id="rId332" Type="http://schemas.openxmlformats.org/officeDocument/2006/relationships/hyperlink" Target="https://issues.sierrawireless.com/browse/OEMPRI-4295" TargetMode="External"/><Relationship Id="rId574" Type="http://schemas.openxmlformats.org/officeDocument/2006/relationships/hyperlink" Target="https://issues.sierrawireless.com/browse/OEMPRI-3436" TargetMode="External"/><Relationship Id="rId1167" Type="http://schemas.openxmlformats.org/officeDocument/2006/relationships/hyperlink" Target="https://issues.sierrawireless.com/browse/OEMPRI-2031" TargetMode="External"/><Relationship Id="rId331" Type="http://schemas.openxmlformats.org/officeDocument/2006/relationships/hyperlink" Target="https://issues.sierrawireless.com/browse/OEMPRI-4296" TargetMode="External"/><Relationship Id="rId573" Type="http://schemas.openxmlformats.org/officeDocument/2006/relationships/hyperlink" Target="https://issues.sierrawireless.com/browse/OEMPRI-3438" TargetMode="External"/><Relationship Id="rId1168" Type="http://schemas.openxmlformats.org/officeDocument/2006/relationships/hyperlink" Target="https://issues.sierrawireless.com/browse/OEMPRI-1968" TargetMode="External"/><Relationship Id="rId370" Type="http://schemas.openxmlformats.org/officeDocument/2006/relationships/hyperlink" Target="https://issues.sierrawireless.com/browse/OEMPRI-4103" TargetMode="External"/><Relationship Id="rId129" Type="http://schemas.openxmlformats.org/officeDocument/2006/relationships/hyperlink" Target="https://issues.sierrawireless.com/browse/OEMPRI-5017" TargetMode="External"/><Relationship Id="rId128" Type="http://schemas.openxmlformats.org/officeDocument/2006/relationships/hyperlink" Target="https://issues.sierrawireless.com/browse/OEMPRI-5010" TargetMode="External"/><Relationship Id="rId127" Type="http://schemas.openxmlformats.org/officeDocument/2006/relationships/hyperlink" Target="https://issues.sierrawireless.com/browse/OEMPRI-5014" TargetMode="External"/><Relationship Id="rId369" Type="http://schemas.openxmlformats.org/officeDocument/2006/relationships/hyperlink" Target="https://issues.sierrawireless.com/browse/OEMPRI-4104" TargetMode="External"/><Relationship Id="rId126" Type="http://schemas.openxmlformats.org/officeDocument/2006/relationships/hyperlink" Target="https://issues.sierrawireless.com/browse/OEMPRI-5019" TargetMode="External"/><Relationship Id="rId368" Type="http://schemas.openxmlformats.org/officeDocument/2006/relationships/hyperlink" Target="https://issues.sierrawireless.com/browse/OEMPRI-4105" TargetMode="External"/><Relationship Id="rId1190" Type="http://schemas.openxmlformats.org/officeDocument/2006/relationships/hyperlink" Target="https://issues.sierrawireless.com/browse/OEMPRI-1848" TargetMode="External"/><Relationship Id="rId1191" Type="http://schemas.openxmlformats.org/officeDocument/2006/relationships/hyperlink" Target="https://issues.sierrawireless.com/browse/OEMPRI-5134" TargetMode="External"/><Relationship Id="rId1192" Type="http://schemas.openxmlformats.org/officeDocument/2006/relationships/hyperlink" Target="https://issues.sierrawireless.com/browse/OEMPRI-5009" TargetMode="External"/><Relationship Id="rId1193" Type="http://schemas.openxmlformats.org/officeDocument/2006/relationships/hyperlink" Target="https://issues.sierrawireless.com/browse/OEMPRI-4932" TargetMode="External"/><Relationship Id="rId121" Type="http://schemas.openxmlformats.org/officeDocument/2006/relationships/hyperlink" Target="https://issues.sierrawireless.com/browse/OEMPRI-5035" TargetMode="External"/><Relationship Id="rId363" Type="http://schemas.openxmlformats.org/officeDocument/2006/relationships/hyperlink" Target="https://issues.sierrawireless.com/browse/OEMPRI-4112" TargetMode="External"/><Relationship Id="rId1194" Type="http://schemas.openxmlformats.org/officeDocument/2006/relationships/hyperlink" Target="https://issues.sierrawireless.com/browse/OEMPRI-5194" TargetMode="External"/><Relationship Id="rId120" Type="http://schemas.openxmlformats.org/officeDocument/2006/relationships/hyperlink" Target="https://issues.sierrawireless.com/browse/OEMPRI-5036" TargetMode="External"/><Relationship Id="rId362" Type="http://schemas.openxmlformats.org/officeDocument/2006/relationships/hyperlink" Target="https://issues.sierrawireless.com/browse/OEMPRI-4122" TargetMode="External"/><Relationship Id="rId1195" Type="http://schemas.openxmlformats.org/officeDocument/2006/relationships/hyperlink" Target="https://issues.sierrawireless.com/browse/OEMPRI-5170" TargetMode="External"/><Relationship Id="rId361" Type="http://schemas.openxmlformats.org/officeDocument/2006/relationships/hyperlink" Target="https://issues.sierrawireless.com/browse/OEMPRI-4123" TargetMode="External"/><Relationship Id="rId1196" Type="http://schemas.openxmlformats.org/officeDocument/2006/relationships/hyperlink" Target="https://issues.sierrawireless.com/browse/OEMPRI-5169" TargetMode="External"/><Relationship Id="rId360" Type="http://schemas.openxmlformats.org/officeDocument/2006/relationships/hyperlink" Target="https://issues.sierrawireless.com/browse/OEMPRI-4149" TargetMode="External"/><Relationship Id="rId1197" Type="http://schemas.openxmlformats.org/officeDocument/2006/relationships/hyperlink" Target="https://issues.sierrawireless.com/browse/OEMPRI-5165" TargetMode="External"/><Relationship Id="rId125" Type="http://schemas.openxmlformats.org/officeDocument/2006/relationships/hyperlink" Target="https://issues.sierrawireless.com/browse/OEMPRI-5020" TargetMode="External"/><Relationship Id="rId367" Type="http://schemas.openxmlformats.org/officeDocument/2006/relationships/hyperlink" Target="https://issues.sierrawireless.com/browse/OEMPRI-4107" TargetMode="External"/><Relationship Id="rId1198" Type="http://schemas.openxmlformats.org/officeDocument/2006/relationships/hyperlink" Target="https://issues.sierrawireless.com/browse/OEMPRI-5164" TargetMode="External"/><Relationship Id="rId124" Type="http://schemas.openxmlformats.org/officeDocument/2006/relationships/hyperlink" Target="https://issues.sierrawireless.com/browse/OEMPRI-5018" TargetMode="External"/><Relationship Id="rId366" Type="http://schemas.openxmlformats.org/officeDocument/2006/relationships/hyperlink" Target="https://issues.sierrawireless.com/browse/OEMPRI-4108" TargetMode="External"/><Relationship Id="rId1199" Type="http://schemas.openxmlformats.org/officeDocument/2006/relationships/hyperlink" Target="https://issues.sierrawireless.com/browse/OEMPRI-5166" TargetMode="External"/><Relationship Id="rId123" Type="http://schemas.openxmlformats.org/officeDocument/2006/relationships/hyperlink" Target="https://issues.sierrawireless.com/browse/OEMPRI-5033" TargetMode="External"/><Relationship Id="rId365" Type="http://schemas.openxmlformats.org/officeDocument/2006/relationships/hyperlink" Target="https://issues.sierrawireless.com/browse/OEMPRI-4109" TargetMode="External"/><Relationship Id="rId122" Type="http://schemas.openxmlformats.org/officeDocument/2006/relationships/hyperlink" Target="https://issues.sierrawireless.com/browse/OEMPRI-5038" TargetMode="External"/><Relationship Id="rId364" Type="http://schemas.openxmlformats.org/officeDocument/2006/relationships/hyperlink" Target="https://issues.sierrawireless.com/browse/OEMPRI-4111" TargetMode="External"/><Relationship Id="rId95" Type="http://schemas.openxmlformats.org/officeDocument/2006/relationships/hyperlink" Target="https://issues.sierrawireless.com/browse/OEMPRI-5131" TargetMode="External"/><Relationship Id="rId94" Type="http://schemas.openxmlformats.org/officeDocument/2006/relationships/hyperlink" Target="https://issues.sierrawireless.com/browse/OEMPRI-5135" TargetMode="External"/><Relationship Id="rId97" Type="http://schemas.openxmlformats.org/officeDocument/2006/relationships/hyperlink" Target="https://issues.sierrawireless.com/browse/OEMPRI-5094" TargetMode="External"/><Relationship Id="rId96" Type="http://schemas.openxmlformats.org/officeDocument/2006/relationships/hyperlink" Target="https://issues.sierrawireless.com/browse/OEMPRI-5127" TargetMode="External"/><Relationship Id="rId99" Type="http://schemas.openxmlformats.org/officeDocument/2006/relationships/hyperlink" Target="https://issues.sierrawireless.com/browse/OEMPRI-5100" TargetMode="External"/><Relationship Id="rId98" Type="http://schemas.openxmlformats.org/officeDocument/2006/relationships/hyperlink" Target="https://issues.sierrawireless.com/browse/OEMPRI-5092" TargetMode="External"/><Relationship Id="rId91" Type="http://schemas.openxmlformats.org/officeDocument/2006/relationships/hyperlink" Target="https://issues.sierrawireless.com/browse/OEMPRI-5142" TargetMode="External"/><Relationship Id="rId90" Type="http://schemas.openxmlformats.org/officeDocument/2006/relationships/hyperlink" Target="https://issues.sierrawireless.com/browse/OEMPRI-5140" TargetMode="External"/><Relationship Id="rId93" Type="http://schemas.openxmlformats.org/officeDocument/2006/relationships/hyperlink" Target="https://issues.sierrawireless.com/browse/OEMPRI-5139" TargetMode="External"/><Relationship Id="rId92" Type="http://schemas.openxmlformats.org/officeDocument/2006/relationships/hyperlink" Target="https://issues.sierrawireless.com/browse/OEMPRI-5141" TargetMode="External"/><Relationship Id="rId118" Type="http://schemas.openxmlformats.org/officeDocument/2006/relationships/hyperlink" Target="https://issues.sierrawireless.com/browse/OEMPRI-5062" TargetMode="External"/><Relationship Id="rId117" Type="http://schemas.openxmlformats.org/officeDocument/2006/relationships/hyperlink" Target="https://issues.sierrawireless.com/browse/OEMPRI-5072" TargetMode="External"/><Relationship Id="rId359" Type="http://schemas.openxmlformats.org/officeDocument/2006/relationships/hyperlink" Target="https://issues.sierrawireless.com/browse/OEMPRI-4143" TargetMode="External"/><Relationship Id="rId116" Type="http://schemas.openxmlformats.org/officeDocument/2006/relationships/hyperlink" Target="https://issues.sierrawireless.com/browse/OEMPRI-5075" TargetMode="External"/><Relationship Id="rId358" Type="http://schemas.openxmlformats.org/officeDocument/2006/relationships/hyperlink" Target="https://issues.sierrawireless.com/browse/OEMPRI-4145" TargetMode="External"/><Relationship Id="rId115" Type="http://schemas.openxmlformats.org/officeDocument/2006/relationships/hyperlink" Target="https://issues.sierrawireless.com/browse/OEMPRI-5074" TargetMode="External"/><Relationship Id="rId357" Type="http://schemas.openxmlformats.org/officeDocument/2006/relationships/hyperlink" Target="https://issues.sierrawireless.com/browse/OEMPRI-4168" TargetMode="External"/><Relationship Id="rId599" Type="http://schemas.openxmlformats.org/officeDocument/2006/relationships/hyperlink" Target="https://issues.sierrawireless.com/browse/OEMPRI-3156" TargetMode="External"/><Relationship Id="rId1180" Type="http://schemas.openxmlformats.org/officeDocument/2006/relationships/hyperlink" Target="https://issues.sierrawireless.com/browse/OEMPRI-2034" TargetMode="External"/><Relationship Id="rId1181" Type="http://schemas.openxmlformats.org/officeDocument/2006/relationships/hyperlink" Target="https://issues.sierrawireless.com/browse/OEMPRI-2033" TargetMode="External"/><Relationship Id="rId119" Type="http://schemas.openxmlformats.org/officeDocument/2006/relationships/hyperlink" Target="https://issues.sierrawireless.com/browse/OEMPRI-5037" TargetMode="External"/><Relationship Id="rId1182" Type="http://schemas.openxmlformats.org/officeDocument/2006/relationships/hyperlink" Target="https://issues.sierrawireless.com/browse/OEMPRI-1998" TargetMode="External"/><Relationship Id="rId110" Type="http://schemas.openxmlformats.org/officeDocument/2006/relationships/hyperlink" Target="https://issues.sierrawireless.com/browse/OEMPRI-5083" TargetMode="External"/><Relationship Id="rId352" Type="http://schemas.openxmlformats.org/officeDocument/2006/relationships/hyperlink" Target="https://issues.sierrawireless.com/browse/OEMPRI-4192" TargetMode="External"/><Relationship Id="rId594" Type="http://schemas.openxmlformats.org/officeDocument/2006/relationships/hyperlink" Target="https://issues.sierrawireless.com/browse/OEMPRI-3190" TargetMode="External"/><Relationship Id="rId1183" Type="http://schemas.openxmlformats.org/officeDocument/2006/relationships/hyperlink" Target="https://issues.sierrawireless.com/browse/OEMPRI-1933" TargetMode="External"/><Relationship Id="rId351" Type="http://schemas.openxmlformats.org/officeDocument/2006/relationships/hyperlink" Target="https://issues.sierrawireless.com/browse/OEMPRI-4193" TargetMode="External"/><Relationship Id="rId593" Type="http://schemas.openxmlformats.org/officeDocument/2006/relationships/hyperlink" Target="https://issues.sierrawireless.com/browse/OEMPRI-3208" TargetMode="External"/><Relationship Id="rId1184" Type="http://schemas.openxmlformats.org/officeDocument/2006/relationships/hyperlink" Target="https://issues.sierrawireless.com/browse/OEMPRI-2102" TargetMode="External"/><Relationship Id="rId350" Type="http://schemas.openxmlformats.org/officeDocument/2006/relationships/hyperlink" Target="https://issues.sierrawireless.com/browse/OEMPRI-4195" TargetMode="External"/><Relationship Id="rId592" Type="http://schemas.openxmlformats.org/officeDocument/2006/relationships/hyperlink" Target="https://issues.sierrawireless.com/browse/OEMPRI-3219" TargetMode="External"/><Relationship Id="rId1185" Type="http://schemas.openxmlformats.org/officeDocument/2006/relationships/hyperlink" Target="https://issues.sierrawireless.com/browse/OEMPRI-1999" TargetMode="External"/><Relationship Id="rId591" Type="http://schemas.openxmlformats.org/officeDocument/2006/relationships/hyperlink" Target="https://issues.sierrawireless.com/browse/OEMPRI-3216" TargetMode="External"/><Relationship Id="rId1186" Type="http://schemas.openxmlformats.org/officeDocument/2006/relationships/hyperlink" Target="https://issues.sierrawireless.com/browse/OEMPRI-1882" TargetMode="External"/><Relationship Id="rId114" Type="http://schemas.openxmlformats.org/officeDocument/2006/relationships/hyperlink" Target="https://issues.sierrawireless.com/browse/OEMPRI-5076" TargetMode="External"/><Relationship Id="rId356" Type="http://schemas.openxmlformats.org/officeDocument/2006/relationships/hyperlink" Target="https://issues.sierrawireless.com/browse/OEMPRI-4164" TargetMode="External"/><Relationship Id="rId598" Type="http://schemas.openxmlformats.org/officeDocument/2006/relationships/hyperlink" Target="https://issues.sierrawireless.com/browse/OEMPRI-3171" TargetMode="External"/><Relationship Id="rId1187" Type="http://schemas.openxmlformats.org/officeDocument/2006/relationships/hyperlink" Target="https://issues.sierrawireless.com/browse/OEMPRI-2000" TargetMode="External"/><Relationship Id="rId113" Type="http://schemas.openxmlformats.org/officeDocument/2006/relationships/hyperlink" Target="https://issues.sierrawireless.com/browse/OEMPRI-5077" TargetMode="External"/><Relationship Id="rId355" Type="http://schemas.openxmlformats.org/officeDocument/2006/relationships/hyperlink" Target="https://issues.sierrawireless.com/browse/OEMPRI-4199" TargetMode="External"/><Relationship Id="rId597" Type="http://schemas.openxmlformats.org/officeDocument/2006/relationships/hyperlink" Target="https://issues.sierrawireless.com/browse/OEMPRI-3180" TargetMode="External"/><Relationship Id="rId1188" Type="http://schemas.openxmlformats.org/officeDocument/2006/relationships/hyperlink" Target="https://issues.sierrawireless.com/browse/OEMPRI-1938" TargetMode="External"/><Relationship Id="rId112" Type="http://schemas.openxmlformats.org/officeDocument/2006/relationships/hyperlink" Target="https://issues.sierrawireless.com/browse/OEMPRI-5081" TargetMode="External"/><Relationship Id="rId354" Type="http://schemas.openxmlformats.org/officeDocument/2006/relationships/hyperlink" Target="https://issues.sierrawireless.com/browse/OEMPRI-4190" TargetMode="External"/><Relationship Id="rId596" Type="http://schemas.openxmlformats.org/officeDocument/2006/relationships/hyperlink" Target="https://issues.sierrawireless.com/browse/OEMPRI-3188" TargetMode="External"/><Relationship Id="rId1189" Type="http://schemas.openxmlformats.org/officeDocument/2006/relationships/hyperlink" Target="https://issues.sierrawireless.com/browse/OEMPRI-1849" TargetMode="External"/><Relationship Id="rId111" Type="http://schemas.openxmlformats.org/officeDocument/2006/relationships/hyperlink" Target="https://issues.sierrawireless.com/browse/OEMPRI-5073" TargetMode="External"/><Relationship Id="rId353" Type="http://schemas.openxmlformats.org/officeDocument/2006/relationships/hyperlink" Target="https://issues.sierrawireless.com/browse/OEMPRI-4191" TargetMode="External"/><Relationship Id="rId595" Type="http://schemas.openxmlformats.org/officeDocument/2006/relationships/hyperlink" Target="https://issues.sierrawireless.com/browse/OEMPRI-3189" TargetMode="External"/><Relationship Id="rId1136" Type="http://schemas.openxmlformats.org/officeDocument/2006/relationships/hyperlink" Target="https://issues.sierrawireless.com/browse/OEMPRI-2025" TargetMode="External"/><Relationship Id="rId1137" Type="http://schemas.openxmlformats.org/officeDocument/2006/relationships/hyperlink" Target="https://issues.sierrawireless.com/browse/OEMPRI-2024" TargetMode="External"/><Relationship Id="rId1138" Type="http://schemas.openxmlformats.org/officeDocument/2006/relationships/hyperlink" Target="https://issues.sierrawireless.com/browse/OEMPRI-2023" TargetMode="External"/><Relationship Id="rId1139" Type="http://schemas.openxmlformats.org/officeDocument/2006/relationships/hyperlink" Target="https://issues.sierrawireless.com/browse/OEMPRI-1896" TargetMode="External"/><Relationship Id="rId305" Type="http://schemas.openxmlformats.org/officeDocument/2006/relationships/hyperlink" Target="https://issues.sierrawireless.com/browse/OEMPRI-4357" TargetMode="External"/><Relationship Id="rId547" Type="http://schemas.openxmlformats.org/officeDocument/2006/relationships/hyperlink" Target="https://issues.sierrawireless.com/browse/OEMPRI-3586" TargetMode="External"/><Relationship Id="rId789" Type="http://schemas.openxmlformats.org/officeDocument/2006/relationships/hyperlink" Target="https://issues.sierrawireless.com/browse/OEMPRI-2187" TargetMode="External"/><Relationship Id="rId304" Type="http://schemas.openxmlformats.org/officeDocument/2006/relationships/hyperlink" Target="https://issues.sierrawireless.com/browse/OEMPRI-4358" TargetMode="External"/><Relationship Id="rId546" Type="http://schemas.openxmlformats.org/officeDocument/2006/relationships/hyperlink" Target="https://issues.sierrawireless.com/browse/OEMPRI-3589" TargetMode="External"/><Relationship Id="rId788" Type="http://schemas.openxmlformats.org/officeDocument/2006/relationships/hyperlink" Target="https://issues.sierrawireless.com/browse/OEMPRI-2188" TargetMode="External"/><Relationship Id="rId303" Type="http://schemas.openxmlformats.org/officeDocument/2006/relationships/hyperlink" Target="https://issues.sierrawireless.com/browse/OEMPRI-4363" TargetMode="External"/><Relationship Id="rId545" Type="http://schemas.openxmlformats.org/officeDocument/2006/relationships/hyperlink" Target="https://issues.sierrawireless.com/browse/OEMPRI-3590" TargetMode="External"/><Relationship Id="rId787" Type="http://schemas.openxmlformats.org/officeDocument/2006/relationships/hyperlink" Target="https://issues.sierrawireless.com/browse/OEMPRI-2189" TargetMode="External"/><Relationship Id="rId302" Type="http://schemas.openxmlformats.org/officeDocument/2006/relationships/hyperlink" Target="https://issues.sierrawireless.com/browse/OEMPRI-4364" TargetMode="External"/><Relationship Id="rId544" Type="http://schemas.openxmlformats.org/officeDocument/2006/relationships/hyperlink" Target="https://issues.sierrawireless.com/browse/OEMPRI-3593" TargetMode="External"/><Relationship Id="rId786" Type="http://schemas.openxmlformats.org/officeDocument/2006/relationships/hyperlink" Target="https://issues.sierrawireless.com/browse/OEMPRI-2196" TargetMode="External"/><Relationship Id="rId309" Type="http://schemas.openxmlformats.org/officeDocument/2006/relationships/hyperlink" Target="https://issues.sierrawireless.com/browse/OEMPRI-4362" TargetMode="External"/><Relationship Id="rId308" Type="http://schemas.openxmlformats.org/officeDocument/2006/relationships/hyperlink" Target="https://issues.sierrawireless.com/browse/OEMPRI-4366" TargetMode="External"/><Relationship Id="rId307" Type="http://schemas.openxmlformats.org/officeDocument/2006/relationships/hyperlink" Target="https://issues.sierrawireless.com/browse/OEMPRI-4355" TargetMode="External"/><Relationship Id="rId549" Type="http://schemas.openxmlformats.org/officeDocument/2006/relationships/hyperlink" Target="https://issues.sierrawireless.com/browse/OEMPRI-3600" TargetMode="External"/><Relationship Id="rId306" Type="http://schemas.openxmlformats.org/officeDocument/2006/relationships/hyperlink" Target="https://issues.sierrawireless.com/browse/OEMPRI-4356" TargetMode="External"/><Relationship Id="rId548" Type="http://schemas.openxmlformats.org/officeDocument/2006/relationships/hyperlink" Target="https://issues.sierrawireless.com/browse/OEMPRI-3585" TargetMode="External"/><Relationship Id="rId781" Type="http://schemas.openxmlformats.org/officeDocument/2006/relationships/hyperlink" Target="https://issues.sierrawireless.com/browse/OEMPRI-2205" TargetMode="External"/><Relationship Id="rId780" Type="http://schemas.openxmlformats.org/officeDocument/2006/relationships/hyperlink" Target="https://issues.sierrawireless.com/browse/OEMPRI-2206" TargetMode="External"/><Relationship Id="rId1130" Type="http://schemas.openxmlformats.org/officeDocument/2006/relationships/hyperlink" Target="https://issues.sierrawireless.com/browse/OEMPRI-2094" TargetMode="External"/><Relationship Id="rId1131" Type="http://schemas.openxmlformats.org/officeDocument/2006/relationships/hyperlink" Target="https://issues.sierrawireless.com/browse/OEMPRI-2093" TargetMode="External"/><Relationship Id="rId301" Type="http://schemas.openxmlformats.org/officeDocument/2006/relationships/hyperlink" Target="https://issues.sierrawireless.com/browse/OEMPRI-4365" TargetMode="External"/><Relationship Id="rId543" Type="http://schemas.openxmlformats.org/officeDocument/2006/relationships/hyperlink" Target="https://issues.sierrawireless.com/browse/OEMPRI-3594" TargetMode="External"/><Relationship Id="rId785" Type="http://schemas.openxmlformats.org/officeDocument/2006/relationships/hyperlink" Target="https://issues.sierrawireless.com/browse/OEMPRI-2195" TargetMode="External"/><Relationship Id="rId1132" Type="http://schemas.openxmlformats.org/officeDocument/2006/relationships/hyperlink" Target="https://issues.sierrawireless.com/browse/OEMPRI-2029" TargetMode="External"/><Relationship Id="rId300" Type="http://schemas.openxmlformats.org/officeDocument/2006/relationships/hyperlink" Target="https://issues.sierrawireless.com/browse/OEMPRI-4367" TargetMode="External"/><Relationship Id="rId542" Type="http://schemas.openxmlformats.org/officeDocument/2006/relationships/hyperlink" Target="https://issues.sierrawireless.com/browse/OEMPRI-3595" TargetMode="External"/><Relationship Id="rId784" Type="http://schemas.openxmlformats.org/officeDocument/2006/relationships/hyperlink" Target="https://issues.sierrawireless.com/browse/OEMPRI-2201" TargetMode="External"/><Relationship Id="rId1133" Type="http://schemas.openxmlformats.org/officeDocument/2006/relationships/hyperlink" Target="https://issues.sierrawireless.com/browse/OEMPRI-2028" TargetMode="External"/><Relationship Id="rId541" Type="http://schemas.openxmlformats.org/officeDocument/2006/relationships/hyperlink" Target="https://issues.sierrawireless.com/browse/OEMPRI-3597" TargetMode="External"/><Relationship Id="rId783" Type="http://schemas.openxmlformats.org/officeDocument/2006/relationships/hyperlink" Target="https://issues.sierrawireless.com/browse/OEMPRI-2202" TargetMode="External"/><Relationship Id="rId1134" Type="http://schemas.openxmlformats.org/officeDocument/2006/relationships/hyperlink" Target="https://issues.sierrawireless.com/browse/OEMPRI-2027" TargetMode="External"/><Relationship Id="rId540" Type="http://schemas.openxmlformats.org/officeDocument/2006/relationships/hyperlink" Target="https://issues.sierrawireless.com/browse/OEMPRI-3598" TargetMode="External"/><Relationship Id="rId782" Type="http://schemas.openxmlformats.org/officeDocument/2006/relationships/hyperlink" Target="https://issues.sierrawireless.com/browse/OEMPRI-2204" TargetMode="External"/><Relationship Id="rId1135" Type="http://schemas.openxmlformats.org/officeDocument/2006/relationships/hyperlink" Target="https://issues.sierrawireless.com/browse/OEMPRI-2026" TargetMode="External"/><Relationship Id="rId1125" Type="http://schemas.openxmlformats.org/officeDocument/2006/relationships/hyperlink" Target="https://issues.sierrawireless.com/browse/OEMPRI-1893" TargetMode="External"/><Relationship Id="rId1126" Type="http://schemas.openxmlformats.org/officeDocument/2006/relationships/hyperlink" Target="https://issues.sierrawireless.com/browse/OEMPRI-1892" TargetMode="External"/><Relationship Id="rId1127" Type="http://schemas.openxmlformats.org/officeDocument/2006/relationships/hyperlink" Target="https://issues.sierrawireless.com/browse/OEMPRI-1874" TargetMode="External"/><Relationship Id="rId1128" Type="http://schemas.openxmlformats.org/officeDocument/2006/relationships/hyperlink" Target="https://issues.sierrawireless.com/browse/OEMPRI-1873" TargetMode="External"/><Relationship Id="rId1129" Type="http://schemas.openxmlformats.org/officeDocument/2006/relationships/hyperlink" Target="https://issues.sierrawireless.com/browse/OEMPRI-1872" TargetMode="External"/><Relationship Id="rId536" Type="http://schemas.openxmlformats.org/officeDocument/2006/relationships/hyperlink" Target="https://issues.sierrawireless.com/browse/OEMPRI-3603" TargetMode="External"/><Relationship Id="rId778" Type="http://schemas.openxmlformats.org/officeDocument/2006/relationships/hyperlink" Target="https://issues.sierrawireless.com/browse/OEMPRI-2236" TargetMode="External"/><Relationship Id="rId535" Type="http://schemas.openxmlformats.org/officeDocument/2006/relationships/hyperlink" Target="https://issues.sierrawireless.com/browse/OEMPRI-3607" TargetMode="External"/><Relationship Id="rId777" Type="http://schemas.openxmlformats.org/officeDocument/2006/relationships/hyperlink" Target="https://issues.sierrawireless.com/browse/OEMPRI-2237" TargetMode="External"/><Relationship Id="rId534" Type="http://schemas.openxmlformats.org/officeDocument/2006/relationships/hyperlink" Target="https://issues.sierrawireless.com/browse/OEMPRI-3613" TargetMode="External"/><Relationship Id="rId776" Type="http://schemas.openxmlformats.org/officeDocument/2006/relationships/hyperlink" Target="https://issues.sierrawireless.com/browse/OEMPRI-2252" TargetMode="External"/><Relationship Id="rId533" Type="http://schemas.openxmlformats.org/officeDocument/2006/relationships/hyperlink" Target="https://issues.sierrawireless.com/browse/OEMPRI-3615" TargetMode="External"/><Relationship Id="rId775" Type="http://schemas.openxmlformats.org/officeDocument/2006/relationships/hyperlink" Target="https://issues.sierrawireless.com/browse/OEMPRI-2258" TargetMode="External"/><Relationship Id="rId539" Type="http://schemas.openxmlformats.org/officeDocument/2006/relationships/hyperlink" Target="https://issues.sierrawireless.com/browse/OEMPRI-3599" TargetMode="External"/><Relationship Id="rId538" Type="http://schemas.openxmlformats.org/officeDocument/2006/relationships/hyperlink" Target="https://issues.sierrawireless.com/browse/OEMPRI-3601" TargetMode="External"/><Relationship Id="rId537" Type="http://schemas.openxmlformats.org/officeDocument/2006/relationships/hyperlink" Target="https://issues.sierrawireless.com/browse/OEMPRI-3602" TargetMode="External"/><Relationship Id="rId779" Type="http://schemas.openxmlformats.org/officeDocument/2006/relationships/hyperlink" Target="https://issues.sierrawireless.com/browse/OEMPRI-2233" TargetMode="External"/><Relationship Id="rId770" Type="http://schemas.openxmlformats.org/officeDocument/2006/relationships/hyperlink" Target="https://issues.sierrawireless.com/browse/OEMPRI-2335" TargetMode="External"/><Relationship Id="rId1120" Type="http://schemas.openxmlformats.org/officeDocument/2006/relationships/hyperlink" Target="https://issues.sierrawireless.com/browse/OEMPRI-2122" TargetMode="External"/><Relationship Id="rId532" Type="http://schemas.openxmlformats.org/officeDocument/2006/relationships/hyperlink" Target="https://issues.sierrawireless.com/browse/OEMPRI-3631" TargetMode="External"/><Relationship Id="rId774" Type="http://schemas.openxmlformats.org/officeDocument/2006/relationships/hyperlink" Target="https://issues.sierrawireless.com/browse/OEMPRI-2259" TargetMode="External"/><Relationship Id="rId1121" Type="http://schemas.openxmlformats.org/officeDocument/2006/relationships/hyperlink" Target="https://issues.sierrawireless.com/browse/OEMPRI-2121" TargetMode="External"/><Relationship Id="rId531" Type="http://schemas.openxmlformats.org/officeDocument/2006/relationships/hyperlink" Target="https://issues.sierrawireless.com/browse/OEMPRI-3632" TargetMode="External"/><Relationship Id="rId773" Type="http://schemas.openxmlformats.org/officeDocument/2006/relationships/hyperlink" Target="https://issues.sierrawireless.com/browse/OEMPRI-2303" TargetMode="External"/><Relationship Id="rId1122" Type="http://schemas.openxmlformats.org/officeDocument/2006/relationships/hyperlink" Target="https://issues.sierrawireless.com/browse/OEMPRI-2019" TargetMode="External"/><Relationship Id="rId530" Type="http://schemas.openxmlformats.org/officeDocument/2006/relationships/hyperlink" Target="https://issues.sierrawireless.com/browse/OEMPRI-3630" TargetMode="External"/><Relationship Id="rId772" Type="http://schemas.openxmlformats.org/officeDocument/2006/relationships/hyperlink" Target="https://issues.sierrawireless.com/browse/OEMPRI-2311" TargetMode="External"/><Relationship Id="rId1123" Type="http://schemas.openxmlformats.org/officeDocument/2006/relationships/hyperlink" Target="https://issues.sierrawireless.com/browse/OEMPRI-1895" TargetMode="External"/><Relationship Id="rId771" Type="http://schemas.openxmlformats.org/officeDocument/2006/relationships/hyperlink" Target="https://issues.sierrawireless.com/browse/OEMPRI-2315" TargetMode="External"/><Relationship Id="rId1124" Type="http://schemas.openxmlformats.org/officeDocument/2006/relationships/hyperlink" Target="https://issues.sierrawireless.com/browse/OEMPRI-1894" TargetMode="External"/><Relationship Id="rId1158" Type="http://schemas.openxmlformats.org/officeDocument/2006/relationships/hyperlink" Target="https://issues.sierrawireless.com/browse/OEMPRI-1932" TargetMode="External"/><Relationship Id="rId1159" Type="http://schemas.openxmlformats.org/officeDocument/2006/relationships/hyperlink" Target="https://issues.sierrawireless.com/browse/OEMPRI-1931" TargetMode="External"/><Relationship Id="rId327" Type="http://schemas.openxmlformats.org/officeDocument/2006/relationships/hyperlink" Target="https://issues.sierrawireless.com/browse/OEMPRI-4305" TargetMode="External"/><Relationship Id="rId569" Type="http://schemas.openxmlformats.org/officeDocument/2006/relationships/hyperlink" Target="https://issues.sierrawireless.com/browse/OEMPRI-3481" TargetMode="External"/><Relationship Id="rId326" Type="http://schemas.openxmlformats.org/officeDocument/2006/relationships/hyperlink" Target="https://issues.sierrawireless.com/browse/OEMPRI-4307" TargetMode="External"/><Relationship Id="rId568" Type="http://schemas.openxmlformats.org/officeDocument/2006/relationships/hyperlink" Target="https://issues.sierrawireless.com/browse/OEMPRI-3534" TargetMode="External"/><Relationship Id="rId325" Type="http://schemas.openxmlformats.org/officeDocument/2006/relationships/hyperlink" Target="https://issues.sierrawireless.com/browse/OEMPRI-4322" TargetMode="External"/><Relationship Id="rId567" Type="http://schemas.openxmlformats.org/officeDocument/2006/relationships/hyperlink" Target="https://issues.sierrawireless.com/browse/OEMPRI-3538" TargetMode="External"/><Relationship Id="rId324" Type="http://schemas.openxmlformats.org/officeDocument/2006/relationships/hyperlink" Target="https://issues.sierrawireless.com/browse/OEMPRI-4324" TargetMode="External"/><Relationship Id="rId566" Type="http://schemas.openxmlformats.org/officeDocument/2006/relationships/hyperlink" Target="https://issues.sierrawireless.com/browse/OEMPRI-3535" TargetMode="External"/><Relationship Id="rId329" Type="http://schemas.openxmlformats.org/officeDocument/2006/relationships/hyperlink" Target="https://issues.sierrawireless.com/browse/OEMPRI-4298" TargetMode="External"/><Relationship Id="rId328" Type="http://schemas.openxmlformats.org/officeDocument/2006/relationships/hyperlink" Target="https://issues.sierrawireless.com/browse/OEMPRI-4300" TargetMode="External"/><Relationship Id="rId561" Type="http://schemas.openxmlformats.org/officeDocument/2006/relationships/hyperlink" Target="https://issues.sierrawireless.com/browse/OEMPRI-3542" TargetMode="External"/><Relationship Id="rId1150" Type="http://schemas.openxmlformats.org/officeDocument/2006/relationships/hyperlink" Target="https://issues.sierrawireless.com/browse/OEMPRI-2097" TargetMode="External"/><Relationship Id="rId560" Type="http://schemas.openxmlformats.org/officeDocument/2006/relationships/hyperlink" Target="https://issues.sierrawireless.com/browse/OEMPRI-3552" TargetMode="External"/><Relationship Id="rId1151" Type="http://schemas.openxmlformats.org/officeDocument/2006/relationships/hyperlink" Target="https://issues.sierrawireless.com/browse/OEMPRI-2066" TargetMode="External"/><Relationship Id="rId1152" Type="http://schemas.openxmlformats.org/officeDocument/2006/relationships/hyperlink" Target="https://issues.sierrawireless.com/browse/OEMPRI-1996" TargetMode="External"/><Relationship Id="rId1153" Type="http://schemas.openxmlformats.org/officeDocument/2006/relationships/hyperlink" Target="https://issues.sierrawireless.com/browse/OEMPRI-2141" TargetMode="External"/><Relationship Id="rId323" Type="http://schemas.openxmlformats.org/officeDocument/2006/relationships/hyperlink" Target="https://issues.sierrawireless.com/browse/OEMPRI-4332" TargetMode="External"/><Relationship Id="rId565" Type="http://schemas.openxmlformats.org/officeDocument/2006/relationships/hyperlink" Target="https://issues.sierrawireless.com/browse/OEMPRI-3536" TargetMode="External"/><Relationship Id="rId1154" Type="http://schemas.openxmlformats.org/officeDocument/2006/relationships/hyperlink" Target="https://issues.sierrawireless.com/browse/OEMPRI-1997" TargetMode="External"/><Relationship Id="rId322" Type="http://schemas.openxmlformats.org/officeDocument/2006/relationships/hyperlink" Target="https://issues.sierrawireless.com/browse/OEMPRI-4330" TargetMode="External"/><Relationship Id="rId564" Type="http://schemas.openxmlformats.org/officeDocument/2006/relationships/hyperlink" Target="https://issues.sierrawireless.com/browse/OEMPRI-3539" TargetMode="External"/><Relationship Id="rId1155" Type="http://schemas.openxmlformats.org/officeDocument/2006/relationships/hyperlink" Target="https://issues.sierrawireless.com/browse/OEMPRI-1962" TargetMode="External"/><Relationship Id="rId321" Type="http://schemas.openxmlformats.org/officeDocument/2006/relationships/hyperlink" Target="https://issues.sierrawireless.com/browse/OEMPRI-4336" TargetMode="External"/><Relationship Id="rId563" Type="http://schemas.openxmlformats.org/officeDocument/2006/relationships/hyperlink" Target="https://issues.sierrawireless.com/browse/OEMPRI-3540" TargetMode="External"/><Relationship Id="rId1156" Type="http://schemas.openxmlformats.org/officeDocument/2006/relationships/hyperlink" Target="https://issues.sierrawireless.com/browse/OEMPRI-1961" TargetMode="External"/><Relationship Id="rId320" Type="http://schemas.openxmlformats.org/officeDocument/2006/relationships/hyperlink" Target="https://issues.sierrawireless.com/browse/OEMPRI-4335" TargetMode="External"/><Relationship Id="rId562" Type="http://schemas.openxmlformats.org/officeDocument/2006/relationships/hyperlink" Target="https://issues.sierrawireless.com/browse/OEMPRI-3541" TargetMode="External"/><Relationship Id="rId1157" Type="http://schemas.openxmlformats.org/officeDocument/2006/relationships/hyperlink" Target="https://issues.sierrawireless.com/browse/OEMPRI-1960" TargetMode="External"/><Relationship Id="rId1147" Type="http://schemas.openxmlformats.org/officeDocument/2006/relationships/hyperlink" Target="https://issues.sierrawireless.com/browse/OEMPRI-2100" TargetMode="External"/><Relationship Id="rId1148" Type="http://schemas.openxmlformats.org/officeDocument/2006/relationships/hyperlink" Target="https://issues.sierrawireless.com/browse/OEMPRI-2099" TargetMode="External"/><Relationship Id="rId1149" Type="http://schemas.openxmlformats.org/officeDocument/2006/relationships/hyperlink" Target="https://issues.sierrawireless.com/browse/OEMPRI-2098" TargetMode="External"/><Relationship Id="rId316" Type="http://schemas.openxmlformats.org/officeDocument/2006/relationships/hyperlink" Target="https://issues.sierrawireless.com/browse/OEMPRI-4340" TargetMode="External"/><Relationship Id="rId558" Type="http://schemas.openxmlformats.org/officeDocument/2006/relationships/hyperlink" Target="https://issues.sierrawireless.com/browse/OEMPRI-3555" TargetMode="External"/><Relationship Id="rId315" Type="http://schemas.openxmlformats.org/officeDocument/2006/relationships/hyperlink" Target="https://issues.sierrawireless.com/browse/OEMPRI-4347" TargetMode="External"/><Relationship Id="rId557" Type="http://schemas.openxmlformats.org/officeDocument/2006/relationships/hyperlink" Target="https://issues.sierrawireless.com/browse/OEMPRI-3556" TargetMode="External"/><Relationship Id="rId799" Type="http://schemas.openxmlformats.org/officeDocument/2006/relationships/hyperlink" Target="https://issues.sierrawireless.com/browse/OEMPRI-1512" TargetMode="External"/><Relationship Id="rId314" Type="http://schemas.openxmlformats.org/officeDocument/2006/relationships/hyperlink" Target="https://issues.sierrawireless.com/browse/OEMPRI-4350" TargetMode="External"/><Relationship Id="rId556" Type="http://schemas.openxmlformats.org/officeDocument/2006/relationships/hyperlink" Target="https://issues.sierrawireless.com/browse/OEMPRI-3566" TargetMode="External"/><Relationship Id="rId798" Type="http://schemas.openxmlformats.org/officeDocument/2006/relationships/hyperlink" Target="https://issues.sierrawireless.com/browse/OEMPRI-1513" TargetMode="External"/><Relationship Id="rId313" Type="http://schemas.openxmlformats.org/officeDocument/2006/relationships/hyperlink" Target="https://issues.sierrawireless.com/browse/OEMPRI-4344" TargetMode="External"/><Relationship Id="rId555" Type="http://schemas.openxmlformats.org/officeDocument/2006/relationships/hyperlink" Target="https://issues.sierrawireless.com/browse/OEMPRI-3567" TargetMode="External"/><Relationship Id="rId797" Type="http://schemas.openxmlformats.org/officeDocument/2006/relationships/hyperlink" Target="https://issues.sierrawireless.com/browse/OEMPRI-1514" TargetMode="External"/><Relationship Id="rId319" Type="http://schemas.openxmlformats.org/officeDocument/2006/relationships/hyperlink" Target="https://issues.sierrawireless.com/browse/OEMPRI-4338" TargetMode="External"/><Relationship Id="rId318" Type="http://schemas.openxmlformats.org/officeDocument/2006/relationships/hyperlink" Target="https://issues.sierrawireless.com/browse/OEMPRI-4341" TargetMode="External"/><Relationship Id="rId317" Type="http://schemas.openxmlformats.org/officeDocument/2006/relationships/hyperlink" Target="https://issues.sierrawireless.com/browse/OEMPRI-4339" TargetMode="External"/><Relationship Id="rId559" Type="http://schemas.openxmlformats.org/officeDocument/2006/relationships/hyperlink" Target="https://issues.sierrawireless.com/browse/OEMPRI-3554" TargetMode="External"/><Relationship Id="rId550" Type="http://schemas.openxmlformats.org/officeDocument/2006/relationships/hyperlink" Target="https://issues.sierrawireless.com/browse/OEMPRI-3596" TargetMode="External"/><Relationship Id="rId792" Type="http://schemas.openxmlformats.org/officeDocument/2006/relationships/hyperlink" Target="https://issues.sierrawireless.com/browse/OEMPRI-2174" TargetMode="External"/><Relationship Id="rId791" Type="http://schemas.openxmlformats.org/officeDocument/2006/relationships/hyperlink" Target="https://issues.sierrawireless.com/browse/OEMPRI-2180" TargetMode="External"/><Relationship Id="rId1140" Type="http://schemas.openxmlformats.org/officeDocument/2006/relationships/hyperlink" Target="https://issues.sierrawireless.com/browse/OEMPRI-1875" TargetMode="External"/><Relationship Id="rId790" Type="http://schemas.openxmlformats.org/officeDocument/2006/relationships/hyperlink" Target="https://issues.sierrawireless.com/browse/OEMPRI-2186" TargetMode="External"/><Relationship Id="rId1141" Type="http://schemas.openxmlformats.org/officeDocument/2006/relationships/hyperlink" Target="https://issues.sierrawireless.com/browse/OEMPRI-1846" TargetMode="External"/><Relationship Id="rId1142" Type="http://schemas.openxmlformats.org/officeDocument/2006/relationships/hyperlink" Target="https://issues.sierrawireless.com/browse/OEMPRI-2095" TargetMode="External"/><Relationship Id="rId312" Type="http://schemas.openxmlformats.org/officeDocument/2006/relationships/hyperlink" Target="https://issues.sierrawireless.com/browse/OEMPRI-4345" TargetMode="External"/><Relationship Id="rId554" Type="http://schemas.openxmlformats.org/officeDocument/2006/relationships/hyperlink" Target="https://issues.sierrawireless.com/browse/OEMPRI-3576" TargetMode="External"/><Relationship Id="rId796" Type="http://schemas.openxmlformats.org/officeDocument/2006/relationships/hyperlink" Target="https://issues.sierrawireless.com/browse/OEMPRI-1520" TargetMode="External"/><Relationship Id="rId1143" Type="http://schemas.openxmlformats.org/officeDocument/2006/relationships/hyperlink" Target="https://issues.sierrawireless.com/browse/OEMPRI-1994" TargetMode="External"/><Relationship Id="rId311" Type="http://schemas.openxmlformats.org/officeDocument/2006/relationships/hyperlink" Target="https://issues.sierrawireless.com/browse/OEMPRI-4346" TargetMode="External"/><Relationship Id="rId553" Type="http://schemas.openxmlformats.org/officeDocument/2006/relationships/hyperlink" Target="https://issues.sierrawireless.com/browse/OEMPRI-3587" TargetMode="External"/><Relationship Id="rId795" Type="http://schemas.openxmlformats.org/officeDocument/2006/relationships/hyperlink" Target="https://issues.sierrawireless.com/browse/OEMPRI-1567" TargetMode="External"/><Relationship Id="rId1144" Type="http://schemas.openxmlformats.org/officeDocument/2006/relationships/hyperlink" Target="https://issues.sierrawireless.com/browse/OEMPRI-1927" TargetMode="External"/><Relationship Id="rId310" Type="http://schemas.openxmlformats.org/officeDocument/2006/relationships/hyperlink" Target="https://issues.sierrawireless.com/browse/OEMPRI-4359" TargetMode="External"/><Relationship Id="rId552" Type="http://schemas.openxmlformats.org/officeDocument/2006/relationships/hyperlink" Target="https://issues.sierrawireless.com/browse/OEMPRI-3588" TargetMode="External"/><Relationship Id="rId794" Type="http://schemas.openxmlformats.org/officeDocument/2006/relationships/hyperlink" Target="https://issues.sierrawireless.com/browse/OEMPRI-1568" TargetMode="External"/><Relationship Id="rId1145" Type="http://schemas.openxmlformats.org/officeDocument/2006/relationships/hyperlink" Target="https://issues.sierrawireless.com/browse/OEMPRI-1926" TargetMode="External"/><Relationship Id="rId551" Type="http://schemas.openxmlformats.org/officeDocument/2006/relationships/hyperlink" Target="https://issues.sierrawireless.com/browse/OEMPRI-3592" TargetMode="External"/><Relationship Id="rId793" Type="http://schemas.openxmlformats.org/officeDocument/2006/relationships/hyperlink" Target="https://issues.sierrawireless.com/browse/OEMPRI-2149" TargetMode="External"/><Relationship Id="rId1146" Type="http://schemas.openxmlformats.org/officeDocument/2006/relationships/hyperlink" Target="https://issues.sierrawireless.com/browse/OEMPRI-2101" TargetMode="External"/><Relationship Id="rId297" Type="http://schemas.openxmlformats.org/officeDocument/2006/relationships/hyperlink" Target="https://issues.sierrawireless.com/browse/OEMPRI-4387" TargetMode="External"/><Relationship Id="rId296" Type="http://schemas.openxmlformats.org/officeDocument/2006/relationships/hyperlink" Target="https://issues.sierrawireless.com/browse/OEMPRI-4388" TargetMode="External"/><Relationship Id="rId295" Type="http://schemas.openxmlformats.org/officeDocument/2006/relationships/hyperlink" Target="https://issues.sierrawireless.com/browse/OEMPRI-4406" TargetMode="External"/><Relationship Id="rId294" Type="http://schemas.openxmlformats.org/officeDocument/2006/relationships/hyperlink" Target="https://issues.sierrawireless.com/browse/OEMPRI-4412" TargetMode="External"/><Relationship Id="rId299" Type="http://schemas.openxmlformats.org/officeDocument/2006/relationships/hyperlink" Target="https://issues.sierrawireless.com/browse/OEMPRI-4380" TargetMode="External"/><Relationship Id="rId298" Type="http://schemas.openxmlformats.org/officeDocument/2006/relationships/hyperlink" Target="https://issues.sierrawireless.com/browse/OEMPRI-4376" TargetMode="External"/><Relationship Id="rId271" Type="http://schemas.openxmlformats.org/officeDocument/2006/relationships/hyperlink" Target="https://issues.sierrawireless.com/browse/OEMPRI-4470" TargetMode="External"/><Relationship Id="rId270" Type="http://schemas.openxmlformats.org/officeDocument/2006/relationships/hyperlink" Target="https://issues.sierrawireless.com/browse/OEMPRI-4471" TargetMode="External"/><Relationship Id="rId269" Type="http://schemas.openxmlformats.org/officeDocument/2006/relationships/hyperlink" Target="https://issues.sierrawireless.com/browse/OEMPRI-4472" TargetMode="External"/><Relationship Id="rId264" Type="http://schemas.openxmlformats.org/officeDocument/2006/relationships/hyperlink" Target="https://issues.sierrawireless.com/browse/OEMPRI-4477" TargetMode="External"/><Relationship Id="rId263" Type="http://schemas.openxmlformats.org/officeDocument/2006/relationships/hyperlink" Target="https://issues.sierrawireless.com/browse/OEMPRI-4478" TargetMode="External"/><Relationship Id="rId262" Type="http://schemas.openxmlformats.org/officeDocument/2006/relationships/hyperlink" Target="https://issues.sierrawireless.com/browse/OEMPRI-4479" TargetMode="External"/><Relationship Id="rId261" Type="http://schemas.openxmlformats.org/officeDocument/2006/relationships/hyperlink" Target="https://issues.sierrawireless.com/browse/OEMPRI-4480" TargetMode="External"/><Relationship Id="rId268" Type="http://schemas.openxmlformats.org/officeDocument/2006/relationships/hyperlink" Target="https://issues.sierrawireless.com/browse/OEMPRI-4473" TargetMode="External"/><Relationship Id="rId267" Type="http://schemas.openxmlformats.org/officeDocument/2006/relationships/hyperlink" Target="https://issues.sierrawireless.com/browse/OEMPRI-4474" TargetMode="External"/><Relationship Id="rId266" Type="http://schemas.openxmlformats.org/officeDocument/2006/relationships/hyperlink" Target="https://issues.sierrawireless.com/browse/OEMPRI-4475" TargetMode="External"/><Relationship Id="rId265" Type="http://schemas.openxmlformats.org/officeDocument/2006/relationships/hyperlink" Target="https://issues.sierrawireless.com/browse/OEMPRI-4476" TargetMode="External"/><Relationship Id="rId260" Type="http://schemas.openxmlformats.org/officeDocument/2006/relationships/hyperlink" Target="https://issues.sierrawireless.com/browse/OEMPRI-4481" TargetMode="External"/><Relationship Id="rId259" Type="http://schemas.openxmlformats.org/officeDocument/2006/relationships/hyperlink" Target="https://issues.sierrawireless.com/browse/OEMPRI-4482" TargetMode="External"/><Relationship Id="rId258" Type="http://schemas.openxmlformats.org/officeDocument/2006/relationships/hyperlink" Target="https://issues.sierrawireless.com/browse/OEMPRI-4486" TargetMode="External"/><Relationship Id="rId253" Type="http://schemas.openxmlformats.org/officeDocument/2006/relationships/hyperlink" Target="https://issues.sierrawireless.com/browse/OEMPRI-4499" TargetMode="External"/><Relationship Id="rId495" Type="http://schemas.openxmlformats.org/officeDocument/2006/relationships/hyperlink" Target="https://issues.sierrawireless.com/browse/OEMPRI-3777" TargetMode="External"/><Relationship Id="rId252" Type="http://schemas.openxmlformats.org/officeDocument/2006/relationships/hyperlink" Target="https://issues.sierrawireless.com/browse/OEMPRI-4493" TargetMode="External"/><Relationship Id="rId494" Type="http://schemas.openxmlformats.org/officeDocument/2006/relationships/hyperlink" Target="https://issues.sierrawireless.com/browse/OEMPRI-3778" TargetMode="External"/><Relationship Id="rId251" Type="http://schemas.openxmlformats.org/officeDocument/2006/relationships/hyperlink" Target="https://issues.sierrawireless.com/browse/OEMPRI-4494" TargetMode="External"/><Relationship Id="rId493" Type="http://schemas.openxmlformats.org/officeDocument/2006/relationships/hyperlink" Target="https://issues.sierrawireless.com/browse/OEMPRI-3779" TargetMode="External"/><Relationship Id="rId250" Type="http://schemas.openxmlformats.org/officeDocument/2006/relationships/hyperlink" Target="https://issues.sierrawireless.com/browse/OEMPRI-4495" TargetMode="External"/><Relationship Id="rId492" Type="http://schemas.openxmlformats.org/officeDocument/2006/relationships/hyperlink" Target="https://issues.sierrawireless.com/browse/OEMPRI-3780" TargetMode="External"/><Relationship Id="rId257" Type="http://schemas.openxmlformats.org/officeDocument/2006/relationships/hyperlink" Target="https://issues.sierrawireless.com/browse/OEMPRI-4484" TargetMode="External"/><Relationship Id="rId499" Type="http://schemas.openxmlformats.org/officeDocument/2006/relationships/hyperlink" Target="https://issues.sierrawireless.com/browse/OEMPRI-3773" TargetMode="External"/><Relationship Id="rId256" Type="http://schemas.openxmlformats.org/officeDocument/2006/relationships/hyperlink" Target="https://issues.sierrawireless.com/browse/OEMPRI-4485" TargetMode="External"/><Relationship Id="rId498" Type="http://schemas.openxmlformats.org/officeDocument/2006/relationships/hyperlink" Target="https://issues.sierrawireless.com/browse/OEMPRI-3774" TargetMode="External"/><Relationship Id="rId255" Type="http://schemas.openxmlformats.org/officeDocument/2006/relationships/hyperlink" Target="https://issues.sierrawireless.com/browse/OEMPRI-4488" TargetMode="External"/><Relationship Id="rId497" Type="http://schemas.openxmlformats.org/officeDocument/2006/relationships/hyperlink" Target="https://issues.sierrawireless.com/browse/OEMPRI-3775" TargetMode="External"/><Relationship Id="rId254" Type="http://schemas.openxmlformats.org/officeDocument/2006/relationships/hyperlink" Target="https://issues.sierrawireless.com/browse/OEMPRI-4487" TargetMode="External"/><Relationship Id="rId496" Type="http://schemas.openxmlformats.org/officeDocument/2006/relationships/hyperlink" Target="https://issues.sierrawireless.com/browse/OEMPRI-3776" TargetMode="External"/><Relationship Id="rId293" Type="http://schemas.openxmlformats.org/officeDocument/2006/relationships/hyperlink" Target="https://issues.sierrawireless.com/browse/OEMPRI-4414" TargetMode="External"/><Relationship Id="rId292" Type="http://schemas.openxmlformats.org/officeDocument/2006/relationships/hyperlink" Target="https://issues.sierrawireless.com/browse/OEMPRI-4415" TargetMode="External"/><Relationship Id="rId291" Type="http://schemas.openxmlformats.org/officeDocument/2006/relationships/hyperlink" Target="https://issues.sierrawireless.com/browse/OEMPRI-4416" TargetMode="External"/><Relationship Id="rId290" Type="http://schemas.openxmlformats.org/officeDocument/2006/relationships/hyperlink" Target="https://issues.sierrawireless.com/browse/OEMPRI-4419" TargetMode="External"/><Relationship Id="rId286" Type="http://schemas.openxmlformats.org/officeDocument/2006/relationships/hyperlink" Target="https://issues.sierrawireless.com/browse/OEMPRI-4440" TargetMode="External"/><Relationship Id="rId285" Type="http://schemas.openxmlformats.org/officeDocument/2006/relationships/hyperlink" Target="https://issues.sierrawireless.com/browse/OEMPRI-4441" TargetMode="External"/><Relationship Id="rId284" Type="http://schemas.openxmlformats.org/officeDocument/2006/relationships/hyperlink" Target="https://issues.sierrawireless.com/browse/OEMPRI-4432" TargetMode="External"/><Relationship Id="rId283" Type="http://schemas.openxmlformats.org/officeDocument/2006/relationships/hyperlink" Target="https://issues.sierrawireless.com/browse/OEMPRI-4434" TargetMode="External"/><Relationship Id="rId289" Type="http://schemas.openxmlformats.org/officeDocument/2006/relationships/hyperlink" Target="https://issues.sierrawireless.com/browse/OEMPRI-4435" TargetMode="External"/><Relationship Id="rId288" Type="http://schemas.openxmlformats.org/officeDocument/2006/relationships/hyperlink" Target="https://issues.sierrawireless.com/browse/OEMPRI-4438" TargetMode="External"/><Relationship Id="rId287" Type="http://schemas.openxmlformats.org/officeDocument/2006/relationships/hyperlink" Target="https://issues.sierrawireless.com/browse/OEMPRI-4442" TargetMode="External"/><Relationship Id="rId282" Type="http://schemas.openxmlformats.org/officeDocument/2006/relationships/hyperlink" Target="https://issues.sierrawireless.com/browse/OEMPRI-4439" TargetMode="External"/><Relationship Id="rId281" Type="http://schemas.openxmlformats.org/officeDocument/2006/relationships/hyperlink" Target="https://issues.sierrawireless.com/browse/OEMPRI-4448" TargetMode="External"/><Relationship Id="rId280" Type="http://schemas.openxmlformats.org/officeDocument/2006/relationships/hyperlink" Target="https://issues.sierrawireless.com/browse/OEMPRI-4461" TargetMode="External"/><Relationship Id="rId275" Type="http://schemas.openxmlformats.org/officeDocument/2006/relationships/hyperlink" Target="https://issues.sierrawireless.com/browse/OEMPRI-4466" TargetMode="External"/><Relationship Id="rId274" Type="http://schemas.openxmlformats.org/officeDocument/2006/relationships/hyperlink" Target="https://issues.sierrawireless.com/browse/OEMPRI-4467" TargetMode="External"/><Relationship Id="rId273" Type="http://schemas.openxmlformats.org/officeDocument/2006/relationships/hyperlink" Target="https://issues.sierrawireless.com/browse/OEMPRI-4468" TargetMode="External"/><Relationship Id="rId272" Type="http://schemas.openxmlformats.org/officeDocument/2006/relationships/hyperlink" Target="https://issues.sierrawireless.com/browse/OEMPRI-4469" TargetMode="External"/><Relationship Id="rId279" Type="http://schemas.openxmlformats.org/officeDocument/2006/relationships/hyperlink" Target="https://issues.sierrawireless.com/browse/OEMPRI-4462" TargetMode="External"/><Relationship Id="rId278" Type="http://schemas.openxmlformats.org/officeDocument/2006/relationships/hyperlink" Target="https://issues.sierrawireless.com/browse/OEMPRI-4463" TargetMode="External"/><Relationship Id="rId277" Type="http://schemas.openxmlformats.org/officeDocument/2006/relationships/hyperlink" Target="https://issues.sierrawireless.com/browse/OEMPRI-4464" TargetMode="External"/><Relationship Id="rId276" Type="http://schemas.openxmlformats.org/officeDocument/2006/relationships/hyperlink" Target="https://issues.sierrawireless.com/browse/OEMPRI-4465" TargetMode="External"/><Relationship Id="rId907" Type="http://schemas.openxmlformats.org/officeDocument/2006/relationships/hyperlink" Target="https://issues.sierrawireless.com/browse/OEMPRI-1596" TargetMode="External"/><Relationship Id="rId906" Type="http://schemas.openxmlformats.org/officeDocument/2006/relationships/hyperlink" Target="https://issues.sierrawireless.com/browse/OEMPRI-1684" TargetMode="External"/><Relationship Id="rId905" Type="http://schemas.openxmlformats.org/officeDocument/2006/relationships/hyperlink" Target="https://issues.sierrawireless.com/browse/OEMPRI-1809" TargetMode="External"/><Relationship Id="rId904" Type="http://schemas.openxmlformats.org/officeDocument/2006/relationships/hyperlink" Target="https://issues.sierrawireless.com/browse/OEMPRI-1810" TargetMode="External"/><Relationship Id="rId909" Type="http://schemas.openxmlformats.org/officeDocument/2006/relationships/hyperlink" Target="https://issues.sierrawireless.com/browse/OEMPRI-1799" TargetMode="External"/><Relationship Id="rId908" Type="http://schemas.openxmlformats.org/officeDocument/2006/relationships/hyperlink" Target="https://issues.sierrawireless.com/browse/OEMPRI-1814" TargetMode="External"/><Relationship Id="rId903" Type="http://schemas.openxmlformats.org/officeDocument/2006/relationships/hyperlink" Target="https://issues.sierrawireless.com/browse/OEMPRI-1811" TargetMode="External"/><Relationship Id="rId902" Type="http://schemas.openxmlformats.org/officeDocument/2006/relationships/hyperlink" Target="https://issues.sierrawireless.com/browse/OEMPRI-1812" TargetMode="External"/><Relationship Id="rId901" Type="http://schemas.openxmlformats.org/officeDocument/2006/relationships/hyperlink" Target="https://issues.sierrawireless.com/browse/OEMPRI-1813" TargetMode="External"/><Relationship Id="rId900" Type="http://schemas.openxmlformats.org/officeDocument/2006/relationships/hyperlink" Target="https://issues.sierrawireless.com/browse/OEMPRI-1640" TargetMode="External"/><Relationship Id="rId929" Type="http://schemas.openxmlformats.org/officeDocument/2006/relationships/hyperlink" Target="https://issues.sierrawireless.com/browse/OEMPRI-1598" TargetMode="External"/><Relationship Id="rId928" Type="http://schemas.openxmlformats.org/officeDocument/2006/relationships/hyperlink" Target="https://issues.sierrawireless.com/browse/OEMPRI-1688" TargetMode="External"/><Relationship Id="rId927" Type="http://schemas.openxmlformats.org/officeDocument/2006/relationships/hyperlink" Target="https://issues.sierrawireless.com/browse/OEMPRI-1758" TargetMode="External"/><Relationship Id="rId926" Type="http://schemas.openxmlformats.org/officeDocument/2006/relationships/hyperlink" Target="https://issues.sierrawireless.com/browse/OEMPRI-1759" TargetMode="External"/><Relationship Id="rId921" Type="http://schemas.openxmlformats.org/officeDocument/2006/relationships/hyperlink" Target="https://issues.sierrawireless.com/browse/OEMPRI-1815" TargetMode="External"/><Relationship Id="rId920" Type="http://schemas.openxmlformats.org/officeDocument/2006/relationships/hyperlink" Target="https://issues.sierrawireless.com/browse/OEMPRI-1757" TargetMode="External"/><Relationship Id="rId925" Type="http://schemas.openxmlformats.org/officeDocument/2006/relationships/hyperlink" Target="https://issues.sierrawireless.com/browse/OEMPRI-1760" TargetMode="External"/><Relationship Id="rId924" Type="http://schemas.openxmlformats.org/officeDocument/2006/relationships/hyperlink" Target="https://issues.sierrawireless.com/browse/OEMPRI-1761" TargetMode="External"/><Relationship Id="rId923" Type="http://schemas.openxmlformats.org/officeDocument/2006/relationships/hyperlink" Target="https://issues.sierrawireless.com/browse/OEMPRI-1762" TargetMode="External"/><Relationship Id="rId922" Type="http://schemas.openxmlformats.org/officeDocument/2006/relationships/hyperlink" Target="https://issues.sierrawireless.com/browse/OEMPRI-1763" TargetMode="External"/><Relationship Id="rId918" Type="http://schemas.openxmlformats.org/officeDocument/2006/relationships/hyperlink" Target="https://issues.sierrawireless.com/browse/OEMPRI-1617" TargetMode="External"/><Relationship Id="rId917" Type="http://schemas.openxmlformats.org/officeDocument/2006/relationships/hyperlink" Target="https://issues.sierrawireless.com/browse/OEMPRI-1754" TargetMode="External"/><Relationship Id="rId916" Type="http://schemas.openxmlformats.org/officeDocument/2006/relationships/hyperlink" Target="https://issues.sierrawireless.com/browse/OEMPRI-1755" TargetMode="External"/><Relationship Id="rId915" Type="http://schemas.openxmlformats.org/officeDocument/2006/relationships/hyperlink" Target="https://issues.sierrawireless.com/browse/OEMPRI-1616" TargetMode="External"/><Relationship Id="rId919" Type="http://schemas.openxmlformats.org/officeDocument/2006/relationships/hyperlink" Target="https://issues.sierrawireless.com/browse/OEMPRI-1756" TargetMode="External"/><Relationship Id="rId910" Type="http://schemas.openxmlformats.org/officeDocument/2006/relationships/hyperlink" Target="https://issues.sierrawireless.com/browse/OEMPRI-1642" TargetMode="External"/><Relationship Id="rId914" Type="http://schemas.openxmlformats.org/officeDocument/2006/relationships/hyperlink" Target="https://issues.sierrawireless.com/browse/OEMPRI-1686" TargetMode="External"/><Relationship Id="rId913" Type="http://schemas.openxmlformats.org/officeDocument/2006/relationships/hyperlink" Target="https://issues.sierrawireless.com/browse/OEMPRI-1709" TargetMode="External"/><Relationship Id="rId912" Type="http://schemas.openxmlformats.org/officeDocument/2006/relationships/hyperlink" Target="https://issues.sierrawireless.com/browse/OEMPRI-1710" TargetMode="External"/><Relationship Id="rId911" Type="http://schemas.openxmlformats.org/officeDocument/2006/relationships/hyperlink" Target="https://issues.sierrawireless.com/browse/OEMPRI-1641" TargetMode="External"/><Relationship Id="rId629" Type="http://schemas.openxmlformats.org/officeDocument/2006/relationships/hyperlink" Target="https://issues.sierrawireless.com/browse/OEMPRI-3025" TargetMode="External"/><Relationship Id="rId624" Type="http://schemas.openxmlformats.org/officeDocument/2006/relationships/hyperlink" Target="https://issues.sierrawireless.com/browse/OEMPRI-3051" TargetMode="External"/><Relationship Id="rId866" Type="http://schemas.openxmlformats.org/officeDocument/2006/relationships/hyperlink" Target="https://issues.sierrawireless.com/browse/OEMPRI-1670" TargetMode="External"/><Relationship Id="rId623" Type="http://schemas.openxmlformats.org/officeDocument/2006/relationships/hyperlink" Target="https://issues.sierrawireless.com/browse/OEMPRI-3022" TargetMode="External"/><Relationship Id="rId865" Type="http://schemas.openxmlformats.org/officeDocument/2006/relationships/hyperlink" Target="https://issues.sierrawireless.com/browse/OEMPRI-1671" TargetMode="External"/><Relationship Id="rId622" Type="http://schemas.openxmlformats.org/officeDocument/2006/relationships/hyperlink" Target="https://issues.sierrawireless.com/browse/OEMPRI-3023" TargetMode="External"/><Relationship Id="rId864" Type="http://schemas.openxmlformats.org/officeDocument/2006/relationships/hyperlink" Target="https://issues.sierrawireless.com/browse/OEMPRI-1674" TargetMode="External"/><Relationship Id="rId621" Type="http://schemas.openxmlformats.org/officeDocument/2006/relationships/hyperlink" Target="https://issues.sierrawireless.com/browse/OEMPRI-3026" TargetMode="External"/><Relationship Id="rId863" Type="http://schemas.openxmlformats.org/officeDocument/2006/relationships/hyperlink" Target="https://issues.sierrawireless.com/browse/OEMPRI-1607" TargetMode="External"/><Relationship Id="rId628" Type="http://schemas.openxmlformats.org/officeDocument/2006/relationships/hyperlink" Target="https://issues.sierrawireless.com/browse/OEMPRI-3029" TargetMode="External"/><Relationship Id="rId627" Type="http://schemas.openxmlformats.org/officeDocument/2006/relationships/hyperlink" Target="https://issues.sierrawireless.com/browse/OEMPRI-3033" TargetMode="External"/><Relationship Id="rId869" Type="http://schemas.openxmlformats.org/officeDocument/2006/relationships/hyperlink" Target="https://issues.sierrawireless.com/browse/OEMPRI-1783" TargetMode="External"/><Relationship Id="rId626" Type="http://schemas.openxmlformats.org/officeDocument/2006/relationships/hyperlink" Target="https://issues.sierrawireless.com/browse/OEMPRI-3045" TargetMode="External"/><Relationship Id="rId868" Type="http://schemas.openxmlformats.org/officeDocument/2006/relationships/hyperlink" Target="https://issues.sierrawireless.com/browse/OEMPRI-1579" TargetMode="External"/><Relationship Id="rId625" Type="http://schemas.openxmlformats.org/officeDocument/2006/relationships/hyperlink" Target="https://issues.sierrawireless.com/browse/OEMPRI-3048" TargetMode="External"/><Relationship Id="rId867" Type="http://schemas.openxmlformats.org/officeDocument/2006/relationships/hyperlink" Target="https://issues.sierrawireless.com/browse/OEMPRI-1700" TargetMode="External"/><Relationship Id="rId620" Type="http://schemas.openxmlformats.org/officeDocument/2006/relationships/hyperlink" Target="https://issues.sierrawireless.com/browse/OEMPRI-3027" TargetMode="External"/><Relationship Id="rId862" Type="http://schemas.openxmlformats.org/officeDocument/2006/relationships/hyperlink" Target="https://issues.sierrawireless.com/browse/OEMPRI-1667" TargetMode="External"/><Relationship Id="rId861" Type="http://schemas.openxmlformats.org/officeDocument/2006/relationships/hyperlink" Target="https://issues.sierrawireless.com/browse/OEMPRI-1719" TargetMode="External"/><Relationship Id="rId1210" Type="http://schemas.openxmlformats.org/officeDocument/2006/relationships/drawing" Target="../drawings/drawing3.xml"/><Relationship Id="rId860" Type="http://schemas.openxmlformats.org/officeDocument/2006/relationships/hyperlink" Target="https://issues.sierrawireless.com/browse/OEMPRI-1608" TargetMode="External"/><Relationship Id="rId1202" Type="http://schemas.openxmlformats.org/officeDocument/2006/relationships/hyperlink" Target="https://issues.sierrawireless.com/browse/OEMPRI-5305" TargetMode="External"/><Relationship Id="rId1203" Type="http://schemas.openxmlformats.org/officeDocument/2006/relationships/hyperlink" Target="https://issues.sierrawireless.com/browse/OEMPRI-5301" TargetMode="External"/><Relationship Id="rId1204" Type="http://schemas.openxmlformats.org/officeDocument/2006/relationships/hyperlink" Target="https://issues.sierrawireless.com/browse/OEMPRI-5228" TargetMode="External"/><Relationship Id="rId1205" Type="http://schemas.openxmlformats.org/officeDocument/2006/relationships/hyperlink" Target="https://issues.sierrawireless.com/browse/OEMPRI-5168" TargetMode="External"/><Relationship Id="rId1206" Type="http://schemas.openxmlformats.org/officeDocument/2006/relationships/hyperlink" Target="https://issues.sierrawireless.com/browse/OEMPRI-5167" TargetMode="External"/><Relationship Id="rId1207" Type="http://schemas.openxmlformats.org/officeDocument/2006/relationships/hyperlink" Target="https://issues.sierrawireless.com/browse/OEMPRI-3300" TargetMode="External"/><Relationship Id="rId1208" Type="http://schemas.openxmlformats.org/officeDocument/2006/relationships/hyperlink" Target="https://issues.sierrawireless.com/browse/OEMPRI-1336" TargetMode="External"/><Relationship Id="rId1209" Type="http://schemas.openxmlformats.org/officeDocument/2006/relationships/hyperlink" Target="https://issues.sierrawireless.com/browse/OEMPRI-781" TargetMode="External"/><Relationship Id="rId619" Type="http://schemas.openxmlformats.org/officeDocument/2006/relationships/hyperlink" Target="https://issues.sierrawireless.com/browse/OEMPRI-3030" TargetMode="External"/><Relationship Id="rId618" Type="http://schemas.openxmlformats.org/officeDocument/2006/relationships/hyperlink" Target="https://issues.sierrawireless.com/browse/OEMPRI-3034" TargetMode="External"/><Relationship Id="rId613" Type="http://schemas.openxmlformats.org/officeDocument/2006/relationships/hyperlink" Target="https://issues.sierrawireless.com/browse/OEMPRI-3050" TargetMode="External"/><Relationship Id="rId855" Type="http://schemas.openxmlformats.org/officeDocument/2006/relationships/hyperlink" Target="https://issues.sierrawireless.com/browse/OEMPRI-1748" TargetMode="External"/><Relationship Id="rId612" Type="http://schemas.openxmlformats.org/officeDocument/2006/relationships/hyperlink" Target="https://issues.sierrawireless.com/browse/OEMPRI-3052" TargetMode="External"/><Relationship Id="rId854" Type="http://schemas.openxmlformats.org/officeDocument/2006/relationships/hyperlink" Target="https://issues.sierrawireless.com/browse/OEMPRI-1606" TargetMode="External"/><Relationship Id="rId611" Type="http://schemas.openxmlformats.org/officeDocument/2006/relationships/hyperlink" Target="https://issues.sierrawireless.com/browse/OEMPRI-3053" TargetMode="External"/><Relationship Id="rId853" Type="http://schemas.openxmlformats.org/officeDocument/2006/relationships/hyperlink" Target="https://issues.sierrawireless.com/browse/OEMPRI-310" TargetMode="External"/><Relationship Id="rId610" Type="http://schemas.openxmlformats.org/officeDocument/2006/relationships/hyperlink" Target="https://issues.sierrawireless.com/browse/OEMPRI-3064" TargetMode="External"/><Relationship Id="rId852" Type="http://schemas.openxmlformats.org/officeDocument/2006/relationships/hyperlink" Target="https://issues.sierrawireless.com/browse/OEMPRI-611" TargetMode="External"/><Relationship Id="rId617" Type="http://schemas.openxmlformats.org/officeDocument/2006/relationships/hyperlink" Target="https://issues.sierrawireless.com/browse/OEMPRI-3044" TargetMode="External"/><Relationship Id="rId859" Type="http://schemas.openxmlformats.org/officeDocument/2006/relationships/hyperlink" Target="https://issues.sierrawireless.com/browse/OEMPRI-1666" TargetMode="External"/><Relationship Id="rId616" Type="http://schemas.openxmlformats.org/officeDocument/2006/relationships/hyperlink" Target="https://issues.sierrawireless.com/browse/OEMPRI-3046" TargetMode="External"/><Relationship Id="rId858" Type="http://schemas.openxmlformats.org/officeDocument/2006/relationships/hyperlink" Target="https://issues.sierrawireless.com/browse/OEMPRI-1749" TargetMode="External"/><Relationship Id="rId615" Type="http://schemas.openxmlformats.org/officeDocument/2006/relationships/hyperlink" Target="https://issues.sierrawireless.com/browse/OEMPRI-3047" TargetMode="External"/><Relationship Id="rId857" Type="http://schemas.openxmlformats.org/officeDocument/2006/relationships/hyperlink" Target="https://issues.sierrawireless.com/browse/OEMPRI-1746" TargetMode="External"/><Relationship Id="rId614" Type="http://schemas.openxmlformats.org/officeDocument/2006/relationships/hyperlink" Target="https://issues.sierrawireless.com/browse/OEMPRI-3049" TargetMode="External"/><Relationship Id="rId856" Type="http://schemas.openxmlformats.org/officeDocument/2006/relationships/hyperlink" Target="https://issues.sierrawireless.com/browse/OEMPRI-1747" TargetMode="External"/><Relationship Id="rId851" Type="http://schemas.openxmlformats.org/officeDocument/2006/relationships/hyperlink" Target="https://issues.sierrawireless.com/browse/OEMPRI-651" TargetMode="External"/><Relationship Id="rId850" Type="http://schemas.openxmlformats.org/officeDocument/2006/relationships/hyperlink" Target="https://issues.sierrawireless.com/browse/OEMPRI-703" TargetMode="External"/><Relationship Id="rId1200" Type="http://schemas.openxmlformats.org/officeDocument/2006/relationships/hyperlink" Target="https://issues.sierrawireless.com/browse/OEMPRI-4032" TargetMode="External"/><Relationship Id="rId1201" Type="http://schemas.openxmlformats.org/officeDocument/2006/relationships/hyperlink" Target="https://issues.sierrawireless.com/browse/OEMPRI-1335" TargetMode="External"/><Relationship Id="rId409" Type="http://schemas.openxmlformats.org/officeDocument/2006/relationships/hyperlink" Target="https://issues.sierrawireless.com/browse/OEMPRI-3994" TargetMode="External"/><Relationship Id="rId404" Type="http://schemas.openxmlformats.org/officeDocument/2006/relationships/hyperlink" Target="https://issues.sierrawireless.com/browse/OEMPRI-4000" TargetMode="External"/><Relationship Id="rId646" Type="http://schemas.openxmlformats.org/officeDocument/2006/relationships/hyperlink" Target="https://issues.sierrawireless.com/browse/OEMPRI-2989" TargetMode="External"/><Relationship Id="rId888" Type="http://schemas.openxmlformats.org/officeDocument/2006/relationships/hyperlink" Target="https://issues.sierrawireless.com/browse/OEMPRI-1682" TargetMode="External"/><Relationship Id="rId403" Type="http://schemas.openxmlformats.org/officeDocument/2006/relationships/hyperlink" Target="https://issues.sierrawireless.com/browse/OEMPRI-4001" TargetMode="External"/><Relationship Id="rId645" Type="http://schemas.openxmlformats.org/officeDocument/2006/relationships/hyperlink" Target="https://issues.sierrawireless.com/browse/OEMPRI-2990" TargetMode="External"/><Relationship Id="rId887" Type="http://schemas.openxmlformats.org/officeDocument/2006/relationships/hyperlink" Target="https://issues.sierrawireless.com/browse/OEMPRI-1609" TargetMode="External"/><Relationship Id="rId402" Type="http://schemas.openxmlformats.org/officeDocument/2006/relationships/hyperlink" Target="https://issues.sierrawireless.com/browse/OEMPRI-4002" TargetMode="External"/><Relationship Id="rId644" Type="http://schemas.openxmlformats.org/officeDocument/2006/relationships/hyperlink" Target="https://issues.sierrawireless.com/browse/OEMPRI-2997" TargetMode="External"/><Relationship Id="rId886" Type="http://schemas.openxmlformats.org/officeDocument/2006/relationships/hyperlink" Target="https://issues.sierrawireless.com/browse/OEMPRI-1680" TargetMode="External"/><Relationship Id="rId401" Type="http://schemas.openxmlformats.org/officeDocument/2006/relationships/hyperlink" Target="https://issues.sierrawireless.com/browse/OEMPRI-4003" TargetMode="External"/><Relationship Id="rId643" Type="http://schemas.openxmlformats.org/officeDocument/2006/relationships/hyperlink" Target="https://issues.sierrawireless.com/browse/OEMPRI-2998" TargetMode="External"/><Relationship Id="rId885" Type="http://schemas.openxmlformats.org/officeDocument/2006/relationships/hyperlink" Target="https://issues.sierrawireless.com/browse/OEMPRI-1786" TargetMode="External"/><Relationship Id="rId408" Type="http://schemas.openxmlformats.org/officeDocument/2006/relationships/hyperlink" Target="https://issues.sierrawireless.com/browse/OEMPRI-3995" TargetMode="External"/><Relationship Id="rId407" Type="http://schemas.openxmlformats.org/officeDocument/2006/relationships/hyperlink" Target="https://issues.sierrawireless.com/browse/OEMPRI-3997" TargetMode="External"/><Relationship Id="rId649" Type="http://schemas.openxmlformats.org/officeDocument/2006/relationships/hyperlink" Target="https://issues.sierrawireless.com/browse/OEMPRI-2982" TargetMode="External"/><Relationship Id="rId406" Type="http://schemas.openxmlformats.org/officeDocument/2006/relationships/hyperlink" Target="https://issues.sierrawireless.com/browse/OEMPRI-3998" TargetMode="External"/><Relationship Id="rId648" Type="http://schemas.openxmlformats.org/officeDocument/2006/relationships/hyperlink" Target="https://issues.sierrawireless.com/browse/OEMPRI-2986" TargetMode="External"/><Relationship Id="rId405" Type="http://schemas.openxmlformats.org/officeDocument/2006/relationships/hyperlink" Target="https://issues.sierrawireless.com/browse/OEMPRI-3999" TargetMode="External"/><Relationship Id="rId647" Type="http://schemas.openxmlformats.org/officeDocument/2006/relationships/hyperlink" Target="https://issues.sierrawireless.com/browse/OEMPRI-2987" TargetMode="External"/><Relationship Id="rId889" Type="http://schemas.openxmlformats.org/officeDocument/2006/relationships/hyperlink" Target="https://issues.sierrawireless.com/browse/OEMPRI-1790" TargetMode="External"/><Relationship Id="rId880" Type="http://schemas.openxmlformats.org/officeDocument/2006/relationships/hyperlink" Target="https://issues.sierrawireless.com/browse/OEMPRI-1704" TargetMode="External"/><Relationship Id="rId400" Type="http://schemas.openxmlformats.org/officeDocument/2006/relationships/hyperlink" Target="https://issues.sierrawireless.com/browse/OEMPRI-4004" TargetMode="External"/><Relationship Id="rId642" Type="http://schemas.openxmlformats.org/officeDocument/2006/relationships/hyperlink" Target="https://issues.sierrawireless.com/browse/OEMPRI-2999" TargetMode="External"/><Relationship Id="rId884" Type="http://schemas.openxmlformats.org/officeDocument/2006/relationships/hyperlink" Target="https://issues.sierrawireless.com/browse/OEMPRI-1787" TargetMode="External"/><Relationship Id="rId641" Type="http://schemas.openxmlformats.org/officeDocument/2006/relationships/hyperlink" Target="https://issues.sierrawireless.com/browse/OEMPRI-3000" TargetMode="External"/><Relationship Id="rId883" Type="http://schemas.openxmlformats.org/officeDocument/2006/relationships/hyperlink" Target="https://issues.sierrawireless.com/browse/OEMPRI-1788" TargetMode="External"/><Relationship Id="rId640" Type="http://schemas.openxmlformats.org/officeDocument/2006/relationships/hyperlink" Target="https://issues.sierrawireless.com/browse/OEMPRI-3001" TargetMode="External"/><Relationship Id="rId882" Type="http://schemas.openxmlformats.org/officeDocument/2006/relationships/hyperlink" Target="https://issues.sierrawireless.com/browse/OEMPRI-1702" TargetMode="External"/><Relationship Id="rId881" Type="http://schemas.openxmlformats.org/officeDocument/2006/relationships/hyperlink" Target="https://issues.sierrawireless.com/browse/OEMPRI-1703" TargetMode="External"/><Relationship Id="rId635" Type="http://schemas.openxmlformats.org/officeDocument/2006/relationships/hyperlink" Target="https://issues.sierrawireless.com/browse/OEMPRI-3010" TargetMode="External"/><Relationship Id="rId877" Type="http://schemas.openxmlformats.org/officeDocument/2006/relationships/hyperlink" Target="https://issues.sierrawireless.com/browse/OEMPRI-1590" TargetMode="External"/><Relationship Id="rId634" Type="http://schemas.openxmlformats.org/officeDocument/2006/relationships/hyperlink" Target="https://issues.sierrawireless.com/browse/OEMPRI-3011" TargetMode="External"/><Relationship Id="rId876" Type="http://schemas.openxmlformats.org/officeDocument/2006/relationships/hyperlink" Target="https://issues.sierrawireless.com/browse/OEMPRI-1591" TargetMode="External"/><Relationship Id="rId633" Type="http://schemas.openxmlformats.org/officeDocument/2006/relationships/hyperlink" Target="https://issues.sierrawireless.com/browse/OEMPRI-3013" TargetMode="External"/><Relationship Id="rId875" Type="http://schemas.openxmlformats.org/officeDocument/2006/relationships/hyperlink" Target="https://issues.sierrawireless.com/browse/OEMPRI-1592" TargetMode="External"/><Relationship Id="rId632" Type="http://schemas.openxmlformats.org/officeDocument/2006/relationships/hyperlink" Target="https://issues.sierrawireless.com/browse/OEMPRI-3014" TargetMode="External"/><Relationship Id="rId874" Type="http://schemas.openxmlformats.org/officeDocument/2006/relationships/hyperlink" Target="https://issues.sierrawireless.com/browse/OEMPRI-1639" TargetMode="External"/><Relationship Id="rId639" Type="http://schemas.openxmlformats.org/officeDocument/2006/relationships/hyperlink" Target="https://issues.sierrawireless.com/browse/OEMPRI-3004" TargetMode="External"/><Relationship Id="rId638" Type="http://schemas.openxmlformats.org/officeDocument/2006/relationships/hyperlink" Target="https://issues.sierrawireless.com/browse/OEMPRI-3005" TargetMode="External"/><Relationship Id="rId637" Type="http://schemas.openxmlformats.org/officeDocument/2006/relationships/hyperlink" Target="https://issues.sierrawireless.com/browse/OEMPRI-3007" TargetMode="External"/><Relationship Id="rId879" Type="http://schemas.openxmlformats.org/officeDocument/2006/relationships/hyperlink" Target="https://issues.sierrawireless.com/browse/OEMPRI-1806" TargetMode="External"/><Relationship Id="rId636" Type="http://schemas.openxmlformats.org/officeDocument/2006/relationships/hyperlink" Target="https://issues.sierrawireless.com/browse/OEMPRI-3008" TargetMode="External"/><Relationship Id="rId878" Type="http://schemas.openxmlformats.org/officeDocument/2006/relationships/hyperlink" Target="https://issues.sierrawireless.com/browse/OEMPRI-1807" TargetMode="External"/><Relationship Id="rId631" Type="http://schemas.openxmlformats.org/officeDocument/2006/relationships/hyperlink" Target="https://issues.sierrawireless.com/browse/OEMPRI-3018" TargetMode="External"/><Relationship Id="rId873" Type="http://schemas.openxmlformats.org/officeDocument/2006/relationships/hyperlink" Target="https://issues.sierrawireless.com/browse/OEMPRI-1728" TargetMode="External"/><Relationship Id="rId630" Type="http://schemas.openxmlformats.org/officeDocument/2006/relationships/hyperlink" Target="https://issues.sierrawireless.com/browse/OEMPRI-3024" TargetMode="External"/><Relationship Id="rId872" Type="http://schemas.openxmlformats.org/officeDocument/2006/relationships/hyperlink" Target="https://issues.sierrawireless.com/browse/OEMPRI-1729" TargetMode="External"/><Relationship Id="rId871" Type="http://schemas.openxmlformats.org/officeDocument/2006/relationships/hyperlink" Target="https://issues.sierrawireless.com/browse/OEMPRI-1781" TargetMode="External"/><Relationship Id="rId870" Type="http://schemas.openxmlformats.org/officeDocument/2006/relationships/hyperlink" Target="https://issues.sierrawireless.com/browse/OEMPRI-1782" TargetMode="External"/><Relationship Id="rId829" Type="http://schemas.openxmlformats.org/officeDocument/2006/relationships/hyperlink" Target="https://issues.sierrawireless.com/browse/OEMPRI-1372" TargetMode="External"/><Relationship Id="rId828" Type="http://schemas.openxmlformats.org/officeDocument/2006/relationships/hyperlink" Target="https://issues.sierrawireless.com/browse/OEMPRI-1374" TargetMode="External"/><Relationship Id="rId827" Type="http://schemas.openxmlformats.org/officeDocument/2006/relationships/hyperlink" Target="https://issues.sierrawireless.com/browse/OEMPRI-1376" TargetMode="External"/><Relationship Id="rId822" Type="http://schemas.openxmlformats.org/officeDocument/2006/relationships/hyperlink" Target="https://issues.sierrawireless.com/browse/OEMPRI-1412" TargetMode="External"/><Relationship Id="rId821" Type="http://schemas.openxmlformats.org/officeDocument/2006/relationships/hyperlink" Target="https://issues.sierrawireless.com/browse/OEMPRI-1414" TargetMode="External"/><Relationship Id="rId820" Type="http://schemas.openxmlformats.org/officeDocument/2006/relationships/hyperlink" Target="https://issues.sierrawireless.com/browse/OEMPRI-1416" TargetMode="External"/><Relationship Id="rId826" Type="http://schemas.openxmlformats.org/officeDocument/2006/relationships/hyperlink" Target="https://issues.sierrawireless.com/browse/OEMPRI-1377" TargetMode="External"/><Relationship Id="rId825" Type="http://schemas.openxmlformats.org/officeDocument/2006/relationships/hyperlink" Target="https://issues.sierrawireless.com/browse/OEMPRI-1409" TargetMode="External"/><Relationship Id="rId824" Type="http://schemas.openxmlformats.org/officeDocument/2006/relationships/hyperlink" Target="https://issues.sierrawireless.com/browse/OEMPRI-1410" TargetMode="External"/><Relationship Id="rId823" Type="http://schemas.openxmlformats.org/officeDocument/2006/relationships/hyperlink" Target="https://issues.sierrawireless.com/browse/OEMPRI-1419" TargetMode="External"/><Relationship Id="rId819" Type="http://schemas.openxmlformats.org/officeDocument/2006/relationships/hyperlink" Target="https://issues.sierrawireless.com/browse/OEMPRI-1418" TargetMode="External"/><Relationship Id="rId818" Type="http://schemas.openxmlformats.org/officeDocument/2006/relationships/hyperlink" Target="https://issues.sierrawireless.com/browse/OEMPRI-1420" TargetMode="External"/><Relationship Id="rId817" Type="http://schemas.openxmlformats.org/officeDocument/2006/relationships/hyperlink" Target="https://issues.sierrawireless.com/browse/OEMPRI-1421" TargetMode="External"/><Relationship Id="rId816" Type="http://schemas.openxmlformats.org/officeDocument/2006/relationships/hyperlink" Target="https://issues.sierrawireless.com/browse/OEMPRI-1423" TargetMode="External"/><Relationship Id="rId811" Type="http://schemas.openxmlformats.org/officeDocument/2006/relationships/hyperlink" Target="https://issues.sierrawireless.com/browse/OEMPRI-1441" TargetMode="External"/><Relationship Id="rId810" Type="http://schemas.openxmlformats.org/officeDocument/2006/relationships/hyperlink" Target="https://issues.sierrawireless.com/browse/OEMPRI-1494" TargetMode="External"/><Relationship Id="rId815" Type="http://schemas.openxmlformats.org/officeDocument/2006/relationships/hyperlink" Target="https://issues.sierrawireless.com/browse/OEMPRI-1424" TargetMode="External"/><Relationship Id="rId814" Type="http://schemas.openxmlformats.org/officeDocument/2006/relationships/hyperlink" Target="https://issues.sierrawireless.com/browse/OEMPRI-1433" TargetMode="External"/><Relationship Id="rId813" Type="http://schemas.openxmlformats.org/officeDocument/2006/relationships/hyperlink" Target="https://issues.sierrawireless.com/browse/OEMPRI-1429" TargetMode="External"/><Relationship Id="rId812" Type="http://schemas.openxmlformats.org/officeDocument/2006/relationships/hyperlink" Target="https://issues.sierrawireless.com/browse/OEMPRI-1440" TargetMode="External"/><Relationship Id="rId609" Type="http://schemas.openxmlformats.org/officeDocument/2006/relationships/hyperlink" Target="https://issues.sierrawireless.com/browse/OEMPRI-3068" TargetMode="External"/><Relationship Id="rId608" Type="http://schemas.openxmlformats.org/officeDocument/2006/relationships/hyperlink" Target="https://issues.sierrawireless.com/browse/OEMPRI-3062" TargetMode="External"/><Relationship Id="rId607" Type="http://schemas.openxmlformats.org/officeDocument/2006/relationships/hyperlink" Target="https://issues.sierrawireless.com/browse/OEMPRI-3063" TargetMode="External"/><Relationship Id="rId849" Type="http://schemas.openxmlformats.org/officeDocument/2006/relationships/hyperlink" Target="https://issues.sierrawireless.com/browse/OEMPRI-704" TargetMode="External"/><Relationship Id="rId602" Type="http://schemas.openxmlformats.org/officeDocument/2006/relationships/hyperlink" Target="https://issues.sierrawireless.com/browse/OEMPRI-3113" TargetMode="External"/><Relationship Id="rId844" Type="http://schemas.openxmlformats.org/officeDocument/2006/relationships/hyperlink" Target="https://issues.sierrawireless.com/browse/OEMPRI-1235" TargetMode="External"/><Relationship Id="rId601" Type="http://schemas.openxmlformats.org/officeDocument/2006/relationships/hyperlink" Target="https://issues.sierrawireless.com/browse/OEMPRI-3116" TargetMode="External"/><Relationship Id="rId843" Type="http://schemas.openxmlformats.org/officeDocument/2006/relationships/hyperlink" Target="https://issues.sierrawireless.com/browse/OEMPRI-1238" TargetMode="External"/><Relationship Id="rId600" Type="http://schemas.openxmlformats.org/officeDocument/2006/relationships/hyperlink" Target="https://issues.sierrawireless.com/browse/OEMPRI-3118" TargetMode="External"/><Relationship Id="rId842" Type="http://schemas.openxmlformats.org/officeDocument/2006/relationships/hyperlink" Target="https://issues.sierrawireless.com/browse/OEMPRI-1239" TargetMode="External"/><Relationship Id="rId841" Type="http://schemas.openxmlformats.org/officeDocument/2006/relationships/hyperlink" Target="https://issues.sierrawireless.com/browse/OEMPRI-1237" TargetMode="External"/><Relationship Id="rId606" Type="http://schemas.openxmlformats.org/officeDocument/2006/relationships/hyperlink" Target="https://issues.sierrawireless.com/browse/OEMPRI-3065" TargetMode="External"/><Relationship Id="rId848" Type="http://schemas.openxmlformats.org/officeDocument/2006/relationships/hyperlink" Target="https://issues.sierrawireless.com/browse/OEMPRI-706" TargetMode="External"/><Relationship Id="rId605" Type="http://schemas.openxmlformats.org/officeDocument/2006/relationships/hyperlink" Target="https://issues.sierrawireless.com/browse/OEMPRI-3069" TargetMode="External"/><Relationship Id="rId847" Type="http://schemas.openxmlformats.org/officeDocument/2006/relationships/hyperlink" Target="https://issues.sierrawireless.com/browse/OEMPRI-707" TargetMode="External"/><Relationship Id="rId604" Type="http://schemas.openxmlformats.org/officeDocument/2006/relationships/hyperlink" Target="https://issues.sierrawireless.com/browse/OEMPRI-3114" TargetMode="External"/><Relationship Id="rId846" Type="http://schemas.openxmlformats.org/officeDocument/2006/relationships/hyperlink" Target="https://issues.sierrawireless.com/browse/OEMPRI-1035" TargetMode="External"/><Relationship Id="rId603" Type="http://schemas.openxmlformats.org/officeDocument/2006/relationships/hyperlink" Target="https://issues.sierrawireless.com/browse/OEMPRI-3112" TargetMode="External"/><Relationship Id="rId845" Type="http://schemas.openxmlformats.org/officeDocument/2006/relationships/hyperlink" Target="https://issues.sierrawireless.com/browse/OEMPRI-1204" TargetMode="External"/><Relationship Id="rId840" Type="http://schemas.openxmlformats.org/officeDocument/2006/relationships/hyperlink" Target="https://issues.sierrawireless.com/browse/OEMPRI-1243" TargetMode="External"/><Relationship Id="rId839" Type="http://schemas.openxmlformats.org/officeDocument/2006/relationships/hyperlink" Target="https://issues.sierrawireless.com/browse/OEMPRI-1247" TargetMode="External"/><Relationship Id="rId838" Type="http://schemas.openxmlformats.org/officeDocument/2006/relationships/hyperlink" Target="https://issues.sierrawireless.com/browse/OEMPRI-1273" TargetMode="External"/><Relationship Id="rId833" Type="http://schemas.openxmlformats.org/officeDocument/2006/relationships/hyperlink" Target="https://issues.sierrawireless.com/browse/OEMPRI-1342" TargetMode="External"/><Relationship Id="rId832" Type="http://schemas.openxmlformats.org/officeDocument/2006/relationships/hyperlink" Target="https://issues.sierrawireless.com/browse/OEMPRI-1351" TargetMode="External"/><Relationship Id="rId831" Type="http://schemas.openxmlformats.org/officeDocument/2006/relationships/hyperlink" Target="https://issues.sierrawireless.com/browse/OEMPRI-1353" TargetMode="External"/><Relationship Id="rId830" Type="http://schemas.openxmlformats.org/officeDocument/2006/relationships/hyperlink" Target="https://issues.sierrawireless.com/browse/OEMPRI-1355" TargetMode="External"/><Relationship Id="rId837" Type="http://schemas.openxmlformats.org/officeDocument/2006/relationships/hyperlink" Target="https://issues.sierrawireless.com/browse/OEMPRI-1307" TargetMode="External"/><Relationship Id="rId836" Type="http://schemas.openxmlformats.org/officeDocument/2006/relationships/hyperlink" Target="https://issues.sierrawireless.com/browse/OEMPRI-1324" TargetMode="External"/><Relationship Id="rId835" Type="http://schemas.openxmlformats.org/officeDocument/2006/relationships/hyperlink" Target="https://issues.sierrawireless.com/browse/OEMPRI-1332" TargetMode="External"/><Relationship Id="rId834" Type="http://schemas.openxmlformats.org/officeDocument/2006/relationships/hyperlink" Target="https://issues.sierrawireless.com/browse/OEMPRI-1334" TargetMode="External"/><Relationship Id="rId1059" Type="http://schemas.openxmlformats.org/officeDocument/2006/relationships/hyperlink" Target="https://issues.sierrawireless.com/browse/OEMPRI-1913" TargetMode="External"/><Relationship Id="rId228" Type="http://schemas.openxmlformats.org/officeDocument/2006/relationships/hyperlink" Target="https://issues.sierrawireless.com/browse/OEMPRI-4573" TargetMode="External"/><Relationship Id="rId227" Type="http://schemas.openxmlformats.org/officeDocument/2006/relationships/hyperlink" Target="https://issues.sierrawireless.com/browse/OEMPRI-4581" TargetMode="External"/><Relationship Id="rId469" Type="http://schemas.openxmlformats.org/officeDocument/2006/relationships/hyperlink" Target="https://issues.sierrawireless.com/browse/OEMPRI-3872" TargetMode="External"/><Relationship Id="rId226" Type="http://schemas.openxmlformats.org/officeDocument/2006/relationships/hyperlink" Target="https://issues.sierrawireless.com/browse/OEMPRI-4583" TargetMode="External"/><Relationship Id="rId468" Type="http://schemas.openxmlformats.org/officeDocument/2006/relationships/hyperlink" Target="https://issues.sierrawireless.com/browse/OEMPRI-3879" TargetMode="External"/><Relationship Id="rId225" Type="http://schemas.openxmlformats.org/officeDocument/2006/relationships/hyperlink" Target="https://issues.sierrawireless.com/browse/OEMPRI-4582" TargetMode="External"/><Relationship Id="rId467" Type="http://schemas.openxmlformats.org/officeDocument/2006/relationships/hyperlink" Target="https://issues.sierrawireless.com/browse/OEMPRI-3881" TargetMode="External"/><Relationship Id="rId229" Type="http://schemas.openxmlformats.org/officeDocument/2006/relationships/hyperlink" Target="https://issues.sierrawireless.com/browse/OEMPRI-4572" TargetMode="External"/><Relationship Id="rId1050" Type="http://schemas.openxmlformats.org/officeDocument/2006/relationships/hyperlink" Target="https://issues.sierrawireless.com/browse/OEMPRI-1853" TargetMode="External"/><Relationship Id="rId220" Type="http://schemas.openxmlformats.org/officeDocument/2006/relationships/hyperlink" Target="https://issues.sierrawireless.com/browse/OEMPRI-4609" TargetMode="External"/><Relationship Id="rId462" Type="http://schemas.openxmlformats.org/officeDocument/2006/relationships/hyperlink" Target="https://issues.sierrawireless.com/browse/OEMPRI-3895" TargetMode="External"/><Relationship Id="rId1051" Type="http://schemas.openxmlformats.org/officeDocument/2006/relationships/hyperlink" Target="https://issues.sierrawireless.com/browse/OEMPRI-2148" TargetMode="External"/><Relationship Id="rId461" Type="http://schemas.openxmlformats.org/officeDocument/2006/relationships/hyperlink" Target="https://issues.sierrawireless.com/browse/OEMPRI-3894" TargetMode="External"/><Relationship Id="rId1052" Type="http://schemas.openxmlformats.org/officeDocument/2006/relationships/hyperlink" Target="https://issues.sierrawireless.com/browse/OEMPRI-2109" TargetMode="External"/><Relationship Id="rId460" Type="http://schemas.openxmlformats.org/officeDocument/2006/relationships/hyperlink" Target="https://issues.sierrawireless.com/browse/OEMPRI-3902" TargetMode="External"/><Relationship Id="rId1053" Type="http://schemas.openxmlformats.org/officeDocument/2006/relationships/hyperlink" Target="https://issues.sierrawireless.com/browse/OEMPRI-2050" TargetMode="External"/><Relationship Id="rId1054" Type="http://schemas.openxmlformats.org/officeDocument/2006/relationships/hyperlink" Target="https://issues.sierrawireless.com/browse/OEMPRI-2112" TargetMode="External"/><Relationship Id="rId224" Type="http://schemas.openxmlformats.org/officeDocument/2006/relationships/hyperlink" Target="https://issues.sierrawireless.com/browse/OEMPRI-4591" TargetMode="External"/><Relationship Id="rId466" Type="http://schemas.openxmlformats.org/officeDocument/2006/relationships/hyperlink" Target="https://issues.sierrawireless.com/browse/OEMPRI-3885" TargetMode="External"/><Relationship Id="rId1055" Type="http://schemas.openxmlformats.org/officeDocument/2006/relationships/hyperlink" Target="https://issues.sierrawireless.com/browse/OEMPRI-2111" TargetMode="External"/><Relationship Id="rId223" Type="http://schemas.openxmlformats.org/officeDocument/2006/relationships/hyperlink" Target="https://issues.sierrawireless.com/browse/OEMPRI-4599" TargetMode="External"/><Relationship Id="rId465" Type="http://schemas.openxmlformats.org/officeDocument/2006/relationships/hyperlink" Target="https://issues.sierrawireless.com/browse/OEMPRI-3875" TargetMode="External"/><Relationship Id="rId1056" Type="http://schemas.openxmlformats.org/officeDocument/2006/relationships/hyperlink" Target="https://issues.sierrawireless.com/browse/OEMPRI-2110" TargetMode="External"/><Relationship Id="rId222" Type="http://schemas.openxmlformats.org/officeDocument/2006/relationships/hyperlink" Target="https://issues.sierrawireless.com/browse/OEMPRI-4602" TargetMode="External"/><Relationship Id="rId464" Type="http://schemas.openxmlformats.org/officeDocument/2006/relationships/hyperlink" Target="https://issues.sierrawireless.com/browse/OEMPRI-3876" TargetMode="External"/><Relationship Id="rId1057" Type="http://schemas.openxmlformats.org/officeDocument/2006/relationships/hyperlink" Target="https://issues.sierrawireless.com/browse/OEMPRI-1945" TargetMode="External"/><Relationship Id="rId221" Type="http://schemas.openxmlformats.org/officeDocument/2006/relationships/hyperlink" Target="https://issues.sierrawireless.com/browse/OEMPRI-4608" TargetMode="External"/><Relationship Id="rId463" Type="http://schemas.openxmlformats.org/officeDocument/2006/relationships/hyperlink" Target="https://issues.sierrawireless.com/browse/OEMPRI-3877" TargetMode="External"/><Relationship Id="rId1058" Type="http://schemas.openxmlformats.org/officeDocument/2006/relationships/hyperlink" Target="https://issues.sierrawireless.com/browse/OEMPRI-1910" TargetMode="External"/><Relationship Id="rId1048" Type="http://schemas.openxmlformats.org/officeDocument/2006/relationships/hyperlink" Target="https://issues.sierrawireless.com/browse/OEMPRI-1855" TargetMode="External"/><Relationship Id="rId1049" Type="http://schemas.openxmlformats.org/officeDocument/2006/relationships/hyperlink" Target="https://issues.sierrawireless.com/browse/OEMPRI-1854" TargetMode="External"/><Relationship Id="rId217" Type="http://schemas.openxmlformats.org/officeDocument/2006/relationships/hyperlink" Target="https://issues.sierrawireless.com/browse/OEMPRI-4615" TargetMode="External"/><Relationship Id="rId459" Type="http://schemas.openxmlformats.org/officeDocument/2006/relationships/hyperlink" Target="https://issues.sierrawireless.com/browse/OEMPRI-3908" TargetMode="External"/><Relationship Id="rId216" Type="http://schemas.openxmlformats.org/officeDocument/2006/relationships/hyperlink" Target="https://issues.sierrawireless.com/browse/OEMPRI-4617" TargetMode="External"/><Relationship Id="rId458" Type="http://schemas.openxmlformats.org/officeDocument/2006/relationships/hyperlink" Target="https://issues.sierrawireless.com/browse/OEMPRI-3909" TargetMode="External"/><Relationship Id="rId215" Type="http://schemas.openxmlformats.org/officeDocument/2006/relationships/hyperlink" Target="https://issues.sierrawireless.com/browse/OEMPRI-4625" TargetMode="External"/><Relationship Id="rId457" Type="http://schemas.openxmlformats.org/officeDocument/2006/relationships/hyperlink" Target="https://issues.sierrawireless.com/browse/OEMPRI-3896" TargetMode="External"/><Relationship Id="rId699" Type="http://schemas.openxmlformats.org/officeDocument/2006/relationships/hyperlink" Target="https://issues.sierrawireless.com/browse/OEMPRI-2769" TargetMode="External"/><Relationship Id="rId214" Type="http://schemas.openxmlformats.org/officeDocument/2006/relationships/hyperlink" Target="https://issues.sierrawireless.com/browse/OEMPRI-4650" TargetMode="External"/><Relationship Id="rId456" Type="http://schemas.openxmlformats.org/officeDocument/2006/relationships/hyperlink" Target="https://issues.sierrawireless.com/browse/OEMPRI-3898" TargetMode="External"/><Relationship Id="rId698" Type="http://schemas.openxmlformats.org/officeDocument/2006/relationships/hyperlink" Target="https://issues.sierrawireless.com/browse/OEMPRI-2761" TargetMode="External"/><Relationship Id="rId219" Type="http://schemas.openxmlformats.org/officeDocument/2006/relationships/hyperlink" Target="https://issues.sierrawireless.com/browse/OEMPRI-4610" TargetMode="External"/><Relationship Id="rId218" Type="http://schemas.openxmlformats.org/officeDocument/2006/relationships/hyperlink" Target="https://issues.sierrawireless.com/browse/OEMPRI-4614" TargetMode="External"/><Relationship Id="rId451" Type="http://schemas.openxmlformats.org/officeDocument/2006/relationships/hyperlink" Target="https://issues.sierrawireless.com/browse/OEMPRI-3905" TargetMode="External"/><Relationship Id="rId693" Type="http://schemas.openxmlformats.org/officeDocument/2006/relationships/hyperlink" Target="https://issues.sierrawireless.com/browse/OEMPRI-2779" TargetMode="External"/><Relationship Id="rId1040" Type="http://schemas.openxmlformats.org/officeDocument/2006/relationships/hyperlink" Target="https://issues.sierrawireless.com/browse/OEMPRI-2138" TargetMode="External"/><Relationship Id="rId450" Type="http://schemas.openxmlformats.org/officeDocument/2006/relationships/hyperlink" Target="https://issues.sierrawireless.com/browse/OEMPRI-3906" TargetMode="External"/><Relationship Id="rId692" Type="http://schemas.openxmlformats.org/officeDocument/2006/relationships/hyperlink" Target="https://issues.sierrawireless.com/browse/OEMPRI-2781" TargetMode="External"/><Relationship Id="rId1041" Type="http://schemas.openxmlformats.org/officeDocument/2006/relationships/hyperlink" Target="https://issues.sierrawireless.com/browse/OEMPRI-2137" TargetMode="External"/><Relationship Id="rId691" Type="http://schemas.openxmlformats.org/officeDocument/2006/relationships/hyperlink" Target="https://issues.sierrawireless.com/browse/OEMPRI-2792" TargetMode="External"/><Relationship Id="rId1042" Type="http://schemas.openxmlformats.org/officeDocument/2006/relationships/hyperlink" Target="https://issues.sierrawireless.com/browse/OEMPRI-2136" TargetMode="External"/><Relationship Id="rId690" Type="http://schemas.openxmlformats.org/officeDocument/2006/relationships/hyperlink" Target="https://issues.sierrawireless.com/browse/OEMPRI-2797" TargetMode="External"/><Relationship Id="rId1043" Type="http://schemas.openxmlformats.org/officeDocument/2006/relationships/hyperlink" Target="https://issues.sierrawireless.com/browse/OEMPRI-2135" TargetMode="External"/><Relationship Id="rId213" Type="http://schemas.openxmlformats.org/officeDocument/2006/relationships/hyperlink" Target="https://issues.sierrawireless.com/browse/OEMPRI-4651" TargetMode="External"/><Relationship Id="rId455" Type="http://schemas.openxmlformats.org/officeDocument/2006/relationships/hyperlink" Target="https://issues.sierrawireless.com/browse/OEMPRI-3899" TargetMode="External"/><Relationship Id="rId697" Type="http://schemas.openxmlformats.org/officeDocument/2006/relationships/hyperlink" Target="https://issues.sierrawireless.com/browse/OEMPRI-2762" TargetMode="External"/><Relationship Id="rId1044" Type="http://schemas.openxmlformats.org/officeDocument/2006/relationships/hyperlink" Target="https://issues.sierrawireless.com/browse/OEMPRI-2048" TargetMode="External"/><Relationship Id="rId212" Type="http://schemas.openxmlformats.org/officeDocument/2006/relationships/hyperlink" Target="https://issues.sierrawireless.com/browse/OEMPRI-4649" TargetMode="External"/><Relationship Id="rId454" Type="http://schemas.openxmlformats.org/officeDocument/2006/relationships/hyperlink" Target="https://issues.sierrawireless.com/browse/OEMPRI-3900" TargetMode="External"/><Relationship Id="rId696" Type="http://schemas.openxmlformats.org/officeDocument/2006/relationships/hyperlink" Target="https://issues.sierrawireless.com/browse/OEMPRI-2765" TargetMode="External"/><Relationship Id="rId1045" Type="http://schemas.openxmlformats.org/officeDocument/2006/relationships/hyperlink" Target="https://issues.sierrawireless.com/browse/OEMPRI-1979" TargetMode="External"/><Relationship Id="rId211" Type="http://schemas.openxmlformats.org/officeDocument/2006/relationships/hyperlink" Target="https://issues.sierrawireless.com/browse/OEMPRI-4654" TargetMode="External"/><Relationship Id="rId453" Type="http://schemas.openxmlformats.org/officeDocument/2006/relationships/hyperlink" Target="https://issues.sierrawireless.com/browse/OEMPRI-3901" TargetMode="External"/><Relationship Id="rId695" Type="http://schemas.openxmlformats.org/officeDocument/2006/relationships/hyperlink" Target="https://issues.sierrawireless.com/browse/OEMPRI-2770" TargetMode="External"/><Relationship Id="rId1046" Type="http://schemas.openxmlformats.org/officeDocument/2006/relationships/hyperlink" Target="https://issues.sierrawireless.com/browse/OEMPRI-1944" TargetMode="External"/><Relationship Id="rId210" Type="http://schemas.openxmlformats.org/officeDocument/2006/relationships/hyperlink" Target="https://issues.sierrawireless.com/browse/OEMPRI-4669" TargetMode="External"/><Relationship Id="rId452" Type="http://schemas.openxmlformats.org/officeDocument/2006/relationships/hyperlink" Target="https://issues.sierrawireless.com/browse/OEMPRI-3904" TargetMode="External"/><Relationship Id="rId694" Type="http://schemas.openxmlformats.org/officeDocument/2006/relationships/hyperlink" Target="https://issues.sierrawireless.com/browse/OEMPRI-2778" TargetMode="External"/><Relationship Id="rId1047" Type="http://schemas.openxmlformats.org/officeDocument/2006/relationships/hyperlink" Target="https://issues.sierrawireless.com/browse/OEMPRI-1856" TargetMode="External"/><Relationship Id="rId491" Type="http://schemas.openxmlformats.org/officeDocument/2006/relationships/hyperlink" Target="https://issues.sierrawireless.com/browse/OEMPRI-3781" TargetMode="External"/><Relationship Id="rId490" Type="http://schemas.openxmlformats.org/officeDocument/2006/relationships/hyperlink" Target="https://issues.sierrawireless.com/browse/OEMPRI-3783" TargetMode="External"/><Relationship Id="rId249" Type="http://schemas.openxmlformats.org/officeDocument/2006/relationships/hyperlink" Target="https://issues.sierrawireless.com/browse/OEMPRI-4496" TargetMode="External"/><Relationship Id="rId248" Type="http://schemas.openxmlformats.org/officeDocument/2006/relationships/hyperlink" Target="https://issues.sierrawireless.com/browse/OEMPRI-4497" TargetMode="External"/><Relationship Id="rId247" Type="http://schemas.openxmlformats.org/officeDocument/2006/relationships/hyperlink" Target="https://issues.sierrawireless.com/browse/OEMPRI-4498" TargetMode="External"/><Relationship Id="rId489" Type="http://schemas.openxmlformats.org/officeDocument/2006/relationships/hyperlink" Target="https://issues.sierrawireless.com/browse/OEMPRI-3784" TargetMode="External"/><Relationship Id="rId1070" Type="http://schemas.openxmlformats.org/officeDocument/2006/relationships/hyperlink" Target="https://issues.sierrawireless.com/browse/OEMPRI-1947" TargetMode="External"/><Relationship Id="rId1071" Type="http://schemas.openxmlformats.org/officeDocument/2006/relationships/hyperlink" Target="https://issues.sierrawireless.com/browse/OEMPRI-1916" TargetMode="External"/><Relationship Id="rId1072" Type="http://schemas.openxmlformats.org/officeDocument/2006/relationships/hyperlink" Target="https://issues.sierrawireless.com/browse/OEMPRI-1915" TargetMode="External"/><Relationship Id="rId242" Type="http://schemas.openxmlformats.org/officeDocument/2006/relationships/hyperlink" Target="https://issues.sierrawireless.com/browse/OEMPRI-4504" TargetMode="External"/><Relationship Id="rId484" Type="http://schemas.openxmlformats.org/officeDocument/2006/relationships/hyperlink" Target="https://issues.sierrawireless.com/browse/OEMPRI-3809" TargetMode="External"/><Relationship Id="rId1073" Type="http://schemas.openxmlformats.org/officeDocument/2006/relationships/hyperlink" Target="https://issues.sierrawireless.com/browse/OEMPRI-1984" TargetMode="External"/><Relationship Id="rId241" Type="http://schemas.openxmlformats.org/officeDocument/2006/relationships/hyperlink" Target="https://issues.sierrawireless.com/browse/OEMPRI-4505" TargetMode="External"/><Relationship Id="rId483" Type="http://schemas.openxmlformats.org/officeDocument/2006/relationships/hyperlink" Target="https://issues.sierrawireless.com/browse/OEMPRI-3811" TargetMode="External"/><Relationship Id="rId1074" Type="http://schemas.openxmlformats.org/officeDocument/2006/relationships/hyperlink" Target="https://issues.sierrawireless.com/browse/OEMPRI-1952" TargetMode="External"/><Relationship Id="rId240" Type="http://schemas.openxmlformats.org/officeDocument/2006/relationships/hyperlink" Target="https://issues.sierrawireless.com/browse/OEMPRI-4506" TargetMode="External"/><Relationship Id="rId482" Type="http://schemas.openxmlformats.org/officeDocument/2006/relationships/hyperlink" Target="https://issues.sierrawireless.com/browse/OEMPRI-3812" TargetMode="External"/><Relationship Id="rId1075" Type="http://schemas.openxmlformats.org/officeDocument/2006/relationships/hyperlink" Target="https://issues.sierrawireless.com/browse/OEMPRI-1886" TargetMode="External"/><Relationship Id="rId481" Type="http://schemas.openxmlformats.org/officeDocument/2006/relationships/hyperlink" Target="https://issues.sierrawireless.com/browse/OEMPRI-3813" TargetMode="External"/><Relationship Id="rId1076" Type="http://schemas.openxmlformats.org/officeDocument/2006/relationships/hyperlink" Target="https://issues.sierrawireless.com/browse/OEMPRI-1858" TargetMode="External"/><Relationship Id="rId246" Type="http://schemas.openxmlformats.org/officeDocument/2006/relationships/hyperlink" Target="https://issues.sierrawireless.com/browse/OEMPRI-4500" TargetMode="External"/><Relationship Id="rId488" Type="http://schemas.openxmlformats.org/officeDocument/2006/relationships/hyperlink" Target="https://issues.sierrawireless.com/browse/OEMPRI-3785" TargetMode="External"/><Relationship Id="rId1077" Type="http://schemas.openxmlformats.org/officeDocument/2006/relationships/hyperlink" Target="https://issues.sierrawireless.com/browse/OEMPRI-2116" TargetMode="External"/><Relationship Id="rId245" Type="http://schemas.openxmlformats.org/officeDocument/2006/relationships/hyperlink" Target="https://issues.sierrawireless.com/browse/OEMPRI-4501" TargetMode="External"/><Relationship Id="rId487" Type="http://schemas.openxmlformats.org/officeDocument/2006/relationships/hyperlink" Target="https://issues.sierrawireless.com/browse/OEMPRI-3786" TargetMode="External"/><Relationship Id="rId1078" Type="http://schemas.openxmlformats.org/officeDocument/2006/relationships/hyperlink" Target="https://issues.sierrawireless.com/browse/OEMPRI-1859" TargetMode="External"/><Relationship Id="rId244" Type="http://schemas.openxmlformats.org/officeDocument/2006/relationships/hyperlink" Target="https://issues.sierrawireless.com/browse/OEMPRI-4502" TargetMode="External"/><Relationship Id="rId486" Type="http://schemas.openxmlformats.org/officeDocument/2006/relationships/hyperlink" Target="https://issues.sierrawireless.com/browse/OEMPRI-3791" TargetMode="External"/><Relationship Id="rId1079" Type="http://schemas.openxmlformats.org/officeDocument/2006/relationships/hyperlink" Target="https://issues.sierrawireless.com/browse/OEMPRI-1954" TargetMode="External"/><Relationship Id="rId243" Type="http://schemas.openxmlformats.org/officeDocument/2006/relationships/hyperlink" Target="https://issues.sierrawireless.com/browse/OEMPRI-4503" TargetMode="External"/><Relationship Id="rId485" Type="http://schemas.openxmlformats.org/officeDocument/2006/relationships/hyperlink" Target="https://issues.sierrawireless.com/browse/OEMPRI-3810" TargetMode="External"/><Relationship Id="rId480" Type="http://schemas.openxmlformats.org/officeDocument/2006/relationships/hyperlink" Target="https://issues.sierrawireless.com/browse/OEMPRI-3814" TargetMode="External"/><Relationship Id="rId239" Type="http://schemas.openxmlformats.org/officeDocument/2006/relationships/hyperlink" Target="https://issues.sierrawireless.com/browse/OEMPRI-4507" TargetMode="External"/><Relationship Id="rId238" Type="http://schemas.openxmlformats.org/officeDocument/2006/relationships/hyperlink" Target="https://issues.sierrawireless.com/browse/OEMPRI-4510" TargetMode="External"/><Relationship Id="rId237" Type="http://schemas.openxmlformats.org/officeDocument/2006/relationships/hyperlink" Target="https://issues.sierrawireless.com/browse/OEMPRI-4512" TargetMode="External"/><Relationship Id="rId479" Type="http://schemas.openxmlformats.org/officeDocument/2006/relationships/hyperlink" Target="https://issues.sierrawireless.com/browse/OEMPRI-3837" TargetMode="External"/><Relationship Id="rId236" Type="http://schemas.openxmlformats.org/officeDocument/2006/relationships/hyperlink" Target="https://issues.sierrawireless.com/browse/OEMPRI-4514" TargetMode="External"/><Relationship Id="rId478" Type="http://schemas.openxmlformats.org/officeDocument/2006/relationships/hyperlink" Target="https://issues.sierrawireless.com/browse/OEMPRI-3841" TargetMode="External"/><Relationship Id="rId1060" Type="http://schemas.openxmlformats.org/officeDocument/2006/relationships/hyperlink" Target="https://issues.sierrawireless.com/browse/OEMPRI-1912" TargetMode="External"/><Relationship Id="rId1061" Type="http://schemas.openxmlformats.org/officeDocument/2006/relationships/hyperlink" Target="https://issues.sierrawireless.com/browse/OEMPRI-1911" TargetMode="External"/><Relationship Id="rId231" Type="http://schemas.openxmlformats.org/officeDocument/2006/relationships/hyperlink" Target="https://issues.sierrawireless.com/browse/OEMPRI-4571" TargetMode="External"/><Relationship Id="rId473" Type="http://schemas.openxmlformats.org/officeDocument/2006/relationships/hyperlink" Target="https://issues.sierrawireless.com/browse/OEMPRI-3847" TargetMode="External"/><Relationship Id="rId1062" Type="http://schemas.openxmlformats.org/officeDocument/2006/relationships/hyperlink" Target="https://issues.sierrawireless.com/browse/OEMPRI-1857" TargetMode="External"/><Relationship Id="rId230" Type="http://schemas.openxmlformats.org/officeDocument/2006/relationships/hyperlink" Target="https://issues.sierrawireless.com/browse/OEMPRI-4570" TargetMode="External"/><Relationship Id="rId472" Type="http://schemas.openxmlformats.org/officeDocument/2006/relationships/hyperlink" Target="https://issues.sierrawireless.com/browse/OEMPRI-3849" TargetMode="External"/><Relationship Id="rId1063" Type="http://schemas.openxmlformats.org/officeDocument/2006/relationships/hyperlink" Target="https://issues.sierrawireless.com/browse/OEMPRI-1983" TargetMode="External"/><Relationship Id="rId471" Type="http://schemas.openxmlformats.org/officeDocument/2006/relationships/hyperlink" Target="https://issues.sierrawireless.com/browse/OEMPRI-3853" TargetMode="External"/><Relationship Id="rId1064" Type="http://schemas.openxmlformats.org/officeDocument/2006/relationships/hyperlink" Target="https://issues.sierrawireless.com/browse/OEMPRI-1982" TargetMode="External"/><Relationship Id="rId470" Type="http://schemas.openxmlformats.org/officeDocument/2006/relationships/hyperlink" Target="https://issues.sierrawireless.com/browse/OEMPRI-3854" TargetMode="External"/><Relationship Id="rId1065" Type="http://schemas.openxmlformats.org/officeDocument/2006/relationships/hyperlink" Target="https://issues.sierrawireless.com/browse/OEMPRI-1914" TargetMode="External"/><Relationship Id="rId235" Type="http://schemas.openxmlformats.org/officeDocument/2006/relationships/hyperlink" Target="https://issues.sierrawireless.com/browse/OEMPRI-4509" TargetMode="External"/><Relationship Id="rId477" Type="http://schemas.openxmlformats.org/officeDocument/2006/relationships/hyperlink" Target="https://issues.sierrawireless.com/browse/OEMPRI-3842" TargetMode="External"/><Relationship Id="rId1066" Type="http://schemas.openxmlformats.org/officeDocument/2006/relationships/hyperlink" Target="https://issues.sierrawireless.com/browse/OEMPRI-1951" TargetMode="External"/><Relationship Id="rId234" Type="http://schemas.openxmlformats.org/officeDocument/2006/relationships/hyperlink" Target="https://issues.sierrawireless.com/browse/OEMPRI-4532" TargetMode="External"/><Relationship Id="rId476" Type="http://schemas.openxmlformats.org/officeDocument/2006/relationships/hyperlink" Target="https://issues.sierrawireless.com/browse/OEMPRI-3843" TargetMode="External"/><Relationship Id="rId1067" Type="http://schemas.openxmlformats.org/officeDocument/2006/relationships/hyperlink" Target="https://issues.sierrawireless.com/browse/OEMPRI-1950" TargetMode="External"/><Relationship Id="rId233" Type="http://schemas.openxmlformats.org/officeDocument/2006/relationships/hyperlink" Target="https://issues.sierrawireless.com/browse/OEMPRI-4533" TargetMode="External"/><Relationship Id="rId475" Type="http://schemas.openxmlformats.org/officeDocument/2006/relationships/hyperlink" Target="https://issues.sierrawireless.com/browse/OEMPRI-3844" TargetMode="External"/><Relationship Id="rId1068" Type="http://schemas.openxmlformats.org/officeDocument/2006/relationships/hyperlink" Target="https://issues.sierrawireless.com/browse/OEMPRI-1949" TargetMode="External"/><Relationship Id="rId232" Type="http://schemas.openxmlformats.org/officeDocument/2006/relationships/hyperlink" Target="https://issues.sierrawireless.com/browse/OEMPRI-4535" TargetMode="External"/><Relationship Id="rId474" Type="http://schemas.openxmlformats.org/officeDocument/2006/relationships/hyperlink" Target="https://issues.sierrawireless.com/browse/OEMPRI-3846" TargetMode="External"/><Relationship Id="rId1069" Type="http://schemas.openxmlformats.org/officeDocument/2006/relationships/hyperlink" Target="https://issues.sierrawireless.com/browse/OEMPRI-1948" TargetMode="External"/><Relationship Id="rId1015" Type="http://schemas.openxmlformats.org/officeDocument/2006/relationships/hyperlink" Target="https://issues.sierrawireless.com/browse/OEMPRI-2076" TargetMode="External"/><Relationship Id="rId1016" Type="http://schemas.openxmlformats.org/officeDocument/2006/relationships/hyperlink" Target="https://issues.sierrawireless.com/browse/OEMPRI-2075" TargetMode="External"/><Relationship Id="rId1017" Type="http://schemas.openxmlformats.org/officeDocument/2006/relationships/hyperlink" Target="https://issues.sierrawireless.com/browse/OEMPRI-2074" TargetMode="External"/><Relationship Id="rId1018" Type="http://schemas.openxmlformats.org/officeDocument/2006/relationships/hyperlink" Target="https://issues.sierrawireless.com/browse/OEMPRI-2073" TargetMode="External"/><Relationship Id="rId1019" Type="http://schemas.openxmlformats.org/officeDocument/2006/relationships/hyperlink" Target="https://issues.sierrawireless.com/browse/OEMPRI-2072" TargetMode="External"/><Relationship Id="rId426" Type="http://schemas.openxmlformats.org/officeDocument/2006/relationships/hyperlink" Target="https://issues.sierrawireless.com/browse/OEMPRI-3964" TargetMode="External"/><Relationship Id="rId668" Type="http://schemas.openxmlformats.org/officeDocument/2006/relationships/hyperlink" Target="https://issues.sierrawireless.com/browse/OEMPRI-2946" TargetMode="External"/><Relationship Id="rId425" Type="http://schemas.openxmlformats.org/officeDocument/2006/relationships/hyperlink" Target="https://issues.sierrawireless.com/browse/OEMPRI-3965" TargetMode="External"/><Relationship Id="rId667" Type="http://schemas.openxmlformats.org/officeDocument/2006/relationships/hyperlink" Target="https://issues.sierrawireless.com/browse/OEMPRI-2947" TargetMode="External"/><Relationship Id="rId424" Type="http://schemas.openxmlformats.org/officeDocument/2006/relationships/hyperlink" Target="https://issues.sierrawireless.com/browse/OEMPRI-3966" TargetMode="External"/><Relationship Id="rId666" Type="http://schemas.openxmlformats.org/officeDocument/2006/relationships/hyperlink" Target="https://issues.sierrawireless.com/browse/OEMPRI-2951" TargetMode="External"/><Relationship Id="rId423" Type="http://schemas.openxmlformats.org/officeDocument/2006/relationships/hyperlink" Target="https://issues.sierrawireless.com/browse/OEMPRI-3968" TargetMode="External"/><Relationship Id="rId665" Type="http://schemas.openxmlformats.org/officeDocument/2006/relationships/hyperlink" Target="https://issues.sierrawireless.com/browse/OEMPRI-2957" TargetMode="External"/><Relationship Id="rId429" Type="http://schemas.openxmlformats.org/officeDocument/2006/relationships/hyperlink" Target="https://issues.sierrawireless.com/browse/OEMPRI-3955" TargetMode="External"/><Relationship Id="rId428" Type="http://schemas.openxmlformats.org/officeDocument/2006/relationships/hyperlink" Target="https://issues.sierrawireless.com/browse/OEMPRI-3957" TargetMode="External"/><Relationship Id="rId427" Type="http://schemas.openxmlformats.org/officeDocument/2006/relationships/hyperlink" Target="https://issues.sierrawireless.com/browse/OEMPRI-3961" TargetMode="External"/><Relationship Id="rId669" Type="http://schemas.openxmlformats.org/officeDocument/2006/relationships/hyperlink" Target="https://issues.sierrawireless.com/browse/OEMPRI-2940" TargetMode="External"/><Relationship Id="rId660" Type="http://schemas.openxmlformats.org/officeDocument/2006/relationships/hyperlink" Target="https://issues.sierrawireless.com/browse/OEMPRI-2988" TargetMode="External"/><Relationship Id="rId1010" Type="http://schemas.openxmlformats.org/officeDocument/2006/relationships/hyperlink" Target="https://issues.sierrawireless.com/browse/OEMPRI-1941" TargetMode="External"/><Relationship Id="rId422" Type="http://schemas.openxmlformats.org/officeDocument/2006/relationships/hyperlink" Target="https://issues.sierrawireless.com/browse/OEMPRI-3969" TargetMode="External"/><Relationship Id="rId664" Type="http://schemas.openxmlformats.org/officeDocument/2006/relationships/hyperlink" Target="https://issues.sierrawireless.com/browse/OEMPRI-2973" TargetMode="External"/><Relationship Id="rId1011" Type="http://schemas.openxmlformats.org/officeDocument/2006/relationships/hyperlink" Target="https://issues.sierrawireless.com/browse/OEMPRI-1939" TargetMode="External"/><Relationship Id="rId421" Type="http://schemas.openxmlformats.org/officeDocument/2006/relationships/hyperlink" Target="https://issues.sierrawireless.com/browse/OEMPRI-3970" TargetMode="External"/><Relationship Id="rId663" Type="http://schemas.openxmlformats.org/officeDocument/2006/relationships/hyperlink" Target="https://issues.sierrawireless.com/browse/OEMPRI-2976" TargetMode="External"/><Relationship Id="rId1012" Type="http://schemas.openxmlformats.org/officeDocument/2006/relationships/hyperlink" Target="https://issues.sierrawireless.com/browse/OEMPRI-2108" TargetMode="External"/><Relationship Id="rId420" Type="http://schemas.openxmlformats.org/officeDocument/2006/relationships/hyperlink" Target="https://issues.sierrawireless.com/browse/OEMPRI-3971" TargetMode="External"/><Relationship Id="rId662" Type="http://schemas.openxmlformats.org/officeDocument/2006/relationships/hyperlink" Target="https://issues.sierrawireless.com/browse/OEMPRI-2980" TargetMode="External"/><Relationship Id="rId1013" Type="http://schemas.openxmlformats.org/officeDocument/2006/relationships/hyperlink" Target="https://issues.sierrawireless.com/browse/OEMPRI-2107" TargetMode="External"/><Relationship Id="rId661" Type="http://schemas.openxmlformats.org/officeDocument/2006/relationships/hyperlink" Target="https://issues.sierrawireless.com/browse/OEMPRI-2984" TargetMode="External"/><Relationship Id="rId1014" Type="http://schemas.openxmlformats.org/officeDocument/2006/relationships/hyperlink" Target="https://issues.sierrawireless.com/browse/OEMPRI-2077" TargetMode="External"/><Relationship Id="rId1004" Type="http://schemas.openxmlformats.org/officeDocument/2006/relationships/hyperlink" Target="https://issues.sierrawireless.com/browse/OEMPRI-1779" TargetMode="External"/><Relationship Id="rId1005" Type="http://schemas.openxmlformats.org/officeDocument/2006/relationships/hyperlink" Target="https://issues.sierrawireless.com/browse/OEMPRI-1745" TargetMode="External"/><Relationship Id="rId1006" Type="http://schemas.openxmlformats.org/officeDocument/2006/relationships/hyperlink" Target="https://issues.sierrawireless.com/browse/OEMPRI-1638" TargetMode="External"/><Relationship Id="rId1007" Type="http://schemas.openxmlformats.org/officeDocument/2006/relationships/hyperlink" Target="https://issues.sierrawireless.com/browse/OEMPRI-1637" TargetMode="External"/><Relationship Id="rId1008" Type="http://schemas.openxmlformats.org/officeDocument/2006/relationships/hyperlink" Target="https://issues.sierrawireless.com/browse/OEMPRI-1969" TargetMode="External"/><Relationship Id="rId1009" Type="http://schemas.openxmlformats.org/officeDocument/2006/relationships/hyperlink" Target="https://issues.sierrawireless.com/browse/OEMPRI-1942" TargetMode="External"/><Relationship Id="rId415" Type="http://schemas.openxmlformats.org/officeDocument/2006/relationships/hyperlink" Target="https://issues.sierrawireless.com/browse/OEMPRI-3981" TargetMode="External"/><Relationship Id="rId657" Type="http://schemas.openxmlformats.org/officeDocument/2006/relationships/hyperlink" Target="https://issues.sierrawireless.com/browse/OEMPRI-3006" TargetMode="External"/><Relationship Id="rId899" Type="http://schemas.openxmlformats.org/officeDocument/2006/relationships/hyperlink" Target="https://issues.sierrawireless.com/browse/OEMPRI-1752" TargetMode="External"/><Relationship Id="rId414" Type="http://schemas.openxmlformats.org/officeDocument/2006/relationships/hyperlink" Target="https://issues.sierrawireless.com/browse/OEMPRI-3982" TargetMode="External"/><Relationship Id="rId656" Type="http://schemas.openxmlformats.org/officeDocument/2006/relationships/hyperlink" Target="https://issues.sierrawireless.com/browse/OEMPRI-3009" TargetMode="External"/><Relationship Id="rId898" Type="http://schemas.openxmlformats.org/officeDocument/2006/relationships/hyperlink" Target="https://issues.sierrawireless.com/browse/OEMPRI-1808" TargetMode="External"/><Relationship Id="rId413" Type="http://schemas.openxmlformats.org/officeDocument/2006/relationships/hyperlink" Target="https://issues.sierrawireless.com/browse/OEMPRI-3988" TargetMode="External"/><Relationship Id="rId655" Type="http://schemas.openxmlformats.org/officeDocument/2006/relationships/hyperlink" Target="https://issues.sierrawireless.com/browse/OEMPRI-3012" TargetMode="External"/><Relationship Id="rId897" Type="http://schemas.openxmlformats.org/officeDocument/2006/relationships/hyperlink" Target="https://issues.sierrawireless.com/browse/OEMPRI-1595" TargetMode="External"/><Relationship Id="rId412" Type="http://schemas.openxmlformats.org/officeDocument/2006/relationships/hyperlink" Target="https://issues.sierrawireless.com/browse/OEMPRI-3990" TargetMode="External"/><Relationship Id="rId654" Type="http://schemas.openxmlformats.org/officeDocument/2006/relationships/hyperlink" Target="https://issues.sierrawireless.com/browse/OEMPRI-2975" TargetMode="External"/><Relationship Id="rId896" Type="http://schemas.openxmlformats.org/officeDocument/2006/relationships/hyperlink" Target="https://issues.sierrawireless.com/browse/OEMPRI-1612" TargetMode="External"/><Relationship Id="rId419" Type="http://schemas.openxmlformats.org/officeDocument/2006/relationships/hyperlink" Target="https://issues.sierrawireless.com/browse/OEMPRI-3972" TargetMode="External"/><Relationship Id="rId418" Type="http://schemas.openxmlformats.org/officeDocument/2006/relationships/hyperlink" Target="https://issues.sierrawireless.com/browse/OEMPRI-3974" TargetMode="External"/><Relationship Id="rId417" Type="http://schemas.openxmlformats.org/officeDocument/2006/relationships/hyperlink" Target="https://issues.sierrawireless.com/browse/OEMPRI-3977" TargetMode="External"/><Relationship Id="rId659" Type="http://schemas.openxmlformats.org/officeDocument/2006/relationships/hyperlink" Target="https://issues.sierrawireless.com/browse/OEMPRI-2996" TargetMode="External"/><Relationship Id="rId416" Type="http://schemas.openxmlformats.org/officeDocument/2006/relationships/hyperlink" Target="https://issues.sierrawireless.com/browse/OEMPRI-3980" TargetMode="External"/><Relationship Id="rId658" Type="http://schemas.openxmlformats.org/officeDocument/2006/relationships/hyperlink" Target="https://issues.sierrawireless.com/browse/OEMPRI-3003" TargetMode="External"/><Relationship Id="rId891" Type="http://schemas.openxmlformats.org/officeDocument/2006/relationships/hyperlink" Target="https://issues.sierrawireless.com/browse/OEMPRI-1681" TargetMode="External"/><Relationship Id="rId890" Type="http://schemas.openxmlformats.org/officeDocument/2006/relationships/hyperlink" Target="https://issues.sierrawireless.com/browse/OEMPRI-1789" TargetMode="External"/><Relationship Id="rId411" Type="http://schemas.openxmlformats.org/officeDocument/2006/relationships/hyperlink" Target="https://issues.sierrawireless.com/browse/OEMPRI-3991" TargetMode="External"/><Relationship Id="rId653" Type="http://schemas.openxmlformats.org/officeDocument/2006/relationships/hyperlink" Target="https://issues.sierrawireless.com/browse/OEMPRI-2977" TargetMode="External"/><Relationship Id="rId895" Type="http://schemas.openxmlformats.org/officeDocument/2006/relationships/hyperlink" Target="https://issues.sierrawireless.com/browse/OEMPRI-1791" TargetMode="External"/><Relationship Id="rId1000" Type="http://schemas.openxmlformats.org/officeDocument/2006/relationships/hyperlink" Target="https://issues.sierrawireless.com/browse/OEMPRI-1695" TargetMode="External"/><Relationship Id="rId410" Type="http://schemas.openxmlformats.org/officeDocument/2006/relationships/hyperlink" Target="https://issues.sierrawireless.com/browse/OEMPRI-3993" TargetMode="External"/><Relationship Id="rId652" Type="http://schemas.openxmlformats.org/officeDocument/2006/relationships/hyperlink" Target="https://issues.sierrawireless.com/browse/OEMPRI-2978" TargetMode="External"/><Relationship Id="rId894" Type="http://schemas.openxmlformats.org/officeDocument/2006/relationships/hyperlink" Target="https://issues.sierrawireless.com/browse/OEMPRI-1594" TargetMode="External"/><Relationship Id="rId1001" Type="http://schemas.openxmlformats.org/officeDocument/2006/relationships/hyperlink" Target="https://issues.sierrawireless.com/browse/OEMPRI-1694" TargetMode="External"/><Relationship Id="rId651" Type="http://schemas.openxmlformats.org/officeDocument/2006/relationships/hyperlink" Target="https://issues.sierrawireless.com/browse/OEMPRI-2979" TargetMode="External"/><Relationship Id="rId893" Type="http://schemas.openxmlformats.org/officeDocument/2006/relationships/hyperlink" Target="https://issues.sierrawireless.com/browse/OEMPRI-1610" TargetMode="External"/><Relationship Id="rId1002" Type="http://schemas.openxmlformats.org/officeDocument/2006/relationships/hyperlink" Target="https://issues.sierrawireless.com/browse/OEMPRI-1693" TargetMode="External"/><Relationship Id="rId650" Type="http://schemas.openxmlformats.org/officeDocument/2006/relationships/hyperlink" Target="https://issues.sierrawireless.com/browse/OEMPRI-2981" TargetMode="External"/><Relationship Id="rId892" Type="http://schemas.openxmlformats.org/officeDocument/2006/relationships/hyperlink" Target="https://issues.sierrawireless.com/browse/OEMPRI-1611" TargetMode="External"/><Relationship Id="rId1003" Type="http://schemas.openxmlformats.org/officeDocument/2006/relationships/hyperlink" Target="https://issues.sierrawireless.com/browse/OEMPRI-1605" TargetMode="External"/><Relationship Id="rId1037" Type="http://schemas.openxmlformats.org/officeDocument/2006/relationships/hyperlink" Target="https://issues.sierrawireless.com/browse/OEMPRI-2144" TargetMode="External"/><Relationship Id="rId1038" Type="http://schemas.openxmlformats.org/officeDocument/2006/relationships/hyperlink" Target="https://issues.sierrawireless.com/browse/OEMPRI-2140" TargetMode="External"/><Relationship Id="rId1039" Type="http://schemas.openxmlformats.org/officeDocument/2006/relationships/hyperlink" Target="https://issues.sierrawireless.com/browse/OEMPRI-2139" TargetMode="External"/><Relationship Id="rId206" Type="http://schemas.openxmlformats.org/officeDocument/2006/relationships/hyperlink" Target="https://issues.sierrawireless.com/browse/OEMPRI-4682" TargetMode="External"/><Relationship Id="rId448" Type="http://schemas.openxmlformats.org/officeDocument/2006/relationships/hyperlink" Target="https://issues.sierrawireless.com/browse/OEMPRI-3921" TargetMode="External"/><Relationship Id="rId205" Type="http://schemas.openxmlformats.org/officeDocument/2006/relationships/hyperlink" Target="https://issues.sierrawireless.com/browse/OEMPRI-4683" TargetMode="External"/><Relationship Id="rId447" Type="http://schemas.openxmlformats.org/officeDocument/2006/relationships/hyperlink" Target="https://issues.sierrawireless.com/browse/OEMPRI-3922" TargetMode="External"/><Relationship Id="rId689" Type="http://schemas.openxmlformats.org/officeDocument/2006/relationships/hyperlink" Target="https://issues.sierrawireless.com/browse/OEMPRI-2799" TargetMode="External"/><Relationship Id="rId204" Type="http://schemas.openxmlformats.org/officeDocument/2006/relationships/hyperlink" Target="https://issues.sierrawireless.com/browse/OEMPRI-4685" TargetMode="External"/><Relationship Id="rId446" Type="http://schemas.openxmlformats.org/officeDocument/2006/relationships/hyperlink" Target="https://issues.sierrawireless.com/browse/OEMPRI-3923" TargetMode="External"/><Relationship Id="rId688" Type="http://schemas.openxmlformats.org/officeDocument/2006/relationships/hyperlink" Target="https://issues.sierrawireless.com/browse/OEMPRI-2814" TargetMode="External"/><Relationship Id="rId203" Type="http://schemas.openxmlformats.org/officeDocument/2006/relationships/hyperlink" Target="https://issues.sierrawireless.com/browse/OEMPRI-4687" TargetMode="External"/><Relationship Id="rId445" Type="http://schemas.openxmlformats.org/officeDocument/2006/relationships/hyperlink" Target="https://issues.sierrawireless.com/browse/OEMPRI-3924" TargetMode="External"/><Relationship Id="rId687" Type="http://schemas.openxmlformats.org/officeDocument/2006/relationships/hyperlink" Target="https://issues.sierrawireless.com/browse/OEMPRI-2821" TargetMode="External"/><Relationship Id="rId209" Type="http://schemas.openxmlformats.org/officeDocument/2006/relationships/hyperlink" Target="https://issues.sierrawireless.com/browse/OEMPRI-4684" TargetMode="External"/><Relationship Id="rId208" Type="http://schemas.openxmlformats.org/officeDocument/2006/relationships/hyperlink" Target="https://issues.sierrawireless.com/browse/OEMPRI-4686" TargetMode="External"/><Relationship Id="rId207" Type="http://schemas.openxmlformats.org/officeDocument/2006/relationships/hyperlink" Target="https://issues.sierrawireless.com/browse/OEMPRI-4688" TargetMode="External"/><Relationship Id="rId449" Type="http://schemas.openxmlformats.org/officeDocument/2006/relationships/hyperlink" Target="https://issues.sierrawireless.com/browse/OEMPRI-3907" TargetMode="External"/><Relationship Id="rId440" Type="http://schemas.openxmlformats.org/officeDocument/2006/relationships/hyperlink" Target="https://issues.sierrawireless.com/browse/OEMPRI-3938" TargetMode="External"/><Relationship Id="rId682" Type="http://schemas.openxmlformats.org/officeDocument/2006/relationships/hyperlink" Target="https://issues.sierrawireless.com/browse/OEMPRI-2833" TargetMode="External"/><Relationship Id="rId681" Type="http://schemas.openxmlformats.org/officeDocument/2006/relationships/hyperlink" Target="https://issues.sierrawireless.com/browse/OEMPRI-2855" TargetMode="External"/><Relationship Id="rId1030" Type="http://schemas.openxmlformats.org/officeDocument/2006/relationships/hyperlink" Target="https://issues.sierrawireless.com/browse/OEMPRI-1884" TargetMode="External"/><Relationship Id="rId680" Type="http://schemas.openxmlformats.org/officeDocument/2006/relationships/hyperlink" Target="https://issues.sierrawireless.com/browse/OEMPRI-2856" TargetMode="External"/><Relationship Id="rId1031" Type="http://schemas.openxmlformats.org/officeDocument/2006/relationships/hyperlink" Target="https://issues.sierrawireless.com/browse/OEMPRI-2046" TargetMode="External"/><Relationship Id="rId1032" Type="http://schemas.openxmlformats.org/officeDocument/2006/relationships/hyperlink" Target="https://issues.sierrawireless.com/browse/OEMTP-1397" TargetMode="External"/><Relationship Id="rId202" Type="http://schemas.openxmlformats.org/officeDocument/2006/relationships/hyperlink" Target="https://issues.sierrawireless.com/browse/OEMPRI-4702" TargetMode="External"/><Relationship Id="rId444" Type="http://schemas.openxmlformats.org/officeDocument/2006/relationships/hyperlink" Target="https://issues.sierrawireless.com/browse/OEMPRI-3928" TargetMode="External"/><Relationship Id="rId686" Type="http://schemas.openxmlformats.org/officeDocument/2006/relationships/hyperlink" Target="https://issues.sierrawireless.com/browse/OEMPRI-2824" TargetMode="External"/><Relationship Id="rId1033" Type="http://schemas.openxmlformats.org/officeDocument/2006/relationships/hyperlink" Target="https://issues.sierrawireless.com/browse/OEMPRI-2045" TargetMode="External"/><Relationship Id="rId201" Type="http://schemas.openxmlformats.org/officeDocument/2006/relationships/hyperlink" Target="https://issues.sierrawireless.com/browse/OEMPRI-4697" TargetMode="External"/><Relationship Id="rId443" Type="http://schemas.openxmlformats.org/officeDocument/2006/relationships/hyperlink" Target="https://issues.sierrawireless.com/browse/OEMPRI-3929" TargetMode="External"/><Relationship Id="rId685" Type="http://schemas.openxmlformats.org/officeDocument/2006/relationships/hyperlink" Target="https://issues.sierrawireless.com/browse/OEMPRI-2827" TargetMode="External"/><Relationship Id="rId1034" Type="http://schemas.openxmlformats.org/officeDocument/2006/relationships/hyperlink" Target="https://issues.sierrawireless.com/browse/OEMPRI-2147" TargetMode="External"/><Relationship Id="rId200" Type="http://schemas.openxmlformats.org/officeDocument/2006/relationships/hyperlink" Target="https://issues.sierrawireless.com/browse/OEMPRI-4698" TargetMode="External"/><Relationship Id="rId442" Type="http://schemas.openxmlformats.org/officeDocument/2006/relationships/hyperlink" Target="https://issues.sierrawireless.com/browse/OEMPRI-3930" TargetMode="External"/><Relationship Id="rId684" Type="http://schemas.openxmlformats.org/officeDocument/2006/relationships/hyperlink" Target="https://issues.sierrawireless.com/browse/OEMPRI-2826" TargetMode="External"/><Relationship Id="rId1035" Type="http://schemas.openxmlformats.org/officeDocument/2006/relationships/hyperlink" Target="https://issues.sierrawireless.com/browse/OEMPRI-2146" TargetMode="External"/><Relationship Id="rId441" Type="http://schemas.openxmlformats.org/officeDocument/2006/relationships/hyperlink" Target="https://issues.sierrawireless.com/browse/OEMPRI-3937" TargetMode="External"/><Relationship Id="rId683" Type="http://schemas.openxmlformats.org/officeDocument/2006/relationships/hyperlink" Target="https://issues.sierrawireless.com/browse/OEMPRI-2830" TargetMode="External"/><Relationship Id="rId1036" Type="http://schemas.openxmlformats.org/officeDocument/2006/relationships/hyperlink" Target="https://issues.sierrawireless.com/browse/OEMPRI-2145" TargetMode="External"/><Relationship Id="rId1026" Type="http://schemas.openxmlformats.org/officeDocument/2006/relationships/hyperlink" Target="https://issues.sierrawireless.com/browse/OEMPRI-1974" TargetMode="External"/><Relationship Id="rId1027" Type="http://schemas.openxmlformats.org/officeDocument/2006/relationships/hyperlink" Target="https://issues.sierrawireless.com/browse/OEMPRI-1973" TargetMode="External"/><Relationship Id="rId1028" Type="http://schemas.openxmlformats.org/officeDocument/2006/relationships/hyperlink" Target="https://issues.sierrawireless.com/browse/OEMPRI-1972" TargetMode="External"/><Relationship Id="rId1029" Type="http://schemas.openxmlformats.org/officeDocument/2006/relationships/hyperlink" Target="https://issues.sierrawireless.com/browse/OEMPRI-1971" TargetMode="External"/><Relationship Id="rId437" Type="http://schemas.openxmlformats.org/officeDocument/2006/relationships/hyperlink" Target="https://issues.sierrawireless.com/browse/OEMPRI-3953" TargetMode="External"/><Relationship Id="rId679" Type="http://schemas.openxmlformats.org/officeDocument/2006/relationships/hyperlink" Target="https://issues.sierrawireless.com/browse/OEMPRI-2857" TargetMode="External"/><Relationship Id="rId436" Type="http://schemas.openxmlformats.org/officeDocument/2006/relationships/hyperlink" Target="https://issues.sierrawireless.com/browse/OEMPRI-3954" TargetMode="External"/><Relationship Id="rId678" Type="http://schemas.openxmlformats.org/officeDocument/2006/relationships/hyperlink" Target="https://issues.sierrawireless.com/browse/OEMPRI-2858" TargetMode="External"/><Relationship Id="rId435" Type="http://schemas.openxmlformats.org/officeDocument/2006/relationships/hyperlink" Target="https://issues.sierrawireless.com/browse/OEMPRI-3956" TargetMode="External"/><Relationship Id="rId677" Type="http://schemas.openxmlformats.org/officeDocument/2006/relationships/hyperlink" Target="https://issues.sierrawireless.com/browse/OEMPRI-2892" TargetMode="External"/><Relationship Id="rId434" Type="http://schemas.openxmlformats.org/officeDocument/2006/relationships/hyperlink" Target="https://issues.sierrawireless.com/browse/OEMPRI-3958" TargetMode="External"/><Relationship Id="rId676" Type="http://schemas.openxmlformats.org/officeDocument/2006/relationships/hyperlink" Target="https://issues.sierrawireless.com/browse/OEMPRI-2893" TargetMode="External"/><Relationship Id="rId439" Type="http://schemas.openxmlformats.org/officeDocument/2006/relationships/hyperlink" Target="https://issues.sierrawireless.com/browse/OEMPRI-3939" TargetMode="External"/><Relationship Id="rId438" Type="http://schemas.openxmlformats.org/officeDocument/2006/relationships/hyperlink" Target="https://issues.sierrawireless.com/browse/OEMPRI-3952" TargetMode="External"/><Relationship Id="rId671" Type="http://schemas.openxmlformats.org/officeDocument/2006/relationships/hyperlink" Target="https://issues.sierrawireless.com/browse/OEMPRI-2949" TargetMode="External"/><Relationship Id="rId670" Type="http://schemas.openxmlformats.org/officeDocument/2006/relationships/hyperlink" Target="https://issues.sierrawireless.com/browse/OEMPRI-2950" TargetMode="External"/><Relationship Id="rId1020" Type="http://schemas.openxmlformats.org/officeDocument/2006/relationships/hyperlink" Target="https://issues.sierrawireless.com/browse/OEMPRI-1883" TargetMode="External"/><Relationship Id="rId1021" Type="http://schemas.openxmlformats.org/officeDocument/2006/relationships/hyperlink" Target="https://issues.sierrawireless.com/browse/OEMPRI-1851" TargetMode="External"/><Relationship Id="rId433" Type="http://schemas.openxmlformats.org/officeDocument/2006/relationships/hyperlink" Target="https://issues.sierrawireless.com/browse/OEMPRI-3959" TargetMode="External"/><Relationship Id="rId675" Type="http://schemas.openxmlformats.org/officeDocument/2006/relationships/hyperlink" Target="https://issues.sierrawireless.com/browse/OEMPRI-2915" TargetMode="External"/><Relationship Id="rId1022" Type="http://schemas.openxmlformats.org/officeDocument/2006/relationships/hyperlink" Target="https://issues.sierrawireless.com/browse/OEMPRI-1850" TargetMode="External"/><Relationship Id="rId432" Type="http://schemas.openxmlformats.org/officeDocument/2006/relationships/hyperlink" Target="https://issues.sierrawireless.com/browse/OEMPRI-3960" TargetMode="External"/><Relationship Id="rId674" Type="http://schemas.openxmlformats.org/officeDocument/2006/relationships/hyperlink" Target="https://issues.sierrawireless.com/browse/OEMPRI-2912" TargetMode="External"/><Relationship Id="rId1023" Type="http://schemas.openxmlformats.org/officeDocument/2006/relationships/hyperlink" Target="https://issues.sierrawireless.com/browse/OEMPRI-2143" TargetMode="External"/><Relationship Id="rId431" Type="http://schemas.openxmlformats.org/officeDocument/2006/relationships/hyperlink" Target="https://issues.sierrawireless.com/browse/OEMPRI-3962" TargetMode="External"/><Relationship Id="rId673" Type="http://schemas.openxmlformats.org/officeDocument/2006/relationships/hyperlink" Target="https://issues.sierrawireless.com/browse/OEMPRI-2944" TargetMode="External"/><Relationship Id="rId1024" Type="http://schemas.openxmlformats.org/officeDocument/2006/relationships/hyperlink" Target="https://issues.sierrawireless.com/browse/OEMPRI-2078" TargetMode="External"/><Relationship Id="rId430" Type="http://schemas.openxmlformats.org/officeDocument/2006/relationships/hyperlink" Target="https://issues.sierrawireless.com/browse/OEMPRI-3963" TargetMode="External"/><Relationship Id="rId672" Type="http://schemas.openxmlformats.org/officeDocument/2006/relationships/hyperlink" Target="https://issues.sierrawireless.com/browse/OEMPRI-2945" TargetMode="External"/><Relationship Id="rId1025" Type="http://schemas.openxmlformats.org/officeDocument/2006/relationships/hyperlink" Target="https://issues.sierrawireless.com/browse/OEMPRI-1975"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81.14"/>
    <col customWidth="1" min="3" max="3" width="6.0"/>
    <col customWidth="1" min="4" max="4" width="19.43"/>
    <col customWidth="1" min="5" max="5" width="68.43"/>
  </cols>
  <sheetData>
    <row r="1">
      <c r="A1" s="1" t="s">
        <v>0</v>
      </c>
      <c r="B1" s="1"/>
      <c r="C1" s="2"/>
      <c r="D1" s="1" t="s">
        <v>1</v>
      </c>
      <c r="E1" s="1" t="s">
        <v>2</v>
      </c>
    </row>
    <row r="2">
      <c r="A2" s="2" t="s">
        <v>3</v>
      </c>
      <c r="B2" s="3" t="s">
        <v>4</v>
      </c>
      <c r="D2" s="2" t="s">
        <v>5</v>
      </c>
      <c r="E2" s="3" t="s">
        <v>6</v>
      </c>
    </row>
    <row r="3">
      <c r="A3" s="2" t="s">
        <v>7</v>
      </c>
      <c r="B3" s="3" t="s">
        <v>11</v>
      </c>
    </row>
    <row r="4">
      <c r="A4" s="2" t="s">
        <v>12</v>
      </c>
      <c r="B4" s="3" t="s">
        <v>13</v>
      </c>
      <c r="D4" s="1" t="s">
        <v>14</v>
      </c>
      <c r="E4" s="1"/>
    </row>
    <row r="5">
      <c r="A5" s="2"/>
      <c r="D5" s="2" t="s">
        <v>15</v>
      </c>
      <c r="E5" s="3" t="s">
        <v>16</v>
      </c>
    </row>
    <row r="6">
      <c r="A6" s="1" t="s">
        <v>17</v>
      </c>
      <c r="B6" s="10"/>
      <c r="D6" s="2" t="s">
        <v>19</v>
      </c>
      <c r="E6" s="3" t="s">
        <v>20</v>
      </c>
    </row>
    <row r="7">
      <c r="A7" s="2" t="s">
        <v>21</v>
      </c>
      <c r="B7" s="2" t="s">
        <v>22</v>
      </c>
      <c r="D7" s="2" t="s">
        <v>23</v>
      </c>
      <c r="E7" s="3" t="s">
        <v>24</v>
      </c>
    </row>
    <row r="8">
      <c r="A8" s="2" t="s">
        <v>25</v>
      </c>
      <c r="B8" s="2" t="s">
        <v>26</v>
      </c>
    </row>
    <row r="9">
      <c r="A9" s="2" t="s">
        <v>27</v>
      </c>
      <c r="B9" s="2" t="s">
        <v>28</v>
      </c>
      <c r="D9" s="1" t="s">
        <v>29</v>
      </c>
      <c r="E9" s="10"/>
    </row>
    <row r="10">
      <c r="A10" s="2" t="s">
        <v>30</v>
      </c>
      <c r="B10" s="2" t="s">
        <v>31</v>
      </c>
      <c r="D10" s="2" t="s">
        <v>32</v>
      </c>
      <c r="E10" s="3" t="s">
        <v>33</v>
      </c>
    </row>
    <row r="11">
      <c r="A11" s="2" t="s">
        <v>35</v>
      </c>
      <c r="B11" s="2" t="s">
        <v>36</v>
      </c>
      <c r="D11" s="2" t="s">
        <v>37</v>
      </c>
      <c r="E11" s="3" t="s">
        <v>38</v>
      </c>
    </row>
    <row r="12">
      <c r="A12" s="2" t="s">
        <v>3</v>
      </c>
      <c r="B12" s="2" t="s">
        <v>39</v>
      </c>
      <c r="D12" s="2" t="s">
        <v>40</v>
      </c>
      <c r="E12" s="3" t="s">
        <v>41</v>
      </c>
    </row>
    <row r="13">
      <c r="D13" s="2" t="s">
        <v>42</v>
      </c>
      <c r="E13" s="3" t="s">
        <v>43</v>
      </c>
    </row>
    <row r="14">
      <c r="A14" s="1" t="s">
        <v>44</v>
      </c>
      <c r="B14" s="10"/>
      <c r="D14" s="2" t="s">
        <v>47</v>
      </c>
      <c r="E14" s="3" t="s">
        <v>52</v>
      </c>
    </row>
    <row r="15">
      <c r="A15" s="2" t="s">
        <v>55</v>
      </c>
      <c r="B15" s="13" t="s">
        <v>56</v>
      </c>
      <c r="D15" s="2" t="s">
        <v>59</v>
      </c>
      <c r="E15" s="3" t="s">
        <v>60</v>
      </c>
    </row>
    <row r="16">
      <c r="A16" s="15" t="s">
        <v>61</v>
      </c>
      <c r="B16" s="3" t="s">
        <v>63</v>
      </c>
    </row>
    <row r="17">
      <c r="A17" s="2" t="s">
        <v>64</v>
      </c>
      <c r="B17" s="3" t="s">
        <v>65</v>
      </c>
      <c r="D17" s="1" t="s">
        <v>66</v>
      </c>
      <c r="E17" s="10"/>
    </row>
    <row r="18">
      <c r="A18" s="2" t="s">
        <v>67</v>
      </c>
      <c r="B18" s="3" t="s">
        <v>68</v>
      </c>
      <c r="D18" s="2" t="s">
        <v>69</v>
      </c>
      <c r="E18" s="3" t="s">
        <v>70</v>
      </c>
    </row>
    <row r="19">
      <c r="D19" s="2" t="s">
        <v>71</v>
      </c>
      <c r="E19" s="3" t="s">
        <v>72</v>
      </c>
    </row>
    <row r="20">
      <c r="A20" s="1" t="s">
        <v>73</v>
      </c>
      <c r="B20" s="10"/>
      <c r="D20" s="2" t="s">
        <v>74</v>
      </c>
      <c r="E20" s="2" t="s">
        <v>76</v>
      </c>
    </row>
    <row r="21">
      <c r="A21" s="2" t="s">
        <v>77</v>
      </c>
      <c r="B21" s="18" t="s">
        <v>78</v>
      </c>
      <c r="D21" s="15" t="s">
        <v>81</v>
      </c>
      <c r="E21" s="2" t="s">
        <v>82</v>
      </c>
    </row>
    <row r="22">
      <c r="A22" s="2" t="s">
        <v>83</v>
      </c>
      <c r="B22" s="3" t="s">
        <v>84</v>
      </c>
      <c r="D22" s="15" t="s">
        <v>85</v>
      </c>
      <c r="E22" s="3" t="s">
        <v>87</v>
      </c>
    </row>
    <row r="23">
      <c r="A23" s="2" t="s">
        <v>88</v>
      </c>
      <c r="B23" s="3" t="s">
        <v>89</v>
      </c>
    </row>
    <row r="24">
      <c r="A24" s="2" t="s">
        <v>90</v>
      </c>
      <c r="B24" s="21" t="s">
        <v>91</v>
      </c>
      <c r="D24" s="1" t="s">
        <v>93</v>
      </c>
      <c r="E24" s="10"/>
    </row>
    <row r="25">
      <c r="A25" s="2" t="s">
        <v>94</v>
      </c>
      <c r="B25" s="23" t="s">
        <v>95</v>
      </c>
      <c r="D25" s="2" t="s">
        <v>96</v>
      </c>
      <c r="E25" s="3" t="s">
        <v>97</v>
      </c>
    </row>
    <row r="26">
      <c r="A26" s="2" t="s">
        <v>98</v>
      </c>
      <c r="B26" s="2" t="s">
        <v>99</v>
      </c>
      <c r="D26" s="2" t="s">
        <v>100</v>
      </c>
      <c r="E26" s="3" t="s">
        <v>101</v>
      </c>
    </row>
    <row r="27">
      <c r="D27" s="2" t="s">
        <v>102</v>
      </c>
      <c r="E27" s="3" t="s">
        <v>103</v>
      </c>
    </row>
    <row r="28">
      <c r="A28" s="1" t="s">
        <v>104</v>
      </c>
      <c r="B28" s="10"/>
      <c r="D28" s="2" t="s">
        <v>105</v>
      </c>
      <c r="E28" s="3" t="s">
        <v>106</v>
      </c>
    </row>
    <row r="29">
      <c r="A29" s="2" t="s">
        <v>107</v>
      </c>
      <c r="B29" s="2" t="s">
        <v>108</v>
      </c>
    </row>
    <row r="30">
      <c r="A30" s="2" t="s">
        <v>109</v>
      </c>
      <c r="B30" s="2" t="s">
        <v>110</v>
      </c>
    </row>
    <row r="31">
      <c r="A31" s="2" t="s">
        <v>111</v>
      </c>
      <c r="B31" s="2" t="s">
        <v>112</v>
      </c>
    </row>
    <row r="32">
      <c r="A32" s="15" t="s">
        <v>113</v>
      </c>
      <c r="B32" s="2" t="s">
        <v>114</v>
      </c>
    </row>
    <row r="33">
      <c r="A33" s="2" t="s">
        <v>115</v>
      </c>
      <c r="B33" s="2" t="s">
        <v>116</v>
      </c>
    </row>
    <row r="34">
      <c r="A34" s="2" t="s">
        <v>117</v>
      </c>
      <c r="B34" s="2" t="s">
        <v>118</v>
      </c>
    </row>
    <row r="35">
      <c r="A35" s="2" t="s">
        <v>121</v>
      </c>
      <c r="B35" s="2" t="s">
        <v>123</v>
      </c>
    </row>
    <row r="36">
      <c r="A36" s="2" t="s">
        <v>124</v>
      </c>
      <c r="B36" s="2" t="s">
        <v>125</v>
      </c>
    </row>
  </sheetData>
  <hyperlinks>
    <hyperlink r:id="rId1" ref="B2"/>
    <hyperlink r:id="rId2" location="/login" ref="E2"/>
    <hyperlink r:id="rId3" ref="B3"/>
    <hyperlink r:id="rId4" ref="B4"/>
    <hyperlink r:id="rId5" ref="E5"/>
    <hyperlink r:id="rId6" ref="E6"/>
    <hyperlink r:id="rId7" ref="E7"/>
    <hyperlink r:id="rId8" ref="E10"/>
    <hyperlink r:id="rId9" ref="E11"/>
    <hyperlink r:id="rId10" ref="E12"/>
    <hyperlink r:id="rId11" ref="E13"/>
    <hyperlink r:id="rId12" ref="E14"/>
    <hyperlink r:id="rId13" location="/c/20180/" ref="B15"/>
    <hyperlink r:id="rId14" ref="E15"/>
    <hyperlink r:id="rId15" ref="B16"/>
    <hyperlink r:id="rId16" ref="B17"/>
    <hyperlink r:id="rId17" ref="B18"/>
    <hyperlink r:id="rId18" ref="E18"/>
    <hyperlink r:id="rId19" ref="E19"/>
    <hyperlink r:id="rId20" ref="B21"/>
    <hyperlink r:id="rId21" location="/applications" ref="B22"/>
    <hyperlink r:id="rId22" ref="E22"/>
    <hyperlink r:id="rId23" ref="B23"/>
    <hyperlink r:id="rId24" ref="B24"/>
    <hyperlink r:id="rId25" ref="E25"/>
    <hyperlink r:id="rId26" ref="E26"/>
    <hyperlink r:id="rId27" ref="E27"/>
    <hyperlink r:id="rId28" ref="E28"/>
  </hyperlinks>
  <drawing r:id="rId2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9.29"/>
    <col customWidth="1" min="2" max="2" width="11.43"/>
    <col customWidth="1" min="3" max="3" width="8.57"/>
    <col customWidth="1" min="4" max="4" width="8.14"/>
    <col customWidth="1" min="5" max="5" width="11.0"/>
    <col customWidth="1" min="6" max="6" width="10.86"/>
    <col customWidth="1" min="7" max="7" width="10.14"/>
    <col customWidth="1" min="8" max="8" width="12.57"/>
    <col customWidth="1" min="9" max="9" width="7.14"/>
    <col customWidth="1" min="10" max="10" width="10.29"/>
    <col customWidth="1" min="11" max="11" width="14.29"/>
  </cols>
  <sheetData>
    <row r="1">
      <c r="A1" s="239" t="s">
        <v>7241</v>
      </c>
      <c r="B1" s="1" t="s">
        <v>7622</v>
      </c>
      <c r="C1" s="239" t="s">
        <v>7469</v>
      </c>
      <c r="D1" s="239" t="s">
        <v>7623</v>
      </c>
      <c r="E1" s="239" t="s">
        <v>7471</v>
      </c>
      <c r="F1" s="239" t="s">
        <v>7223</v>
      </c>
      <c r="G1" s="239" t="s">
        <v>7624</v>
      </c>
      <c r="H1" s="239" t="s">
        <v>7472</v>
      </c>
      <c r="I1" s="239" t="s">
        <v>7625</v>
      </c>
      <c r="J1" s="239" t="s">
        <v>7626</v>
      </c>
      <c r="K1" s="239" t="s">
        <v>7627</v>
      </c>
      <c r="L1" s="1"/>
      <c r="M1" s="10"/>
      <c r="N1" s="10"/>
      <c r="O1" s="10"/>
      <c r="P1" s="10"/>
      <c r="Q1" s="10"/>
      <c r="R1" s="10"/>
      <c r="S1" s="10"/>
      <c r="T1" s="10"/>
      <c r="U1" s="10"/>
      <c r="V1" s="10"/>
      <c r="W1" s="10"/>
    </row>
    <row r="2">
      <c r="A2" s="240" t="s">
        <v>7629</v>
      </c>
      <c r="B2" s="240" t="s">
        <v>7479</v>
      </c>
      <c r="C2" s="241">
        <f t="shared" ref="C2:C28" si="1">IFERROR(__xludf.DUMMYFUNCTION("split(A2,""_"")"),"1103367")</f>
        <v>1103367</v>
      </c>
      <c r="D2" s="241">
        <f>IFERROR(__xludf.DUMMYFUNCTION("""COMPUTED_VALUE"""),"9906982")</f>
        <v>9906982</v>
      </c>
      <c r="E2" s="241" t="str">
        <f>IFERROR(__xludf.DUMMYFUNCTION("""COMPUTED_VALUE"""),"AR7582")</f>
        <v>AR7582</v>
      </c>
      <c r="F2" s="241" t="str">
        <f>IFERROR(__xludf.DUMMYFUNCTION("""COMPUTED_VALUE"""),"00.17.04.00")</f>
        <v>00.17.04.00</v>
      </c>
      <c r="G2" s="241">
        <f>IFERROR(__xludf.DUMMYFUNCTION("""COMPUTED_VALUE"""),"0")</f>
        <v>0</v>
      </c>
      <c r="H2" s="241" t="str">
        <f>IFERROR(__xludf.DUMMYFUNCTION("""COMPUTED_VALUE"""),"VW")</f>
        <v>VW</v>
      </c>
      <c r="I2" s="241">
        <f>IFERROR(__xludf.DUMMYFUNCTION("""COMPUTED_VALUE"""),"1.024")</f>
        <v>1.024</v>
      </c>
      <c r="J2" s="241">
        <f>IFERROR(__xludf.DUMMYFUNCTION("""COMPUTED_VALUE"""),"0")</f>
        <v>0</v>
      </c>
      <c r="K2" s="241">
        <f>IFERROR(__xludf.DUMMYFUNCTION("""COMPUTED_VALUE"""),"101103367")</f>
        <v>101103367</v>
      </c>
    </row>
    <row r="3">
      <c r="A3" s="240" t="s">
        <v>7634</v>
      </c>
      <c r="B3" s="240" t="s">
        <v>7479</v>
      </c>
      <c r="C3" s="241">
        <f t="shared" si="1"/>
        <v>1103379</v>
      </c>
      <c r="D3" s="241">
        <f>IFERROR(__xludf.DUMMYFUNCTION("""COMPUTED_VALUE"""),"9907000")</f>
        <v>9907000</v>
      </c>
      <c r="E3" s="241" t="str">
        <f>IFERROR(__xludf.DUMMYFUNCTION("""COMPUTED_VALUE"""),"AR7582")</f>
        <v>AR7582</v>
      </c>
      <c r="F3" s="241" t="str">
        <f>IFERROR(__xludf.DUMMYFUNCTION("""COMPUTED_VALUE"""),"00.12.06.00")</f>
        <v>00.12.06.00</v>
      </c>
      <c r="G3" s="241">
        <f>IFERROR(__xludf.DUMMYFUNCTION("""COMPUTED_VALUE"""),"0")</f>
        <v>0</v>
      </c>
      <c r="H3" s="241" t="str">
        <f>IFERROR(__xludf.DUMMYFUNCTION("""COMPUTED_VALUE"""),"Ficosa")</f>
        <v>Ficosa</v>
      </c>
      <c r="I3" s="241">
        <f>IFERROR(__xludf.DUMMYFUNCTION("""COMPUTED_VALUE"""),"1.009")</f>
        <v>1.009</v>
      </c>
      <c r="J3" s="241">
        <f>IFERROR(__xludf.DUMMYFUNCTION("""COMPUTED_VALUE"""),"0")</f>
        <v>0</v>
      </c>
      <c r="K3" s="241">
        <f>IFERROR(__xludf.DUMMYFUNCTION("""COMPUTED_VALUE"""),"101103379")</f>
        <v>101103379</v>
      </c>
    </row>
    <row r="4">
      <c r="A4" s="240" t="s">
        <v>7636</v>
      </c>
      <c r="B4" s="242" t="s">
        <v>7637</v>
      </c>
      <c r="C4" s="241">
        <f t="shared" si="1"/>
        <v>1103963</v>
      </c>
      <c r="D4" s="241">
        <f>IFERROR(__xludf.DUMMYFUNCTION("""COMPUTED_VALUE"""),"9908155")</f>
        <v>9908155</v>
      </c>
      <c r="E4" s="241" t="str">
        <f>IFERROR(__xludf.DUMMYFUNCTION("""COMPUTED_VALUE"""),"AR7582")</f>
        <v>AR7582</v>
      </c>
      <c r="F4" s="241" t="str">
        <f>IFERROR(__xludf.DUMMYFUNCTION("""COMPUTED_VALUE"""),"01.01.01.00")</f>
        <v>01.01.01.00</v>
      </c>
      <c r="G4" s="241">
        <f>IFERROR(__xludf.DUMMYFUNCTION("""COMPUTED_VALUE"""),"0")</f>
        <v>0</v>
      </c>
      <c r="H4" s="241" t="str">
        <f>IFERROR(__xludf.DUMMYFUNCTION("""COMPUTED_VALUE"""),"MM")</f>
        <v>MM</v>
      </c>
      <c r="I4" s="241">
        <f>IFERROR(__xludf.DUMMYFUNCTION("""COMPUTED_VALUE"""),"1.003")</f>
        <v>1.003</v>
      </c>
      <c r="J4" s="241">
        <f>IFERROR(__xludf.DUMMYFUNCTION("""COMPUTED_VALUE"""),"0")</f>
        <v>0</v>
      </c>
      <c r="K4" s="241">
        <f>IFERROR(__xludf.DUMMYFUNCTION("""COMPUTED_VALUE"""),"101103963")</f>
        <v>101103963</v>
      </c>
    </row>
    <row r="5">
      <c r="A5" s="240" t="s">
        <v>7639</v>
      </c>
      <c r="B5" s="240" t="s">
        <v>7479</v>
      </c>
      <c r="C5" s="241">
        <f t="shared" si="1"/>
        <v>1103151</v>
      </c>
      <c r="D5" s="241">
        <f>IFERROR(__xludf.DUMMYFUNCTION("""COMPUTED_VALUE"""),"9906435")</f>
        <v>9906435</v>
      </c>
      <c r="E5" s="241" t="str">
        <f>IFERROR(__xludf.DUMMYFUNCTION("""COMPUTED_VALUE"""),"AR7584")</f>
        <v>AR7584</v>
      </c>
      <c r="F5" s="241" t="str">
        <f>IFERROR(__xludf.DUMMYFUNCTION("""COMPUTED_VALUE"""),"00.18.03.00")</f>
        <v>00.18.03.00</v>
      </c>
      <c r="G5" s="241">
        <f>IFERROR(__xludf.DUMMYFUNCTION("""COMPUTED_VALUE"""),"0")</f>
        <v>0</v>
      </c>
      <c r="H5" s="241" t="str">
        <f>IFERROR(__xludf.DUMMYFUNCTION("""COMPUTED_VALUE"""),"VW")</f>
        <v>VW</v>
      </c>
      <c r="I5" s="241">
        <f>IFERROR(__xludf.DUMMYFUNCTION("""COMPUTED_VALUE"""),"1.018")</f>
        <v>1.018</v>
      </c>
      <c r="J5" s="241">
        <f>IFERROR(__xludf.DUMMYFUNCTION("""COMPUTED_VALUE"""),"0")</f>
        <v>0</v>
      </c>
      <c r="K5" s="241">
        <f>IFERROR(__xludf.DUMMYFUNCTION("""COMPUTED_VALUE"""),"101103151")</f>
        <v>101103151</v>
      </c>
    </row>
    <row r="6">
      <c r="A6" s="243" t="s">
        <v>7640</v>
      </c>
      <c r="B6" s="243" t="s">
        <v>7643</v>
      </c>
      <c r="C6" s="244">
        <f t="shared" si="1"/>
        <v>1103831</v>
      </c>
      <c r="D6" s="244">
        <f>IFERROR(__xludf.DUMMYFUNCTION("""COMPUTED_VALUE"""),"9907853")</f>
        <v>9907853</v>
      </c>
      <c r="E6" s="244" t="str">
        <f>IFERROR(__xludf.DUMMYFUNCTION("""COMPUTED_VALUE"""),"AR7584")</f>
        <v>AR7584</v>
      </c>
      <c r="F6" s="244" t="str">
        <f>IFERROR(__xludf.DUMMYFUNCTION("""COMPUTED_VALUE"""),"01.02.01.00")</f>
        <v>01.02.01.00</v>
      </c>
      <c r="G6" s="244">
        <f>IFERROR(__xludf.DUMMYFUNCTION("""COMPUTED_VALUE"""),"0")</f>
        <v>0</v>
      </c>
      <c r="H6" s="244" t="str">
        <f>IFERROR(__xludf.DUMMYFUNCTION("""COMPUTED_VALUE"""),"Ficosa")</f>
        <v>Ficosa</v>
      </c>
      <c r="I6" s="244">
        <f>IFERROR(__xludf.DUMMYFUNCTION("""COMPUTED_VALUE"""),"2.002")</f>
        <v>2.002</v>
      </c>
      <c r="J6" s="244">
        <f>IFERROR(__xludf.DUMMYFUNCTION("""COMPUTED_VALUE"""),"0")</f>
        <v>0</v>
      </c>
      <c r="K6" s="244">
        <f>IFERROR(__xludf.DUMMYFUNCTION("""COMPUTED_VALUE"""),"101103378")</f>
        <v>101103378</v>
      </c>
    </row>
    <row r="7">
      <c r="A7" s="243" t="s">
        <v>7646</v>
      </c>
      <c r="B7" s="243" t="s">
        <v>7643</v>
      </c>
      <c r="C7" s="244">
        <f t="shared" si="1"/>
        <v>1103378</v>
      </c>
      <c r="D7" s="244">
        <f>IFERROR(__xludf.DUMMYFUNCTION("""COMPUTED_VALUE"""),"9906998")</f>
        <v>9906998</v>
      </c>
      <c r="E7" s="244" t="str">
        <f>IFERROR(__xludf.DUMMYFUNCTION("""COMPUTED_VALUE"""),"AR7584")</f>
        <v>AR7584</v>
      </c>
      <c r="F7" s="244" t="str">
        <f>IFERROR(__xludf.DUMMYFUNCTION("""COMPUTED_VALUE"""),"01.00.19.00")</f>
        <v>01.00.19.00</v>
      </c>
      <c r="G7" s="244">
        <f>IFERROR(__xludf.DUMMYFUNCTION("""COMPUTED_VALUE"""),"0")</f>
        <v>0</v>
      </c>
      <c r="H7" s="244" t="str">
        <f>IFERROR(__xludf.DUMMYFUNCTION("""COMPUTED_VALUE"""),"Ficosa")</f>
        <v>Ficosa</v>
      </c>
      <c r="I7" s="244">
        <f>IFERROR(__xludf.DUMMYFUNCTION("""COMPUTED_VALUE"""),"1.011")</f>
        <v>1.011</v>
      </c>
      <c r="J7" s="244">
        <f>IFERROR(__xludf.DUMMYFUNCTION("""COMPUTED_VALUE"""),"0")</f>
        <v>0</v>
      </c>
      <c r="K7" s="244">
        <f>IFERROR(__xludf.DUMMYFUNCTION("""COMPUTED_VALUE"""),"101103378")</f>
        <v>101103378</v>
      </c>
    </row>
    <row r="8">
      <c r="A8" s="243" t="s">
        <v>7647</v>
      </c>
      <c r="B8" s="243" t="s">
        <v>7479</v>
      </c>
      <c r="C8" s="244">
        <f t="shared" si="1"/>
        <v>1103372</v>
      </c>
      <c r="D8" s="244">
        <f>IFERROR(__xludf.DUMMYFUNCTION("""COMPUTED_VALUE"""),"9906987")</f>
        <v>9906987</v>
      </c>
      <c r="E8" s="244" t="str">
        <f>IFERROR(__xludf.DUMMYFUNCTION("""COMPUTED_VALUE"""),"AR7584")</f>
        <v>AR7584</v>
      </c>
      <c r="F8" s="244" t="str">
        <f>IFERROR(__xludf.DUMMYFUNCTION("""COMPUTED_VALUE"""),"00.12.06.00")</f>
        <v>00.12.06.00</v>
      </c>
      <c r="G8" s="244">
        <f>IFERROR(__xludf.DUMMYFUNCTION("""COMPUTED_VALUE"""),"0")</f>
        <v>0</v>
      </c>
      <c r="H8" s="244" t="str">
        <f>IFERROR(__xludf.DUMMYFUNCTION("""COMPUTED_VALUE"""),"Generic")</f>
        <v>Generic</v>
      </c>
      <c r="I8" s="244">
        <f>IFERROR(__xludf.DUMMYFUNCTION("""COMPUTED_VALUE"""),"1.009")</f>
        <v>1.009</v>
      </c>
      <c r="J8" s="244">
        <f>IFERROR(__xludf.DUMMYFUNCTION("""COMPUTED_VALUE"""),"0")</f>
        <v>0</v>
      </c>
      <c r="K8" s="244">
        <f>IFERROR(__xludf.DUMMYFUNCTION("""COMPUTED_VALUE"""),"101103378")</f>
        <v>101103378</v>
      </c>
    </row>
    <row r="9">
      <c r="A9" s="240" t="s">
        <v>7648</v>
      </c>
      <c r="B9" s="240" t="s">
        <v>7637</v>
      </c>
      <c r="C9" s="241">
        <f t="shared" si="1"/>
        <v>1103964</v>
      </c>
      <c r="D9" s="241">
        <f>IFERROR(__xludf.DUMMYFUNCTION("""COMPUTED_VALUE"""),"9908156")</f>
        <v>9908156</v>
      </c>
      <c r="E9" s="241" t="str">
        <f>IFERROR(__xludf.DUMMYFUNCTION("""COMPUTED_VALUE"""),"AR7584")</f>
        <v>AR7584</v>
      </c>
      <c r="F9" s="241" t="str">
        <f>IFERROR(__xludf.DUMMYFUNCTION("""COMPUTED_VALUE"""),"01.01.05.00")</f>
        <v>01.01.05.00</v>
      </c>
      <c r="G9" s="241">
        <f>IFERROR(__xludf.DUMMYFUNCTION("""COMPUTED_VALUE"""),"0")</f>
        <v>0</v>
      </c>
      <c r="H9" s="241" t="str">
        <f>IFERROR(__xludf.DUMMYFUNCTION("""COMPUTED_VALUE"""),"MM")</f>
        <v>MM</v>
      </c>
      <c r="I9" s="241">
        <f>IFERROR(__xludf.DUMMYFUNCTION("""COMPUTED_VALUE"""),"1.01")</f>
        <v>1.01</v>
      </c>
      <c r="J9" s="241">
        <f>IFERROR(__xludf.DUMMYFUNCTION("""COMPUTED_VALUE"""),"0")</f>
        <v>0</v>
      </c>
      <c r="K9" s="241">
        <f>IFERROR(__xludf.DUMMYFUNCTION("""COMPUTED_VALUE"""),"101103964")</f>
        <v>101103964</v>
      </c>
    </row>
    <row r="10">
      <c r="A10" s="240" t="s">
        <v>7651</v>
      </c>
      <c r="B10" s="240" t="s">
        <v>7479</v>
      </c>
      <c r="C10" s="241">
        <f t="shared" si="1"/>
        <v>1103223</v>
      </c>
      <c r="D10" s="241">
        <f>IFERROR(__xludf.DUMMYFUNCTION("""COMPUTED_VALUE"""),"9906693")</f>
        <v>9906693</v>
      </c>
      <c r="E10" s="241" t="str">
        <f>IFERROR(__xludf.DUMMYFUNCTION("""COMPUTED_VALUE"""),"AR7586")</f>
        <v>AR7586</v>
      </c>
      <c r="F10" s="241" t="str">
        <f>IFERROR(__xludf.DUMMYFUNCTION("""COMPUTED_VALUE"""),"00.18.03.00")</f>
        <v>00.18.03.00</v>
      </c>
      <c r="G10" s="241">
        <f>IFERROR(__xludf.DUMMYFUNCTION("""COMPUTED_VALUE"""),"0")</f>
        <v>0</v>
      </c>
      <c r="H10" s="241" t="str">
        <f>IFERROR(__xludf.DUMMYFUNCTION("""COMPUTED_VALUE"""),"VW")</f>
        <v>VW</v>
      </c>
      <c r="I10" s="241">
        <f>IFERROR(__xludf.DUMMYFUNCTION("""COMPUTED_VALUE"""),"1.022")</f>
        <v>1.022</v>
      </c>
      <c r="J10" s="241">
        <f>IFERROR(__xludf.DUMMYFUNCTION("""COMPUTED_VALUE"""),"0")</f>
        <v>0</v>
      </c>
      <c r="K10" s="241">
        <f>IFERROR(__xludf.DUMMYFUNCTION("""COMPUTED_VALUE"""),"101103223")</f>
        <v>101103223</v>
      </c>
    </row>
    <row r="11">
      <c r="A11" s="240" t="s">
        <v>7652</v>
      </c>
      <c r="B11" s="240" t="s">
        <v>7637</v>
      </c>
      <c r="C11" s="241">
        <f t="shared" si="1"/>
        <v>1103965</v>
      </c>
      <c r="D11" s="241">
        <f>IFERROR(__xludf.DUMMYFUNCTION("""COMPUTED_VALUE"""),"9908157")</f>
        <v>9908157</v>
      </c>
      <c r="E11" s="241" t="str">
        <f>IFERROR(__xludf.DUMMYFUNCTION("""COMPUTED_VALUE"""),"AR7586")</f>
        <v>AR7586</v>
      </c>
      <c r="F11" s="241" t="str">
        <f>IFERROR(__xludf.DUMMYFUNCTION("""COMPUTED_VALUE"""),"01.00.33.00")</f>
        <v>01.00.33.00</v>
      </c>
      <c r="G11" s="241">
        <f>IFERROR(__xludf.DUMMYFUNCTION("""COMPUTED_VALUE"""),"0")</f>
        <v>0</v>
      </c>
      <c r="H11" s="241" t="str">
        <f>IFERROR(__xludf.DUMMYFUNCTION("""COMPUTED_VALUE"""),"MM")</f>
        <v>MM</v>
      </c>
      <c r="I11" s="241">
        <f>IFERROR(__xludf.DUMMYFUNCTION("""COMPUTED_VALUE"""),"1.002")</f>
        <v>1.002</v>
      </c>
      <c r="J11" s="241">
        <f>IFERROR(__xludf.DUMMYFUNCTION("""COMPUTED_VALUE"""),"0")</f>
        <v>0</v>
      </c>
      <c r="K11" s="241">
        <f>IFERROR(__xludf.DUMMYFUNCTION("""COMPUTED_VALUE"""),"101103965")</f>
        <v>101103965</v>
      </c>
    </row>
    <row r="12">
      <c r="A12" s="240" t="s">
        <v>7653</v>
      </c>
      <c r="B12" s="240" t="s">
        <v>7479</v>
      </c>
      <c r="C12" s="241">
        <f t="shared" si="1"/>
        <v>1103494</v>
      </c>
      <c r="D12" s="241">
        <f>IFERROR(__xludf.DUMMYFUNCTION("""COMPUTED_VALUE"""),"9907253")</f>
        <v>9907253</v>
      </c>
      <c r="E12" s="241" t="str">
        <f>IFERROR(__xludf.DUMMYFUNCTION("""COMPUTED_VALUE"""),"AR7588")</f>
        <v>AR7588</v>
      </c>
      <c r="F12" s="241" t="str">
        <f>IFERROR(__xludf.DUMMYFUNCTION("""COMPUTED_VALUE"""),"00.16.02.00")</f>
        <v>00.16.02.00</v>
      </c>
      <c r="G12" s="241">
        <f>IFERROR(__xludf.DUMMYFUNCTION("""COMPUTED_VALUE"""),"0")</f>
        <v>0</v>
      </c>
      <c r="H12" s="241" t="str">
        <f>IFERROR(__xludf.DUMMYFUNCTION("""COMPUTED_VALUE"""),"VW")</f>
        <v>VW</v>
      </c>
      <c r="I12" s="241">
        <f>IFERROR(__xludf.DUMMYFUNCTION("""COMPUTED_VALUE"""),"1.014")</f>
        <v>1.014</v>
      </c>
      <c r="J12" s="241">
        <f>IFERROR(__xludf.DUMMYFUNCTION("""COMPUTED_VALUE"""),"0")</f>
        <v>0</v>
      </c>
      <c r="K12" s="241">
        <f>IFERROR(__xludf.DUMMYFUNCTION("""COMPUTED_VALUE"""),"101103494")</f>
        <v>101103494</v>
      </c>
    </row>
    <row r="13">
      <c r="A13" s="240" t="s">
        <v>7657</v>
      </c>
      <c r="B13" s="240" t="s">
        <v>7484</v>
      </c>
      <c r="C13" s="241">
        <f t="shared" si="1"/>
        <v>1103102</v>
      </c>
      <c r="D13" s="241">
        <f>IFERROR(__xludf.DUMMYFUNCTION("""COMPUTED_VALUE"""),"9906297")</f>
        <v>9906297</v>
      </c>
      <c r="E13" s="241" t="str">
        <f>IFERROR(__xludf.DUMMYFUNCTION("""COMPUTED_VALUE"""),"AR7592")</f>
        <v>AR7592</v>
      </c>
      <c r="F13" s="241" t="str">
        <f>IFERROR(__xludf.DUMMYFUNCTION("""COMPUTED_VALUE"""),"01.13.03.00")</f>
        <v>01.13.03.00</v>
      </c>
      <c r="G13" s="241">
        <f>IFERROR(__xludf.DUMMYFUNCTION("""COMPUTED_VALUE"""),"0")</f>
        <v>0</v>
      </c>
      <c r="H13" s="241" t="str">
        <f>IFERROR(__xludf.DUMMYFUNCTION("""COMPUTED_VALUE"""),"Generic")</f>
        <v>Generic</v>
      </c>
      <c r="I13" s="241">
        <f>IFERROR(__xludf.DUMMYFUNCTION("""COMPUTED_VALUE"""),"1.005")</f>
        <v>1.005</v>
      </c>
      <c r="J13" s="241">
        <f>IFERROR(__xludf.DUMMYFUNCTION("""COMPUTED_VALUE"""),"0")</f>
        <v>0</v>
      </c>
      <c r="K13" s="241">
        <f>IFERROR(__xludf.DUMMYFUNCTION("""COMPUTED_VALUE"""),"101103102")</f>
        <v>101103102</v>
      </c>
    </row>
    <row r="14">
      <c r="A14" s="243" t="s">
        <v>7659</v>
      </c>
      <c r="B14" s="243" t="s">
        <v>7501</v>
      </c>
      <c r="C14" s="244">
        <f t="shared" si="1"/>
        <v>1103992</v>
      </c>
      <c r="D14" s="244">
        <f>IFERROR(__xludf.DUMMYFUNCTION("""COMPUTED_VALUE"""),"9908132")</f>
        <v>9908132</v>
      </c>
      <c r="E14" s="244" t="str">
        <f>IFERROR(__xludf.DUMMYFUNCTION("""COMPUTED_VALUE"""),"AR7592")</f>
        <v>AR7592</v>
      </c>
      <c r="F14" s="244" t="str">
        <f>IFERROR(__xludf.DUMMYFUNCTION("""COMPUTED_VALUE"""),"02.03.07.00")</f>
        <v>02.03.07.00</v>
      </c>
      <c r="G14" s="244">
        <f>IFERROR(__xludf.DUMMYFUNCTION("""COMPUTED_VALUE"""),"0")</f>
        <v>0</v>
      </c>
      <c r="H14" s="244" t="str">
        <f>IFERROR(__xludf.DUMMYFUNCTION("""COMPUTED_VALUE"""),"VW")</f>
        <v>VW</v>
      </c>
      <c r="I14" s="244">
        <f>IFERROR(__xludf.DUMMYFUNCTION("""COMPUTED_VALUE"""),"2.001")</f>
        <v>2.001</v>
      </c>
      <c r="J14" s="244">
        <f>IFERROR(__xludf.DUMMYFUNCTION("""COMPUTED_VALUE"""),"0")</f>
        <v>0</v>
      </c>
      <c r="K14" s="244">
        <f>IFERROR(__xludf.DUMMYFUNCTION("""COMPUTED_VALUE"""),"101103210")</f>
        <v>101103210</v>
      </c>
    </row>
    <row r="15">
      <c r="A15" s="243" t="s">
        <v>7660</v>
      </c>
      <c r="B15" s="243" t="s">
        <v>7484</v>
      </c>
      <c r="C15" s="244">
        <f t="shared" si="1"/>
        <v>1103210</v>
      </c>
      <c r="D15" s="244">
        <f>IFERROR(__xludf.DUMMYFUNCTION("""COMPUTED_VALUE"""),"9906623")</f>
        <v>9906623</v>
      </c>
      <c r="E15" s="244" t="str">
        <f>IFERROR(__xludf.DUMMYFUNCTION("""COMPUTED_VALUE"""),"AR7592")</f>
        <v>AR7592</v>
      </c>
      <c r="F15" s="244" t="str">
        <f>IFERROR(__xludf.DUMMYFUNCTION("""COMPUTED_VALUE"""),"01.18.01.00")</f>
        <v>01.18.01.00</v>
      </c>
      <c r="G15" s="244">
        <f>IFERROR(__xludf.DUMMYFUNCTION("""COMPUTED_VALUE"""),"0")</f>
        <v>0</v>
      </c>
      <c r="H15" s="244" t="str">
        <f>IFERROR(__xludf.DUMMYFUNCTION("""COMPUTED_VALUE"""),"VW")</f>
        <v>VW</v>
      </c>
      <c r="I15" s="244">
        <f>IFERROR(__xludf.DUMMYFUNCTION("""COMPUTED_VALUE"""),"1.022")</f>
        <v>1.022</v>
      </c>
      <c r="J15" s="244">
        <f>IFERROR(__xludf.DUMMYFUNCTION("""COMPUTED_VALUE"""),"0")</f>
        <v>0</v>
      </c>
      <c r="K15" s="244">
        <f>IFERROR(__xludf.DUMMYFUNCTION("""COMPUTED_VALUE"""),"101103210")</f>
        <v>101103210</v>
      </c>
    </row>
    <row r="16">
      <c r="A16" s="240" t="s">
        <v>7661</v>
      </c>
      <c r="B16" s="240" t="s">
        <v>7484</v>
      </c>
      <c r="C16" s="241">
        <f t="shared" si="1"/>
        <v>1103049</v>
      </c>
      <c r="D16" s="241">
        <f>IFERROR(__xludf.DUMMYFUNCTION("""COMPUTED_VALUE"""),"9906093")</f>
        <v>9906093</v>
      </c>
      <c r="E16" s="241" t="str">
        <f>IFERROR(__xludf.DUMMYFUNCTION("""COMPUTED_VALUE"""),"AR7594")</f>
        <v>AR7594</v>
      </c>
      <c r="F16" s="241" t="str">
        <f>IFERROR(__xludf.DUMMYFUNCTION("""COMPUTED_VALUE"""),"01.13.03.00")</f>
        <v>01.13.03.00</v>
      </c>
      <c r="G16" s="241">
        <f>IFERROR(__xludf.DUMMYFUNCTION("""COMPUTED_VALUE"""),"0")</f>
        <v>0</v>
      </c>
      <c r="H16" s="241" t="str">
        <f>IFERROR(__xludf.DUMMYFUNCTION("""COMPUTED_VALUE"""),"Generic")</f>
        <v>Generic</v>
      </c>
      <c r="I16" s="241">
        <f>IFERROR(__xludf.DUMMYFUNCTION("""COMPUTED_VALUE"""),"1.005")</f>
        <v>1.005</v>
      </c>
      <c r="J16" s="241">
        <f>IFERROR(__xludf.DUMMYFUNCTION("""COMPUTED_VALUE"""),"0")</f>
        <v>0</v>
      </c>
      <c r="K16" s="241">
        <f>IFERROR(__xludf.DUMMYFUNCTION("""COMPUTED_VALUE"""),"101103049")</f>
        <v>101103049</v>
      </c>
    </row>
    <row r="17">
      <c r="A17" s="243" t="s">
        <v>7664</v>
      </c>
      <c r="B17" s="243" t="s">
        <v>7501</v>
      </c>
      <c r="C17" s="244">
        <f t="shared" si="1"/>
        <v>1103993</v>
      </c>
      <c r="D17" s="244">
        <f>IFERROR(__xludf.DUMMYFUNCTION("""COMPUTED_VALUE"""),"9908133")</f>
        <v>9908133</v>
      </c>
      <c r="E17" s="244" t="str">
        <f>IFERROR(__xludf.DUMMYFUNCTION("""COMPUTED_VALUE"""),"AR7594")</f>
        <v>AR7594</v>
      </c>
      <c r="F17" s="244" t="str">
        <f>IFERROR(__xludf.DUMMYFUNCTION("""COMPUTED_VALUE"""),"02.03.09.00")</f>
        <v>02.03.09.00</v>
      </c>
      <c r="G17" s="244">
        <f>IFERROR(__xludf.DUMMYFUNCTION("""COMPUTED_VALUE"""),"0")</f>
        <v>0</v>
      </c>
      <c r="H17" s="244" t="str">
        <f>IFERROR(__xludf.DUMMYFUNCTION("""COMPUTED_VALUE"""),"VW")</f>
        <v>VW</v>
      </c>
      <c r="I17" s="244">
        <f>IFERROR(__xludf.DUMMYFUNCTION("""COMPUTED_VALUE"""),"2.005")</f>
        <v>2.005</v>
      </c>
      <c r="J17" s="244">
        <f>IFERROR(__xludf.DUMMYFUNCTION("""COMPUTED_VALUE"""),"0")</f>
        <v>0</v>
      </c>
      <c r="K17" s="244">
        <f>IFERROR(__xludf.DUMMYFUNCTION("""COMPUTED_VALUE"""),"101103204")</f>
        <v>101103204</v>
      </c>
    </row>
    <row r="18">
      <c r="A18" s="243" t="s">
        <v>7665</v>
      </c>
      <c r="B18" s="243" t="s">
        <v>7484</v>
      </c>
      <c r="C18" s="244">
        <f t="shared" si="1"/>
        <v>1103204</v>
      </c>
      <c r="D18" s="244">
        <f>IFERROR(__xludf.DUMMYFUNCTION("""COMPUTED_VALUE"""),"9906619")</f>
        <v>9906619</v>
      </c>
      <c r="E18" s="244" t="str">
        <f>IFERROR(__xludf.DUMMYFUNCTION("""COMPUTED_VALUE"""),"AR7594")</f>
        <v>AR7594</v>
      </c>
      <c r="F18" s="244" t="str">
        <f>IFERROR(__xludf.DUMMYFUNCTION("""COMPUTED_VALUE"""),"01.16.07.04")</f>
        <v>01.16.07.04</v>
      </c>
      <c r="G18" s="244">
        <f>IFERROR(__xludf.DUMMYFUNCTION("""COMPUTED_VALUE"""),"0")</f>
        <v>0</v>
      </c>
      <c r="H18" s="244" t="str">
        <f>IFERROR(__xludf.DUMMYFUNCTION("""COMPUTED_VALUE"""),"VW")</f>
        <v>VW</v>
      </c>
      <c r="I18" s="244">
        <f>IFERROR(__xludf.DUMMYFUNCTION("""COMPUTED_VALUE"""),"1.026")</f>
        <v>1.026</v>
      </c>
      <c r="J18" s="244">
        <f>IFERROR(__xludf.DUMMYFUNCTION("""COMPUTED_VALUE"""),"0")</f>
        <v>0</v>
      </c>
      <c r="K18" s="244">
        <f>IFERROR(__xludf.DUMMYFUNCTION("""COMPUTED_VALUE"""),"101103204")</f>
        <v>101103204</v>
      </c>
    </row>
    <row r="19">
      <c r="A19" s="245" t="s">
        <v>7666</v>
      </c>
      <c r="B19" s="245" t="s">
        <v>7501</v>
      </c>
      <c r="C19" s="246">
        <f t="shared" si="1"/>
        <v>1103996</v>
      </c>
      <c r="D19" s="246">
        <f>IFERROR(__xludf.DUMMYFUNCTION("""COMPUTED_VALUE"""),"9908136")</f>
        <v>9908136</v>
      </c>
      <c r="E19" s="246" t="str">
        <f>IFERROR(__xludf.DUMMYFUNCTION("""COMPUTED_VALUE"""),"AR7596")</f>
        <v>AR7596</v>
      </c>
      <c r="F19" s="246" t="str">
        <f>IFERROR(__xludf.DUMMYFUNCTION("""COMPUTED_VALUE"""),"01.13.03.00")</f>
        <v>01.13.03.00</v>
      </c>
      <c r="G19" s="246">
        <f>IFERROR(__xludf.DUMMYFUNCTION("""COMPUTED_VALUE"""),"0")</f>
        <v>0</v>
      </c>
      <c r="H19" s="246" t="str">
        <f>IFERROR(__xludf.DUMMYFUNCTION("""COMPUTED_VALUE"""),"VW")</f>
        <v>VW</v>
      </c>
      <c r="I19" s="246">
        <f>IFERROR(__xludf.DUMMYFUNCTION("""COMPUTED_VALUE"""),"1")</f>
        <v>1</v>
      </c>
      <c r="J19" s="246">
        <f>IFERROR(__xludf.DUMMYFUNCTION("""COMPUTED_VALUE"""),"0")</f>
        <v>0</v>
      </c>
      <c r="K19" s="246">
        <f>IFERROR(__xludf.DUMMYFUNCTION("""COMPUTED_VALUE"""),"101103207")</f>
        <v>101103207</v>
      </c>
    </row>
    <row r="20">
      <c r="A20" s="245" t="s">
        <v>7671</v>
      </c>
      <c r="B20" s="245" t="s">
        <v>7484</v>
      </c>
      <c r="C20" s="246">
        <f t="shared" si="1"/>
        <v>1103207</v>
      </c>
      <c r="D20" s="246">
        <f>IFERROR(__xludf.DUMMYFUNCTION("""COMPUTED_VALUE"""),"9906620")</f>
        <v>9906620</v>
      </c>
      <c r="E20" s="246" t="str">
        <f>IFERROR(__xludf.DUMMYFUNCTION("""COMPUTED_VALUE"""),"AR7596")</f>
        <v>AR7596</v>
      </c>
      <c r="F20" s="246" t="str">
        <f>IFERROR(__xludf.DUMMYFUNCTION("""COMPUTED_VALUE"""),"01.16.07.04")</f>
        <v>01.16.07.04</v>
      </c>
      <c r="G20" s="246">
        <f>IFERROR(__xludf.DUMMYFUNCTION("""COMPUTED_VALUE"""),"0")</f>
        <v>0</v>
      </c>
      <c r="H20" s="246" t="str">
        <f>IFERROR(__xludf.DUMMYFUNCTION("""COMPUTED_VALUE"""),"VW")</f>
        <v>VW</v>
      </c>
      <c r="I20" s="246">
        <f>IFERROR(__xludf.DUMMYFUNCTION("""COMPUTED_VALUE"""),"1.01")</f>
        <v>1.01</v>
      </c>
      <c r="J20" s="246">
        <f>IFERROR(__xludf.DUMMYFUNCTION("""COMPUTED_VALUE"""),"0")</f>
        <v>0</v>
      </c>
      <c r="K20" s="246">
        <f>IFERROR(__xludf.DUMMYFUNCTION("""COMPUTED_VALUE"""),"101103207")</f>
        <v>101103207</v>
      </c>
    </row>
    <row r="21">
      <c r="A21" s="243" t="s">
        <v>7674</v>
      </c>
      <c r="B21" s="243" t="s">
        <v>7484</v>
      </c>
      <c r="C21" s="244">
        <f t="shared" si="1"/>
        <v>1103997</v>
      </c>
      <c r="D21" s="244">
        <f>IFERROR(__xludf.DUMMYFUNCTION("""COMPUTED_VALUE"""),"9908137")</f>
        <v>9908137</v>
      </c>
      <c r="E21" s="244" t="str">
        <f>IFERROR(__xludf.DUMMYFUNCTION("""COMPUTED_VALUE"""),"AR7598")</f>
        <v>AR7598</v>
      </c>
      <c r="F21" s="244" t="str">
        <f>IFERROR(__xludf.DUMMYFUNCTION("""COMPUTED_VALUE"""),"01.13.03.00")</f>
        <v>01.13.03.00</v>
      </c>
      <c r="G21" s="244">
        <f>IFERROR(__xludf.DUMMYFUNCTION("""COMPUTED_VALUE"""),"0")</f>
        <v>0</v>
      </c>
      <c r="H21" s="244" t="str">
        <f>IFERROR(__xludf.DUMMYFUNCTION("""COMPUTED_VALUE"""),"VW")</f>
        <v>VW</v>
      </c>
      <c r="I21" s="244">
        <f>IFERROR(__xludf.DUMMYFUNCTION("""COMPUTED_VALUE"""),"1.01")</f>
        <v>1.01</v>
      </c>
      <c r="J21" s="244">
        <f>IFERROR(__xludf.DUMMYFUNCTION("""COMPUTED_VALUE"""),"0")</f>
        <v>0</v>
      </c>
      <c r="K21" s="244">
        <f>IFERROR(__xludf.DUMMYFUNCTION("""COMPUTED_VALUE"""),"101103211")</f>
        <v>101103211</v>
      </c>
    </row>
    <row r="22">
      <c r="A22" s="243" t="s">
        <v>7676</v>
      </c>
      <c r="B22" s="243" t="s">
        <v>7484</v>
      </c>
      <c r="C22" s="244">
        <f t="shared" si="1"/>
        <v>1103211</v>
      </c>
      <c r="D22" s="244">
        <f>IFERROR(__xludf.DUMMYFUNCTION("""COMPUTED_VALUE"""),"9906625")</f>
        <v>9906625</v>
      </c>
      <c r="E22" s="244" t="str">
        <f>IFERROR(__xludf.DUMMYFUNCTION("""COMPUTED_VALUE"""),"AR7598")</f>
        <v>AR7598</v>
      </c>
      <c r="F22" s="244" t="str">
        <f>IFERROR(__xludf.DUMMYFUNCTION("""COMPUTED_VALUE"""),"01.17.00.00")</f>
        <v>01.17.00.00</v>
      </c>
      <c r="G22" s="244">
        <f>IFERROR(__xludf.DUMMYFUNCTION("""COMPUTED_VALUE"""),"0")</f>
        <v>0</v>
      </c>
      <c r="H22" s="244" t="str">
        <f>IFERROR(__xludf.DUMMYFUNCTION("""COMPUTED_VALUE"""),"VW")</f>
        <v>VW</v>
      </c>
      <c r="I22" s="244">
        <f>IFERROR(__xludf.DUMMYFUNCTION("""COMPUTED_VALUE"""),"1.016")</f>
        <v>1.016</v>
      </c>
      <c r="J22" s="244">
        <f>IFERROR(__xludf.DUMMYFUNCTION("""COMPUTED_VALUE"""),"0")</f>
        <v>0</v>
      </c>
      <c r="K22" s="244">
        <f>IFERROR(__xludf.DUMMYFUNCTION("""COMPUTED_VALUE"""),"101103211")</f>
        <v>101103211</v>
      </c>
    </row>
    <row r="23">
      <c r="A23" s="240" t="s">
        <v>7677</v>
      </c>
      <c r="B23" s="240" t="s">
        <v>7637</v>
      </c>
      <c r="C23" s="241">
        <f t="shared" si="1"/>
        <v>1103998</v>
      </c>
      <c r="D23" s="241">
        <f>IFERROR(__xludf.DUMMYFUNCTION("""COMPUTED_VALUE"""),"9908146")</f>
        <v>9908146</v>
      </c>
      <c r="E23" s="241" t="str">
        <f>IFERROR(__xludf.DUMMYFUNCTION("""COMPUTED_VALUE"""),"AR8582")</f>
        <v>AR8582</v>
      </c>
      <c r="F23" s="241" t="str">
        <f>IFERROR(__xludf.DUMMYFUNCTION("""COMPUTED_VALUE"""),"01.00.33.00")</f>
        <v>01.00.33.00</v>
      </c>
      <c r="G23" s="241">
        <f>IFERROR(__xludf.DUMMYFUNCTION("""COMPUTED_VALUE"""),"0")</f>
        <v>0</v>
      </c>
      <c r="H23" s="241" t="str">
        <f>IFERROR(__xludf.DUMMYFUNCTION("""COMPUTED_VALUE"""),"MM")</f>
        <v>MM</v>
      </c>
      <c r="I23" s="241">
        <f>IFERROR(__xludf.DUMMYFUNCTION("""COMPUTED_VALUE"""),"1.002")</f>
        <v>1.002</v>
      </c>
      <c r="J23" s="241">
        <f>IFERROR(__xludf.DUMMYFUNCTION("""COMPUTED_VALUE"""),"0")</f>
        <v>0</v>
      </c>
      <c r="K23" s="241">
        <f>IFERROR(__xludf.DUMMYFUNCTION("""COMPUTED_VALUE"""),"101103377")</f>
        <v>101103377</v>
      </c>
    </row>
    <row r="24">
      <c r="A24" s="240" t="s">
        <v>7680</v>
      </c>
      <c r="B24" s="240" t="s">
        <v>7479</v>
      </c>
      <c r="C24" s="241">
        <f t="shared" si="1"/>
        <v>1103362</v>
      </c>
      <c r="D24" s="241">
        <f>IFERROR(__xludf.DUMMYFUNCTION("""COMPUTED_VALUE"""),"9906977")</f>
        <v>9906977</v>
      </c>
      <c r="E24" s="241" t="str">
        <f>IFERROR(__xludf.DUMMYFUNCTION("""COMPUTED_VALUE"""),"AR7586")</f>
        <v>AR7586</v>
      </c>
      <c r="F24" s="241" t="str">
        <f>IFERROR(__xludf.DUMMYFUNCTION("""COMPUTED_VALUE"""),"00.07.05.00")</f>
        <v>00.07.05.00</v>
      </c>
      <c r="G24" s="241">
        <f>IFERROR(__xludf.DUMMYFUNCTION("""COMPUTED_VALUE"""),"0")</f>
        <v>0</v>
      </c>
      <c r="H24" s="241" t="str">
        <f>IFERROR(__xludf.DUMMYFUNCTION("""COMPUTED_VALUE"""),"Lanyou")</f>
        <v>Lanyou</v>
      </c>
      <c r="I24" s="241">
        <f>IFERROR(__xludf.DUMMYFUNCTION("""COMPUTED_VALUE"""),"1.006")</f>
        <v>1.006</v>
      </c>
      <c r="J24" s="241">
        <f>IFERROR(__xludf.DUMMYFUNCTION("""COMPUTED_VALUE"""),"0")</f>
        <v>0</v>
      </c>
      <c r="K24" s="241">
        <v>1.01103362E8</v>
      </c>
    </row>
    <row r="25">
      <c r="A25" s="240" t="s">
        <v>7685</v>
      </c>
      <c r="B25" s="240" t="s">
        <v>7479</v>
      </c>
      <c r="C25" s="241">
        <f t="shared" si="1"/>
        <v>1103362</v>
      </c>
      <c r="D25" s="241">
        <f>IFERROR(__xludf.DUMMYFUNCTION("""COMPUTED_VALUE"""),"9906977")</f>
        <v>9906977</v>
      </c>
      <c r="E25" s="241" t="str">
        <f>IFERROR(__xludf.DUMMYFUNCTION("""COMPUTED_VALUE"""),"AR7586")</f>
        <v>AR7586</v>
      </c>
      <c r="F25" s="241" t="str">
        <f>IFERROR(__xludf.DUMMYFUNCTION("""COMPUTED_VALUE"""),"00.12.06.03")</f>
        <v>00.12.06.03</v>
      </c>
      <c r="G25" s="241">
        <f>IFERROR(__xludf.DUMMYFUNCTION("""COMPUTED_VALUE"""),"0")</f>
        <v>0</v>
      </c>
      <c r="H25" s="241" t="str">
        <f>IFERROR(__xludf.DUMMYFUNCTION("""COMPUTED_VALUE"""),"Lanyou")</f>
        <v>Lanyou</v>
      </c>
      <c r="I25" s="241">
        <f>IFERROR(__xludf.DUMMYFUNCTION("""COMPUTED_VALUE"""),"1.009")</f>
        <v>1.009</v>
      </c>
      <c r="J25" s="241">
        <f>IFERROR(__xludf.DUMMYFUNCTION("""COMPUTED_VALUE"""),"0")</f>
        <v>0</v>
      </c>
      <c r="K25" s="241">
        <f>IFERROR(__xludf.DUMMYFUNCTION("""COMPUTED_VALUE"""),"101103362")</f>
        <v>101103362</v>
      </c>
    </row>
    <row r="26">
      <c r="A26" s="240" t="s">
        <v>7686</v>
      </c>
      <c r="B26" s="240" t="s">
        <v>7479</v>
      </c>
      <c r="C26" s="241">
        <f t="shared" si="1"/>
        <v>1104059</v>
      </c>
      <c r="D26" s="241">
        <f>IFERROR(__xludf.DUMMYFUNCTION("""COMPUTED_VALUE"""),"9908316")</f>
        <v>9908316</v>
      </c>
      <c r="E26" s="241" t="str">
        <f>IFERROR(__xludf.DUMMYFUNCTION("""COMPUTED_VALUE"""),"AR7586")</f>
        <v>AR7586</v>
      </c>
      <c r="F26" s="241" t="str">
        <f>IFERROR(__xludf.DUMMYFUNCTION("""COMPUTED_VALUE"""),"00.12.06.00")</f>
        <v>00.12.06.00</v>
      </c>
      <c r="G26" s="241">
        <f>IFERROR(__xludf.DUMMYFUNCTION("""COMPUTED_VALUE"""),"0")</f>
        <v>0</v>
      </c>
      <c r="H26" s="241" t="str">
        <f>IFERROR(__xludf.DUMMYFUNCTION("""COMPUTED_VALUE"""),"Lanyou")</f>
        <v>Lanyou</v>
      </c>
      <c r="I26" s="241">
        <f>IFERROR(__xludf.DUMMYFUNCTION("""COMPUTED_VALUE"""),"1")</f>
        <v>1</v>
      </c>
      <c r="J26" s="241">
        <f>IFERROR(__xludf.DUMMYFUNCTION("""COMPUTED_VALUE"""),"0")</f>
        <v>0</v>
      </c>
      <c r="K26" s="241">
        <f>IFERROR(__xludf.DUMMYFUNCTION("""COMPUTED_VALUE"""),"101103362")</f>
        <v>101103362</v>
      </c>
    </row>
    <row r="27">
      <c r="A27" s="240" t="s">
        <v>7688</v>
      </c>
      <c r="B27" s="240" t="s">
        <v>7479</v>
      </c>
      <c r="C27" s="241">
        <f t="shared" si="1"/>
        <v>1103371</v>
      </c>
      <c r="D27" s="241">
        <f>IFERROR(__xludf.DUMMYFUNCTION("""COMPUTED_VALUE"""),"9906986")</f>
        <v>9906986</v>
      </c>
      <c r="E27" s="241" t="str">
        <f>IFERROR(__xludf.DUMMYFUNCTION("""COMPUTED_VALUE"""),"AR7586")</f>
        <v>AR7586</v>
      </c>
      <c r="F27" s="241" t="str">
        <f>IFERROR(__xludf.DUMMYFUNCTION("""COMPUTED_VALUE"""),"00.12.06.04")</f>
        <v>00.12.06.04</v>
      </c>
      <c r="G27" s="241">
        <f>IFERROR(__xludf.DUMMYFUNCTION("""COMPUTED_VALUE"""),"0")</f>
        <v>0</v>
      </c>
      <c r="H27" s="241" t="str">
        <f>IFERROR(__xludf.DUMMYFUNCTION("""COMPUTED_VALUE"""),"MM")</f>
        <v>MM</v>
      </c>
      <c r="I27" s="241">
        <f>IFERROR(__xludf.DUMMYFUNCTION("""COMPUTED_VALUE"""),"1.013")</f>
        <v>1.013</v>
      </c>
      <c r="J27" s="241">
        <f>IFERROR(__xludf.DUMMYFUNCTION("""COMPUTED_VALUE"""),"0")</f>
        <v>0</v>
      </c>
      <c r="K27" s="241">
        <f>IFERROR(__xludf.DUMMYFUNCTION("""COMPUTED_VALUE"""),"101103371")</f>
        <v>101103371</v>
      </c>
    </row>
    <row r="28">
      <c r="A28" s="240" t="s">
        <v>7690</v>
      </c>
      <c r="B28" s="240" t="s">
        <v>7479</v>
      </c>
      <c r="C28" s="241">
        <f t="shared" si="1"/>
        <v>1103359</v>
      </c>
      <c r="D28" s="241">
        <f>IFERROR(__xludf.DUMMYFUNCTION("""COMPUTED_VALUE"""),"9906968")</f>
        <v>9906968</v>
      </c>
      <c r="E28" s="241" t="str">
        <f>IFERROR(__xludf.DUMMYFUNCTION("""COMPUTED_VALUE"""),"AR7586")</f>
        <v>AR7586</v>
      </c>
      <c r="F28" s="241" t="str">
        <f>IFERROR(__xludf.DUMMYFUNCTION("""COMPUTED_VALUE"""),"00.12.06.03")</f>
        <v>00.12.06.03</v>
      </c>
      <c r="G28" s="241">
        <f>IFERROR(__xludf.DUMMYFUNCTION("""COMPUTED_VALUE"""),"0")</f>
        <v>0</v>
      </c>
      <c r="H28" s="241" t="str">
        <f>IFERROR(__xludf.DUMMYFUNCTION("""COMPUTED_VALUE"""),"Ficosa")</f>
        <v>Ficosa</v>
      </c>
      <c r="I28" s="241">
        <f>IFERROR(__xludf.DUMMYFUNCTION("""COMPUTED_VALUE"""),"1.011")</f>
        <v>1.011</v>
      </c>
      <c r="J28" s="241">
        <f>IFERROR(__xludf.DUMMYFUNCTION("""COMPUTED_VALUE"""),"0")</f>
        <v>0</v>
      </c>
      <c r="K28" s="241">
        <f>IFERROR(__xludf.DUMMYFUNCTION("""COMPUTED_VALUE"""),"101103359")</f>
        <v>101103359</v>
      </c>
    </row>
    <row r="29">
      <c r="A29" s="240"/>
      <c r="B29" s="241"/>
      <c r="C29" s="241"/>
      <c r="D29" s="241"/>
      <c r="E29" s="241"/>
      <c r="F29" s="241"/>
      <c r="G29" s="241"/>
      <c r="H29" s="241"/>
      <c r="I29" s="241"/>
      <c r="J29" s="241"/>
      <c r="K29" s="241"/>
    </row>
    <row r="30">
      <c r="A30" s="240"/>
      <c r="B30" s="241"/>
      <c r="C30" s="241"/>
      <c r="D30" s="241"/>
      <c r="E30" s="241"/>
      <c r="F30" s="241"/>
      <c r="G30" s="241"/>
      <c r="H30" s="241"/>
      <c r="I30" s="241"/>
      <c r="J30" s="241"/>
      <c r="K30" s="241"/>
    </row>
  </sheetData>
  <autoFilter ref="$A$1:$W$3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18.0"/>
    <col customWidth="1" min="3" max="3" width="25.43"/>
    <col customWidth="1" min="4" max="4" width="10.86"/>
    <col customWidth="1" min="5" max="5" width="15.29"/>
    <col customWidth="1" min="6" max="6" width="10.57"/>
    <col customWidth="1" min="7" max="7" width="20.29"/>
    <col customWidth="1" min="8" max="8" width="4.0"/>
    <col customWidth="1" min="9" max="9" width="21.29"/>
    <col customWidth="1" min="10" max="10" width="7.57"/>
    <col customWidth="1" min="11" max="11" width="14.0"/>
    <col customWidth="1" min="12" max="13" width="18.0"/>
    <col customWidth="1" min="14" max="14" width="16.0"/>
  </cols>
  <sheetData>
    <row r="1">
      <c r="A1" s="247" t="s">
        <v>7471</v>
      </c>
      <c r="B1" s="247" t="s">
        <v>7472</v>
      </c>
      <c r="C1" s="247" t="s">
        <v>7701</v>
      </c>
      <c r="D1" s="247" t="s">
        <v>7702</v>
      </c>
      <c r="E1" s="247" t="s">
        <v>7703</v>
      </c>
      <c r="F1" s="247" t="s">
        <v>7704</v>
      </c>
      <c r="G1" s="247" t="s">
        <v>7705</v>
      </c>
      <c r="H1" s="247" t="s">
        <v>7706</v>
      </c>
      <c r="I1" s="247" t="s">
        <v>7707</v>
      </c>
      <c r="J1" s="247" t="s">
        <v>7709</v>
      </c>
      <c r="K1" s="247" t="s">
        <v>7710</v>
      </c>
      <c r="L1" s="247" t="s">
        <v>7711</v>
      </c>
      <c r="M1" s="247" t="s">
        <v>45</v>
      </c>
    </row>
    <row r="2">
      <c r="A2" s="248" t="s">
        <v>7239</v>
      </c>
      <c r="B2" s="249" t="s">
        <v>92</v>
      </c>
      <c r="C2" s="250" t="s">
        <v>92</v>
      </c>
      <c r="D2" s="251">
        <v>5302392.0</v>
      </c>
      <c r="E2" s="251" t="s">
        <v>7713</v>
      </c>
      <c r="F2" s="251" t="s">
        <v>7714</v>
      </c>
      <c r="G2" s="251" t="s">
        <v>7715</v>
      </c>
      <c r="H2" s="252"/>
      <c r="I2" s="30" t="s">
        <v>7716</v>
      </c>
      <c r="J2" s="30" t="s">
        <v>7717</v>
      </c>
      <c r="K2" s="30" t="s">
        <v>7718</v>
      </c>
      <c r="L2" s="253">
        <v>43321.73320601852</v>
      </c>
      <c r="M2" s="30" t="s">
        <v>166</v>
      </c>
    </row>
    <row r="3">
      <c r="A3" s="254"/>
      <c r="B3" s="255" t="s">
        <v>7720</v>
      </c>
      <c r="C3" s="256" t="s">
        <v>7722</v>
      </c>
      <c r="D3" s="257">
        <v>5302426.0</v>
      </c>
      <c r="E3" s="257" t="s">
        <v>7725</v>
      </c>
      <c r="F3" s="255" t="s">
        <v>7726</v>
      </c>
      <c r="G3" s="257" t="s">
        <v>7727</v>
      </c>
      <c r="H3" s="255">
        <v>2.0</v>
      </c>
      <c r="I3" s="30" t="s">
        <v>7728</v>
      </c>
      <c r="J3" s="2" t="s">
        <v>7717</v>
      </c>
      <c r="K3" s="2" t="s">
        <v>7729</v>
      </c>
      <c r="L3" s="253">
        <v>43333.74569444444</v>
      </c>
      <c r="M3" s="30" t="s">
        <v>166</v>
      </c>
    </row>
    <row r="4">
      <c r="A4" s="258"/>
      <c r="B4" s="255" t="s">
        <v>7066</v>
      </c>
      <c r="C4" s="256">
        <v>1103367.0</v>
      </c>
      <c r="D4" s="257">
        <v>5302663.0</v>
      </c>
      <c r="E4" s="257" t="s">
        <v>7730</v>
      </c>
      <c r="F4" s="255" t="s">
        <v>7731</v>
      </c>
      <c r="G4" s="257" t="s">
        <v>7732</v>
      </c>
      <c r="H4" s="255">
        <v>1.0</v>
      </c>
      <c r="I4" s="30" t="s">
        <v>7733</v>
      </c>
      <c r="J4" s="30" t="s">
        <v>7717</v>
      </c>
      <c r="K4" s="30" t="s">
        <v>7734</v>
      </c>
      <c r="L4" s="253">
        <v>43217.74561342593</v>
      </c>
      <c r="M4" s="30" t="s">
        <v>166</v>
      </c>
    </row>
    <row r="5">
      <c r="A5" s="248" t="s">
        <v>7235</v>
      </c>
      <c r="B5" s="255" t="s">
        <v>7736</v>
      </c>
      <c r="C5" s="256" t="s">
        <v>7737</v>
      </c>
      <c r="D5" s="257">
        <v>5302462.0</v>
      </c>
      <c r="E5" s="257" t="s">
        <v>7738</v>
      </c>
      <c r="F5" s="257" t="s">
        <v>7739</v>
      </c>
      <c r="G5" s="257" t="s">
        <v>7740</v>
      </c>
      <c r="H5" s="255">
        <v>2.0</v>
      </c>
      <c r="I5" s="30" t="s">
        <v>7741</v>
      </c>
      <c r="J5" s="2" t="s">
        <v>7742</v>
      </c>
      <c r="K5" s="2" t="s">
        <v>7743</v>
      </c>
      <c r="L5" s="253">
        <v>43318.43449074074</v>
      </c>
      <c r="M5" s="253" t="s">
        <v>166</v>
      </c>
    </row>
    <row r="6">
      <c r="A6" s="254"/>
      <c r="B6" s="255" t="s">
        <v>7306</v>
      </c>
      <c r="C6" s="256">
        <v>1103378.0</v>
      </c>
      <c r="D6" s="257">
        <v>5302430.0</v>
      </c>
      <c r="E6" s="257" t="s">
        <v>7744</v>
      </c>
      <c r="F6" s="257" t="s">
        <v>7745</v>
      </c>
      <c r="G6" s="257" t="s">
        <v>7746</v>
      </c>
      <c r="H6" s="255">
        <v>1.0</v>
      </c>
      <c r="I6" s="30" t="s">
        <v>7747</v>
      </c>
      <c r="J6" s="30" t="s">
        <v>7742</v>
      </c>
      <c r="K6" s="30" t="s">
        <v>7748</v>
      </c>
      <c r="L6" s="253">
        <v>43332.61958333333</v>
      </c>
      <c r="M6" s="30" t="s">
        <v>166</v>
      </c>
    </row>
    <row r="7">
      <c r="A7" s="258"/>
      <c r="B7" s="255" t="s">
        <v>7099</v>
      </c>
      <c r="C7" s="256">
        <v>1103368.0</v>
      </c>
      <c r="D7" s="257">
        <v>5302393.0</v>
      </c>
      <c r="E7" s="257" t="s">
        <v>7749</v>
      </c>
      <c r="F7" s="257" t="s">
        <v>7750</v>
      </c>
      <c r="G7" s="257" t="s">
        <v>7751</v>
      </c>
      <c r="H7" s="255">
        <v>1.0</v>
      </c>
      <c r="I7" s="30" t="s">
        <v>7747</v>
      </c>
      <c r="J7" s="30" t="s">
        <v>7742</v>
      </c>
      <c r="K7" s="30" t="s">
        <v>7752</v>
      </c>
      <c r="L7" s="253">
        <v>43180.77210648148</v>
      </c>
      <c r="M7" s="30" t="s">
        <v>7753</v>
      </c>
    </row>
    <row r="8">
      <c r="A8" s="248" t="s">
        <v>7267</v>
      </c>
      <c r="B8" s="255" t="s">
        <v>7736</v>
      </c>
      <c r="C8" s="256" t="s">
        <v>7754</v>
      </c>
      <c r="D8" s="257">
        <v>5302461.0</v>
      </c>
      <c r="E8" s="257" t="s">
        <v>7755</v>
      </c>
      <c r="F8" s="257" t="s">
        <v>7756</v>
      </c>
      <c r="G8" s="257" t="s">
        <v>7757</v>
      </c>
      <c r="H8" s="255">
        <v>2.0</v>
      </c>
      <c r="I8" s="2" t="s">
        <v>7741</v>
      </c>
      <c r="J8" s="2" t="s">
        <v>7742</v>
      </c>
      <c r="K8" s="2" t="s">
        <v>7758</v>
      </c>
      <c r="L8" s="253">
        <v>43318.43449074074</v>
      </c>
      <c r="M8" s="30" t="s">
        <v>166</v>
      </c>
    </row>
    <row r="9">
      <c r="A9" s="254"/>
      <c r="B9" s="255" t="s">
        <v>7306</v>
      </c>
      <c r="C9" s="256">
        <v>1103359.0</v>
      </c>
      <c r="D9" s="257">
        <v>5302429.0</v>
      </c>
      <c r="E9" s="257" t="s">
        <v>7759</v>
      </c>
      <c r="F9" s="257" t="s">
        <v>7760</v>
      </c>
      <c r="G9" s="257" t="s">
        <v>7761</v>
      </c>
      <c r="H9" s="255">
        <v>1.0</v>
      </c>
    </row>
    <row r="10">
      <c r="A10" s="258"/>
      <c r="B10" s="255" t="s">
        <v>7762</v>
      </c>
      <c r="C10" s="256" t="s">
        <v>7763</v>
      </c>
      <c r="D10" s="255">
        <v>5302395.0</v>
      </c>
      <c r="E10" s="255" t="s">
        <v>7764</v>
      </c>
      <c r="F10" s="255" t="s">
        <v>7765</v>
      </c>
      <c r="G10" s="257" t="s">
        <v>7766</v>
      </c>
      <c r="H10" s="255">
        <v>2.0</v>
      </c>
      <c r="I10" s="2" t="s">
        <v>7741</v>
      </c>
      <c r="J10" s="2" t="s">
        <v>7742</v>
      </c>
      <c r="K10" s="2" t="s">
        <v>7767</v>
      </c>
      <c r="L10" s="253">
        <v>43318.43449074074</v>
      </c>
      <c r="M10" s="30" t="s">
        <v>166</v>
      </c>
    </row>
    <row r="11">
      <c r="A11" s="248" t="s">
        <v>7557</v>
      </c>
      <c r="B11" s="255" t="s">
        <v>7306</v>
      </c>
      <c r="C11" s="256">
        <v>1103360.0</v>
      </c>
      <c r="D11" s="255">
        <v>1600818.0</v>
      </c>
      <c r="E11" s="255" t="s">
        <v>7768</v>
      </c>
      <c r="F11" s="255" t="s">
        <v>7623</v>
      </c>
      <c r="G11" s="257" t="s">
        <v>7769</v>
      </c>
      <c r="H11" s="255">
        <v>1.0</v>
      </c>
      <c r="I11" s="30" t="s">
        <v>7770</v>
      </c>
      <c r="L11" s="253">
        <v>43306.36800925926</v>
      </c>
      <c r="M11" s="30" t="s">
        <v>166</v>
      </c>
    </row>
    <row r="12">
      <c r="A12" s="258"/>
      <c r="B12" s="255" t="s">
        <v>7066</v>
      </c>
      <c r="C12" s="256">
        <v>1103494.0</v>
      </c>
      <c r="D12" s="255">
        <v>5302398.0</v>
      </c>
      <c r="E12" s="255" t="s">
        <v>7771</v>
      </c>
      <c r="F12" s="255" t="s">
        <v>7772</v>
      </c>
      <c r="G12" s="257" t="s">
        <v>7773</v>
      </c>
      <c r="H12" s="255">
        <v>1.0</v>
      </c>
    </row>
    <row r="13">
      <c r="A13" s="248" t="s">
        <v>7565</v>
      </c>
      <c r="B13" s="255" t="s">
        <v>7774</v>
      </c>
      <c r="C13" s="256" t="s">
        <v>7775</v>
      </c>
      <c r="D13" s="255">
        <v>1601027.0</v>
      </c>
      <c r="E13" s="255" t="s">
        <v>7776</v>
      </c>
      <c r="F13" s="255" t="s">
        <v>7777</v>
      </c>
      <c r="G13" s="257" t="s">
        <v>7778</v>
      </c>
      <c r="H13" s="255">
        <v>2.0</v>
      </c>
      <c r="I13" s="30"/>
    </row>
    <row r="14">
      <c r="A14" s="258"/>
      <c r="B14" s="255" t="s">
        <v>7099</v>
      </c>
      <c r="C14" s="256">
        <v>1103377.0</v>
      </c>
      <c r="D14" s="255">
        <v>5302399.0</v>
      </c>
      <c r="E14" s="255" t="s">
        <v>7779</v>
      </c>
      <c r="F14" s="255" t="s">
        <v>7780</v>
      </c>
      <c r="G14" s="257" t="s">
        <v>7781</v>
      </c>
      <c r="H14" s="255">
        <v>1.0</v>
      </c>
      <c r="I14" s="30" t="s">
        <v>7747</v>
      </c>
      <c r="J14" s="30" t="s">
        <v>7717</v>
      </c>
      <c r="K14" s="30" t="s">
        <v>7782</v>
      </c>
      <c r="L14" s="253">
        <v>43208.73810185185</v>
      </c>
      <c r="M14" s="30" t="s">
        <v>166</v>
      </c>
    </row>
    <row r="15">
      <c r="A15" s="259"/>
      <c r="B15" s="259"/>
      <c r="C15" s="259"/>
      <c r="D15" s="259"/>
      <c r="E15" s="259"/>
      <c r="F15" s="259"/>
      <c r="G15" s="259"/>
      <c r="H15" s="259"/>
    </row>
    <row r="16">
      <c r="A16" s="247" t="s">
        <v>7471</v>
      </c>
      <c r="B16" s="247" t="s">
        <v>7472</v>
      </c>
      <c r="C16" s="247" t="s">
        <v>7701</v>
      </c>
      <c r="D16" s="247" t="s">
        <v>7702</v>
      </c>
      <c r="E16" s="247" t="s">
        <v>7703</v>
      </c>
      <c r="F16" s="247" t="s">
        <v>7704</v>
      </c>
      <c r="G16" s="247" t="s">
        <v>7705</v>
      </c>
      <c r="H16" s="247" t="s">
        <v>7706</v>
      </c>
      <c r="I16" s="247" t="s">
        <v>7707</v>
      </c>
      <c r="J16" s="247" t="s">
        <v>7709</v>
      </c>
      <c r="K16" s="247" t="s">
        <v>7710</v>
      </c>
      <c r="L16" s="247" t="s">
        <v>7711</v>
      </c>
      <c r="M16" s="247" t="s">
        <v>45</v>
      </c>
    </row>
    <row r="17">
      <c r="A17" s="248" t="s">
        <v>7487</v>
      </c>
      <c r="B17" s="255" t="s">
        <v>7053</v>
      </c>
      <c r="C17" s="255">
        <v>1103102.0</v>
      </c>
      <c r="D17" s="255"/>
      <c r="E17" s="255" t="s">
        <v>7783</v>
      </c>
      <c r="F17" s="255" t="s">
        <v>7784</v>
      </c>
      <c r="G17" s="255" t="s">
        <v>7785</v>
      </c>
      <c r="H17" s="240">
        <v>1.0</v>
      </c>
      <c r="I17" s="30" t="s">
        <v>7728</v>
      </c>
      <c r="J17" s="2" t="s">
        <v>7717</v>
      </c>
      <c r="K17" s="2" t="s">
        <v>7786</v>
      </c>
      <c r="L17" s="253">
        <v>43333.74569444444</v>
      </c>
      <c r="M17" s="253" t="s">
        <v>166</v>
      </c>
    </row>
    <row r="18">
      <c r="A18" s="258"/>
      <c r="B18" s="255" t="s">
        <v>7066</v>
      </c>
      <c r="C18" s="255">
        <v>1103210.0</v>
      </c>
      <c r="D18" s="255"/>
      <c r="E18" s="255" t="s">
        <v>7787</v>
      </c>
      <c r="F18" s="255" t="s">
        <v>7788</v>
      </c>
      <c r="G18" s="30" t="s">
        <v>7789</v>
      </c>
      <c r="H18" s="240">
        <v>1.0</v>
      </c>
      <c r="I18" s="30" t="s">
        <v>7747</v>
      </c>
      <c r="J18" s="2" t="s">
        <v>7742</v>
      </c>
      <c r="K18" s="2" t="s">
        <v>7790</v>
      </c>
      <c r="L18" s="253">
        <v>43328.469305555554</v>
      </c>
      <c r="M18" s="30" t="s">
        <v>166</v>
      </c>
    </row>
    <row r="19">
      <c r="A19" s="248" t="s">
        <v>7261</v>
      </c>
      <c r="B19" s="255" t="s">
        <v>7791</v>
      </c>
      <c r="C19" s="255" t="s">
        <v>7792</v>
      </c>
      <c r="D19" s="255"/>
      <c r="E19" s="255" t="s">
        <v>7793</v>
      </c>
      <c r="F19" s="255" t="s">
        <v>7794</v>
      </c>
      <c r="G19" s="255" t="s">
        <v>7795</v>
      </c>
      <c r="H19" s="240">
        <v>1.0</v>
      </c>
      <c r="I19" s="30" t="s">
        <v>7716</v>
      </c>
      <c r="J19" s="2" t="s">
        <v>7742</v>
      </c>
      <c r="K19" s="2" t="s">
        <v>7796</v>
      </c>
      <c r="L19" s="253">
        <v>43321.73320601852</v>
      </c>
      <c r="M19" s="253" t="s">
        <v>166</v>
      </c>
    </row>
    <row r="20">
      <c r="A20" s="258"/>
      <c r="B20" s="255" t="s">
        <v>7066</v>
      </c>
      <c r="C20" s="255">
        <v>1103204.0</v>
      </c>
      <c r="D20" s="255"/>
      <c r="E20" s="255" t="s">
        <v>7797</v>
      </c>
      <c r="F20" s="255" t="s">
        <v>7798</v>
      </c>
      <c r="G20" s="255" t="s">
        <v>7799</v>
      </c>
      <c r="H20" s="240">
        <v>1.0</v>
      </c>
    </row>
    <row r="21">
      <c r="A21" s="248" t="s">
        <v>7516</v>
      </c>
      <c r="B21" s="255" t="s">
        <v>7053</v>
      </c>
      <c r="C21" s="255">
        <v>1103097.0</v>
      </c>
      <c r="D21" s="255"/>
      <c r="E21" s="255" t="s">
        <v>7800</v>
      </c>
      <c r="F21" s="255" t="s">
        <v>7801</v>
      </c>
      <c r="G21" s="255" t="s">
        <v>7802</v>
      </c>
      <c r="H21" s="240">
        <v>1.0</v>
      </c>
      <c r="I21" s="30" t="s">
        <v>7716</v>
      </c>
      <c r="J21" s="2" t="s">
        <v>7803</v>
      </c>
      <c r="K21" s="2" t="s">
        <v>5241</v>
      </c>
      <c r="L21" s="253">
        <v>43321.73320601852</v>
      </c>
      <c r="M21" s="30" t="s">
        <v>166</v>
      </c>
    </row>
    <row r="22">
      <c r="A22" s="258"/>
      <c r="B22" s="255" t="s">
        <v>7066</v>
      </c>
      <c r="C22" s="255">
        <v>1103207.0</v>
      </c>
      <c r="D22" s="255"/>
      <c r="E22" s="255" t="s">
        <v>7804</v>
      </c>
      <c r="F22" s="255" t="s">
        <v>7805</v>
      </c>
      <c r="G22" s="260" t="s">
        <v>7806</v>
      </c>
      <c r="H22" s="240">
        <v>1.0</v>
      </c>
      <c r="I22" s="30" t="s">
        <v>7728</v>
      </c>
      <c r="J22" s="2" t="s">
        <v>7742</v>
      </c>
      <c r="K22" s="2" t="s">
        <v>7807</v>
      </c>
      <c r="L22" s="253">
        <v>43333.74569444444</v>
      </c>
      <c r="M22" s="253" t="s">
        <v>166</v>
      </c>
    </row>
    <row r="23">
      <c r="A23" s="248" t="s">
        <v>7523</v>
      </c>
      <c r="B23" s="255" t="s">
        <v>7053</v>
      </c>
      <c r="C23" s="255">
        <v>1103415.0</v>
      </c>
      <c r="D23" s="255"/>
      <c r="E23" s="255" t="s">
        <v>7808</v>
      </c>
      <c r="F23" s="255" t="s">
        <v>7809</v>
      </c>
      <c r="G23" s="255" t="s">
        <v>7810</v>
      </c>
      <c r="H23" s="240">
        <v>1.0</v>
      </c>
      <c r="I23" s="2" t="s">
        <v>7728</v>
      </c>
      <c r="J23" s="2" t="s">
        <v>7742</v>
      </c>
      <c r="K23" s="261" t="s">
        <v>7811</v>
      </c>
      <c r="L23" s="253">
        <v>43333.74569444444</v>
      </c>
      <c r="M23" s="30" t="s">
        <v>166</v>
      </c>
    </row>
    <row r="24">
      <c r="A24" s="258"/>
      <c r="B24" s="255" t="s">
        <v>7066</v>
      </c>
      <c r="C24" s="255">
        <v>1103211.0</v>
      </c>
      <c r="D24" s="255"/>
      <c r="E24" s="255" t="s">
        <v>7812</v>
      </c>
      <c r="F24" s="255" t="s">
        <v>7814</v>
      </c>
      <c r="G24" s="30" t="s">
        <v>7815</v>
      </c>
      <c r="H24" s="240">
        <v>1.0</v>
      </c>
      <c r="I24" s="30" t="s">
        <v>7747</v>
      </c>
      <c r="J24" s="30" t="s">
        <v>7742</v>
      </c>
      <c r="K24" s="30" t="s">
        <v>7816</v>
      </c>
      <c r="L24" s="253">
        <v>43332.68461805556</v>
      </c>
      <c r="M24" s="30" t="s">
        <v>166</v>
      </c>
    </row>
    <row r="25">
      <c r="A25" s="255"/>
      <c r="B25" s="255"/>
      <c r="C25" s="255"/>
      <c r="D25" s="255"/>
      <c r="E25" s="255"/>
      <c r="F25" s="255"/>
      <c r="G25" s="255"/>
      <c r="H25" s="255"/>
      <c r="I25" s="262"/>
      <c r="J25" s="262"/>
      <c r="K25" s="262"/>
    </row>
    <row r="26">
      <c r="A26" s="247" t="s">
        <v>7471</v>
      </c>
      <c r="B26" s="247" t="s">
        <v>7472</v>
      </c>
      <c r="C26" s="247" t="s">
        <v>7701</v>
      </c>
      <c r="D26" s="247" t="s">
        <v>7702</v>
      </c>
      <c r="E26" s="247" t="s">
        <v>7703</v>
      </c>
      <c r="F26" s="247" t="s">
        <v>7704</v>
      </c>
      <c r="G26" s="247" t="s">
        <v>7705</v>
      </c>
      <c r="H26" s="247" t="s">
        <v>7706</v>
      </c>
      <c r="I26" s="247" t="s">
        <v>7707</v>
      </c>
      <c r="J26" s="247" t="s">
        <v>7709</v>
      </c>
      <c r="K26" s="247" t="s">
        <v>7710</v>
      </c>
      <c r="L26" s="247" t="s">
        <v>7711</v>
      </c>
      <c r="M26" s="247" t="s">
        <v>45</v>
      </c>
    </row>
    <row r="27">
      <c r="A27" s="2" t="s">
        <v>7229</v>
      </c>
      <c r="G27" s="30" t="s">
        <v>7817</v>
      </c>
      <c r="I27" s="30" t="s">
        <v>7747</v>
      </c>
      <c r="L27" s="253">
        <v>43161.78686342593</v>
      </c>
      <c r="M27" s="30" t="s">
        <v>166</v>
      </c>
    </row>
    <row r="28">
      <c r="A28" s="2" t="s">
        <v>7229</v>
      </c>
      <c r="G28" s="30" t="s">
        <v>7818</v>
      </c>
      <c r="I28" s="30" t="s">
        <v>7747</v>
      </c>
      <c r="L28" s="253">
        <v>43163.123194444444</v>
      </c>
    </row>
    <row r="29">
      <c r="A29" s="2" t="s">
        <v>7229</v>
      </c>
      <c r="G29" s="30" t="s">
        <v>7819</v>
      </c>
      <c r="I29" s="30" t="s">
        <v>7770</v>
      </c>
      <c r="J29" s="30" t="s">
        <v>7742</v>
      </c>
      <c r="K29" s="30" t="s">
        <v>7821</v>
      </c>
      <c r="L29" s="253">
        <v>43223.781226851854</v>
      </c>
      <c r="M29" s="30" t="s">
        <v>166</v>
      </c>
    </row>
    <row r="30">
      <c r="G30" s="30"/>
      <c r="I30" s="30"/>
      <c r="L30" s="253"/>
    </row>
    <row r="31">
      <c r="A31" s="247" t="s">
        <v>7471</v>
      </c>
      <c r="B31" s="247" t="s">
        <v>7472</v>
      </c>
      <c r="C31" s="247" t="s">
        <v>7701</v>
      </c>
      <c r="D31" s="247" t="s">
        <v>7702</v>
      </c>
      <c r="E31" s="247" t="s">
        <v>7703</v>
      </c>
      <c r="F31" s="247" t="s">
        <v>7704</v>
      </c>
      <c r="G31" s="247" t="s">
        <v>7705</v>
      </c>
      <c r="H31" s="247" t="s">
        <v>7706</v>
      </c>
      <c r="I31" s="247" t="s">
        <v>7707</v>
      </c>
      <c r="J31" s="247" t="s">
        <v>7709</v>
      </c>
      <c r="K31" s="247" t="s">
        <v>7710</v>
      </c>
      <c r="L31" s="247" t="s">
        <v>7711</v>
      </c>
      <c r="M31" s="247" t="s">
        <v>45</v>
      </c>
    </row>
    <row r="32">
      <c r="A32" s="30" t="s">
        <v>7239</v>
      </c>
      <c r="G32" s="30" t="s">
        <v>7822</v>
      </c>
      <c r="I32" s="30" t="s">
        <v>7770</v>
      </c>
      <c r="J32" s="30" t="s">
        <v>7742</v>
      </c>
      <c r="K32" s="30" t="s">
        <v>7823</v>
      </c>
      <c r="L32" s="253">
        <v>43297.661261574074</v>
      </c>
      <c r="M32" s="30" t="s">
        <v>166</v>
      </c>
    </row>
    <row r="33">
      <c r="A33" s="30" t="s">
        <v>7239</v>
      </c>
      <c r="G33" s="30" t="s">
        <v>7824</v>
      </c>
      <c r="I33" s="30" t="s">
        <v>7733</v>
      </c>
      <c r="J33" s="30"/>
      <c r="K33" s="30"/>
      <c r="L33" s="253">
        <v>43214.60376157407</v>
      </c>
      <c r="M33" s="30" t="s">
        <v>166</v>
      </c>
    </row>
    <row r="34">
      <c r="A34" s="30" t="s">
        <v>7235</v>
      </c>
      <c r="G34" s="30" t="s">
        <v>7825</v>
      </c>
      <c r="I34" s="30" t="s">
        <v>7733</v>
      </c>
      <c r="J34" s="30" t="s">
        <v>7717</v>
      </c>
      <c r="K34" s="30" t="s">
        <v>7826</v>
      </c>
      <c r="L34" s="253">
        <v>43285.42324074074</v>
      </c>
      <c r="M34" s="30" t="s">
        <v>166</v>
      </c>
    </row>
    <row r="35">
      <c r="A35" s="30" t="s">
        <v>7229</v>
      </c>
      <c r="G35" s="30" t="s">
        <v>7827</v>
      </c>
      <c r="I35" s="30" t="s">
        <v>7770</v>
      </c>
      <c r="K35" s="30" t="s">
        <v>3144</v>
      </c>
      <c r="L35" s="253">
        <v>43178.75146990741</v>
      </c>
      <c r="M35" s="30" t="s">
        <v>7828</v>
      </c>
    </row>
    <row r="36">
      <c r="A36" s="30" t="s">
        <v>7229</v>
      </c>
      <c r="G36" s="30" t="s">
        <v>7829</v>
      </c>
      <c r="I36" s="30" t="s">
        <v>7770</v>
      </c>
      <c r="L36" s="253">
        <v>43173.490428240744</v>
      </c>
      <c r="M36" s="30" t="s">
        <v>166</v>
      </c>
    </row>
    <row r="37">
      <c r="A37" s="30" t="s">
        <v>7229</v>
      </c>
      <c r="G37" s="30" t="s">
        <v>7830</v>
      </c>
      <c r="I37" s="30" t="s">
        <v>7770</v>
      </c>
      <c r="L37" s="253">
        <v>43173.571863425925</v>
      </c>
      <c r="M37" s="30" t="s">
        <v>166</v>
      </c>
    </row>
    <row r="38">
      <c r="A38" s="30" t="s">
        <v>7261</v>
      </c>
      <c r="G38" s="30" t="s">
        <v>7831</v>
      </c>
      <c r="I38" s="30" t="s">
        <v>7747</v>
      </c>
      <c r="L38" s="253">
        <v>43173.44196759259</v>
      </c>
      <c r="M38" s="30" t="s">
        <v>166</v>
      </c>
    </row>
    <row r="39">
      <c r="A39" s="30" t="s">
        <v>7229</v>
      </c>
      <c r="G39" s="30" t="s">
        <v>7832</v>
      </c>
      <c r="I39" s="30" t="s">
        <v>7770</v>
      </c>
      <c r="L39" s="253">
        <v>43178.63018518518</v>
      </c>
      <c r="M39" s="30" t="s">
        <v>166</v>
      </c>
    </row>
    <row r="40">
      <c r="A40" s="30" t="s">
        <v>7239</v>
      </c>
      <c r="G40" s="30" t="s">
        <v>7833</v>
      </c>
      <c r="I40" s="30" t="s">
        <v>7747</v>
      </c>
      <c r="J40" s="30" t="s">
        <v>7742</v>
      </c>
      <c r="K40" s="30" t="s">
        <v>7834</v>
      </c>
      <c r="L40" s="253">
        <v>43305.46418981482</v>
      </c>
      <c r="M40" s="30" t="s">
        <v>166</v>
      </c>
    </row>
    <row r="41">
      <c r="A41" s="30" t="s">
        <v>7557</v>
      </c>
      <c r="G41" s="30" t="s">
        <v>7835</v>
      </c>
      <c r="I41" s="30" t="s">
        <v>7733</v>
      </c>
      <c r="J41" s="30" t="s">
        <v>7717</v>
      </c>
      <c r="K41" s="30" t="s">
        <v>7836</v>
      </c>
      <c r="L41" s="253">
        <v>43298.424421296295</v>
      </c>
      <c r="M41" s="30" t="s">
        <v>166</v>
      </c>
    </row>
    <row r="42">
      <c r="A42" s="30" t="s">
        <v>7239</v>
      </c>
      <c r="G42" s="30" t="s">
        <v>7837</v>
      </c>
      <c r="I42" s="30" t="s">
        <v>7733</v>
      </c>
      <c r="L42" s="253">
        <v>43180.64519675926</v>
      </c>
      <c r="M42" s="30" t="s">
        <v>166</v>
      </c>
    </row>
    <row r="43">
      <c r="A43" s="30" t="s">
        <v>7229</v>
      </c>
      <c r="G43" s="30" t="s">
        <v>7838</v>
      </c>
      <c r="I43" s="30" t="s">
        <v>7770</v>
      </c>
      <c r="J43" s="30" t="s">
        <v>7742</v>
      </c>
      <c r="K43" s="30" t="s">
        <v>7839</v>
      </c>
      <c r="L43" s="253">
        <v>43180.75013888889</v>
      </c>
      <c r="M43" s="30" t="s">
        <v>166</v>
      </c>
    </row>
    <row r="44">
      <c r="A44" s="30" t="s">
        <v>119</v>
      </c>
      <c r="G44" s="30" t="s">
        <v>7840</v>
      </c>
      <c r="I44" s="30" t="s">
        <v>7770</v>
      </c>
      <c r="J44" s="30" t="s">
        <v>7717</v>
      </c>
      <c r="K44" s="30" t="s">
        <v>7841</v>
      </c>
      <c r="L44" s="253">
        <v>43228.588900462964</v>
      </c>
      <c r="M44" s="30" t="s">
        <v>166</v>
      </c>
    </row>
    <row r="45">
      <c r="A45" s="30" t="s">
        <v>7229</v>
      </c>
      <c r="G45" s="30" t="s">
        <v>7842</v>
      </c>
      <c r="I45" s="30" t="s">
        <v>7770</v>
      </c>
      <c r="J45" s="30" t="s">
        <v>7742</v>
      </c>
      <c r="K45" s="30" t="s">
        <v>7843</v>
      </c>
      <c r="L45" s="253">
        <v>43200.705972222226</v>
      </c>
      <c r="M45" s="30" t="s">
        <v>166</v>
      </c>
    </row>
    <row r="46">
      <c r="A46" s="30" t="s">
        <v>7229</v>
      </c>
      <c r="G46" s="30" t="s">
        <v>7844</v>
      </c>
      <c r="I46" s="30" t="s">
        <v>7770</v>
      </c>
      <c r="L46" s="253">
        <v>43187.48677083333</v>
      </c>
      <c r="M46" s="30" t="s">
        <v>166</v>
      </c>
    </row>
    <row r="47">
      <c r="A47" s="30" t="s">
        <v>119</v>
      </c>
      <c r="G47" s="30" t="s">
        <v>7845</v>
      </c>
      <c r="I47" s="30" t="s">
        <v>7770</v>
      </c>
      <c r="L47" s="253">
        <v>43192.6508912037</v>
      </c>
      <c r="M47" s="30" t="s">
        <v>166</v>
      </c>
    </row>
    <row r="48">
      <c r="A48" s="30" t="s">
        <v>119</v>
      </c>
      <c r="G48" s="30" t="s">
        <v>7846</v>
      </c>
      <c r="I48" s="30" t="s">
        <v>7770</v>
      </c>
      <c r="K48" s="30" t="s">
        <v>7847</v>
      </c>
      <c r="L48" s="253">
        <v>43228.44155092593</v>
      </c>
      <c r="M48" s="30" t="s">
        <v>166</v>
      </c>
    </row>
    <row r="49">
      <c r="A49" s="30" t="s">
        <v>7523</v>
      </c>
      <c r="G49" s="30" t="s">
        <v>7848</v>
      </c>
      <c r="I49" s="30" t="s">
        <v>7733</v>
      </c>
      <c r="L49" s="253">
        <v>43199.429143518515</v>
      </c>
      <c r="M49" s="30" t="s">
        <v>166</v>
      </c>
    </row>
    <row r="50">
      <c r="A50" s="30" t="s">
        <v>119</v>
      </c>
      <c r="G50" s="30" t="s">
        <v>7849</v>
      </c>
      <c r="I50" s="30" t="s">
        <v>7770</v>
      </c>
      <c r="J50" s="30" t="s">
        <v>7717</v>
      </c>
      <c r="K50" s="30" t="s">
        <v>7850</v>
      </c>
      <c r="L50" s="253">
        <v>43297.57069444445</v>
      </c>
      <c r="M50" s="30" t="s">
        <v>166</v>
      </c>
    </row>
    <row r="51">
      <c r="A51" s="30" t="s">
        <v>7239</v>
      </c>
      <c r="G51" s="30" t="s">
        <v>7851</v>
      </c>
      <c r="I51" s="30" t="s">
        <v>7747</v>
      </c>
      <c r="J51" s="30" t="s">
        <v>7717</v>
      </c>
      <c r="K51" s="30" t="s">
        <v>7729</v>
      </c>
      <c r="L51" s="253">
        <v>43333.68145833333</v>
      </c>
      <c r="M51" s="30" t="s">
        <v>166</v>
      </c>
    </row>
    <row r="52">
      <c r="A52" s="30" t="s">
        <v>7235</v>
      </c>
      <c r="G52" s="30" t="s">
        <v>7852</v>
      </c>
      <c r="I52" s="30" t="s">
        <v>7747</v>
      </c>
      <c r="J52" s="30" t="s">
        <v>7742</v>
      </c>
      <c r="K52" s="30" t="s">
        <v>7854</v>
      </c>
      <c r="L52" s="253">
        <v>43328.45527777778</v>
      </c>
      <c r="M52" s="30" t="s">
        <v>166</v>
      </c>
    </row>
    <row r="53">
      <c r="A53" s="30" t="s">
        <v>7267</v>
      </c>
      <c r="G53" s="30" t="s">
        <v>7855</v>
      </c>
      <c r="I53" s="30" t="s">
        <v>7747</v>
      </c>
      <c r="L53" s="253">
        <v>43294.410219907404</v>
      </c>
      <c r="M53" s="30" t="s">
        <v>166</v>
      </c>
    </row>
    <row r="54">
      <c r="A54" s="30" t="s">
        <v>7856</v>
      </c>
      <c r="G54" s="30" t="s">
        <v>7857</v>
      </c>
      <c r="I54" s="30" t="s">
        <v>7747</v>
      </c>
      <c r="J54" s="30" t="s">
        <v>7717</v>
      </c>
      <c r="K54" s="30" t="s">
        <v>7858</v>
      </c>
      <c r="L54" s="253">
        <v>43259.74019675926</v>
      </c>
      <c r="M54" s="30" t="s">
        <v>166</v>
      </c>
    </row>
    <row r="55">
      <c r="A55" s="30" t="s">
        <v>7565</v>
      </c>
      <c r="G55" s="30" t="s">
        <v>7859</v>
      </c>
      <c r="I55" s="30" t="s">
        <v>7747</v>
      </c>
      <c r="J55" s="30" t="s">
        <v>7717</v>
      </c>
      <c r="K55" s="30" t="s">
        <v>7860</v>
      </c>
      <c r="L55" s="253">
        <v>43270.471180555556</v>
      </c>
      <c r="M55" s="30" t="s">
        <v>166</v>
      </c>
    </row>
    <row r="56">
      <c r="A56" s="30" t="s">
        <v>7239</v>
      </c>
      <c r="G56" s="30" t="s">
        <v>7861</v>
      </c>
      <c r="I56" s="30" t="s">
        <v>7747</v>
      </c>
      <c r="L56" s="253">
        <v>43218.43818287037</v>
      </c>
      <c r="M56" s="30" t="s">
        <v>166</v>
      </c>
    </row>
    <row r="57">
      <c r="A57" s="30" t="s">
        <v>7862</v>
      </c>
      <c r="G57" s="30">
        <v>1.280272526E13</v>
      </c>
      <c r="I57" s="30" t="s">
        <v>7770</v>
      </c>
      <c r="L57" s="253">
        <v>43217.814421296294</v>
      </c>
      <c r="M57" s="30" t="s">
        <v>166</v>
      </c>
    </row>
    <row r="58">
      <c r="A58" s="30" t="s">
        <v>7516</v>
      </c>
      <c r="G58" s="30" t="s">
        <v>7863</v>
      </c>
      <c r="I58" s="30" t="s">
        <v>7770</v>
      </c>
      <c r="L58" s="253">
        <v>43243.667395833334</v>
      </c>
      <c r="M58" s="30" t="s">
        <v>166</v>
      </c>
    </row>
    <row r="59">
      <c r="A59" s="30" t="s">
        <v>7267</v>
      </c>
      <c r="G59" s="30" t="s">
        <v>7864</v>
      </c>
      <c r="I59" s="30" t="s">
        <v>7747</v>
      </c>
      <c r="L59" s="253">
        <v>43238.65010416666</v>
      </c>
      <c r="M59" s="30" t="s">
        <v>166</v>
      </c>
    </row>
    <row r="60">
      <c r="A60" s="30" t="s">
        <v>7239</v>
      </c>
      <c r="G60" s="30" t="s">
        <v>7865</v>
      </c>
      <c r="I60" s="30" t="s">
        <v>7770</v>
      </c>
      <c r="J60" s="30" t="s">
        <v>7742</v>
      </c>
      <c r="K60" s="30" t="s">
        <v>7866</v>
      </c>
      <c r="L60" s="253">
        <v>43305.769907407404</v>
      </c>
      <c r="M60" s="30" t="s">
        <v>166</v>
      </c>
    </row>
    <row r="61">
      <c r="A61" s="30" t="s">
        <v>7235</v>
      </c>
      <c r="G61" s="30" t="s">
        <v>7867</v>
      </c>
      <c r="I61" s="30" t="s">
        <v>7733</v>
      </c>
      <c r="L61" s="253">
        <v>43285.42324074074</v>
      </c>
      <c r="M61" s="30" t="s">
        <v>166</v>
      </c>
    </row>
    <row r="62">
      <c r="G62" s="30" t="s">
        <v>7868</v>
      </c>
      <c r="I62" s="30" t="s">
        <v>7733</v>
      </c>
      <c r="J62" s="30" t="s">
        <v>7742</v>
      </c>
      <c r="K62" s="30" t="s">
        <v>7869</v>
      </c>
      <c r="L62" s="253">
        <v>43299.81193287037</v>
      </c>
      <c r="M62" s="30" t="s">
        <v>166</v>
      </c>
    </row>
    <row r="63">
      <c r="A63" s="30" t="s">
        <v>7487</v>
      </c>
      <c r="G63" s="30" t="s">
        <v>7870</v>
      </c>
      <c r="I63" s="30" t="s">
        <v>7747</v>
      </c>
      <c r="L63" s="253">
        <v>43284.6643287037</v>
      </c>
      <c r="M63" s="30" t="s">
        <v>166</v>
      </c>
    </row>
    <row r="64">
      <c r="A64" s="30" t="s">
        <v>7239</v>
      </c>
      <c r="G64" s="30" t="s">
        <v>7871</v>
      </c>
      <c r="I64" s="30" t="s">
        <v>7747</v>
      </c>
      <c r="L64" s="253">
        <v>43285.62803240741</v>
      </c>
      <c r="M64" s="30" t="s">
        <v>166</v>
      </c>
    </row>
    <row r="65">
      <c r="A65" s="30" t="s">
        <v>7523</v>
      </c>
      <c r="G65" s="30" t="s">
        <v>7872</v>
      </c>
      <c r="I65" s="30" t="s">
        <v>7747</v>
      </c>
      <c r="L65" s="253">
        <v>43322.61744212963</v>
      </c>
      <c r="M65" s="30" t="s">
        <v>166</v>
      </c>
    </row>
    <row r="66">
      <c r="A66" s="30" t="s">
        <v>7523</v>
      </c>
      <c r="G66" s="30" t="s">
        <v>7873</v>
      </c>
      <c r="I66" s="30" t="s">
        <v>7747</v>
      </c>
      <c r="L66" s="253">
        <v>43325.39424768519</v>
      </c>
      <c r="M66" s="30" t="s">
        <v>166</v>
      </c>
    </row>
    <row r="67">
      <c r="A67" s="30" t="s">
        <v>7261</v>
      </c>
      <c r="G67" s="30" t="s">
        <v>7874</v>
      </c>
      <c r="I67" s="30" t="s">
        <v>7747</v>
      </c>
      <c r="K67" s="30" t="s">
        <v>7875</v>
      </c>
      <c r="L67" s="253">
        <v>43300.65583333333</v>
      </c>
      <c r="M67" s="30" t="s">
        <v>166</v>
      </c>
    </row>
  </sheetData>
  <mergeCells count="9">
    <mergeCell ref="A17:A18"/>
    <mergeCell ref="A19:A20"/>
    <mergeCell ref="A21:A22"/>
    <mergeCell ref="A23:A24"/>
    <mergeCell ref="A5:A7"/>
    <mergeCell ref="A2:A4"/>
    <mergeCell ref="A8:A10"/>
    <mergeCell ref="A11:A12"/>
    <mergeCell ref="A13:A14"/>
  </mergeCells>
  <conditionalFormatting sqref="L1:L32 L33:L410">
    <cfRule type="expression" dxfId="8" priority="1">
      <formula>AND(ISNUMBER(L1),TRUNC(L1)&lt;TODAY())</formula>
    </cfRule>
  </conditionalFormatting>
  <conditionalFormatting sqref="M1:M32 M33:M410">
    <cfRule type="notContainsBlanks" dxfId="9" priority="2">
      <formula>LEN(TRIM(M1))&gt;0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9.14"/>
    <col customWidth="1" min="3" max="3" width="8.86"/>
    <col customWidth="1" min="4" max="4" width="8.57"/>
    <col customWidth="1" min="5" max="5" width="28.43"/>
    <col customWidth="1" min="6" max="6" width="12.57"/>
    <col customWidth="1" min="7" max="7" width="14.29"/>
    <col customWidth="1" min="8" max="8" width="4.43"/>
    <col customWidth="1" min="9" max="9" width="9.14"/>
    <col customWidth="1" min="10" max="10" width="10.86"/>
    <col customWidth="1" min="11" max="11" width="10.29"/>
    <col customWidth="1" min="12" max="12" width="9.57"/>
    <col customWidth="1" min="13" max="13" width="18.71"/>
    <col customWidth="1" min="14" max="14" width="12.0"/>
  </cols>
  <sheetData>
    <row r="1">
      <c r="A1" s="49" t="s">
        <v>7892</v>
      </c>
      <c r="B1" s="139"/>
      <c r="C1" s="139"/>
      <c r="D1" s="139"/>
      <c r="E1" s="139"/>
      <c r="F1" s="139"/>
      <c r="G1" s="139"/>
      <c r="I1" s="49" t="s">
        <v>7893</v>
      </c>
      <c r="J1" s="53"/>
      <c r="K1" s="53"/>
      <c r="L1" s="53"/>
      <c r="M1" s="53"/>
      <c r="N1" s="53"/>
      <c r="O1" s="53"/>
    </row>
    <row r="2">
      <c r="A2" s="263" t="s">
        <v>7701</v>
      </c>
      <c r="B2" s="264" t="s">
        <v>7894</v>
      </c>
      <c r="C2" s="264" t="s">
        <v>7896</v>
      </c>
      <c r="D2" s="264" t="s">
        <v>7472</v>
      </c>
      <c r="E2" s="264" t="s">
        <v>7897</v>
      </c>
      <c r="F2" s="264" t="s">
        <v>7474</v>
      </c>
      <c r="G2" s="264" t="s">
        <v>7898</v>
      </c>
      <c r="I2" s="263" t="s">
        <v>7701</v>
      </c>
      <c r="J2" s="264" t="s">
        <v>7894</v>
      </c>
      <c r="K2" s="264" t="s">
        <v>7896</v>
      </c>
      <c r="L2" s="264" t="s">
        <v>7472</v>
      </c>
      <c r="M2" s="264" t="s">
        <v>7897</v>
      </c>
      <c r="N2" s="264" t="s">
        <v>7474</v>
      </c>
      <c r="O2" s="264" t="s">
        <v>7899</v>
      </c>
    </row>
    <row r="3">
      <c r="A3" s="265">
        <v>1103367.0</v>
      </c>
      <c r="B3" s="266">
        <v>9906982.0</v>
      </c>
      <c r="C3" s="266" t="s">
        <v>7239</v>
      </c>
      <c r="D3" s="266" t="s">
        <v>7066</v>
      </c>
      <c r="E3" s="267" t="s">
        <v>7498</v>
      </c>
      <c r="F3" s="266" t="s">
        <v>7482</v>
      </c>
      <c r="G3" s="267" t="s">
        <v>7901</v>
      </c>
      <c r="I3" s="268">
        <v>1103102.0</v>
      </c>
      <c r="J3" s="269">
        <v>9906297.0</v>
      </c>
      <c r="K3" s="266" t="s">
        <v>7493</v>
      </c>
      <c r="L3" s="266" t="s">
        <v>7053</v>
      </c>
      <c r="M3" s="267" t="s">
        <v>7488</v>
      </c>
      <c r="N3" s="266" t="s">
        <v>7482</v>
      </c>
      <c r="O3" s="267" t="s">
        <v>7901</v>
      </c>
    </row>
    <row r="4">
      <c r="A4" s="265">
        <v>1103373.0</v>
      </c>
      <c r="B4" s="266">
        <v>9906988.0</v>
      </c>
      <c r="C4" s="266" t="s">
        <v>7239</v>
      </c>
      <c r="D4" s="266" t="s">
        <v>7099</v>
      </c>
      <c r="E4" s="267" t="s">
        <v>7498</v>
      </c>
      <c r="F4" s="266" t="s">
        <v>7482</v>
      </c>
      <c r="G4" s="267" t="s">
        <v>7901</v>
      </c>
      <c r="I4" s="268">
        <v>1103210.0</v>
      </c>
      <c r="J4" s="269">
        <v>9906623.0</v>
      </c>
      <c r="K4" s="266" t="s">
        <v>7493</v>
      </c>
      <c r="L4" s="266" t="s">
        <v>7066</v>
      </c>
      <c r="M4" s="267" t="s">
        <v>7902</v>
      </c>
      <c r="N4" s="266" t="s">
        <v>7482</v>
      </c>
      <c r="O4" s="267" t="s">
        <v>7901</v>
      </c>
    </row>
    <row r="5">
      <c r="A5" s="265">
        <v>1103379.0</v>
      </c>
      <c r="B5" s="266">
        <v>9907000.0</v>
      </c>
      <c r="C5" s="266" t="s">
        <v>7239</v>
      </c>
      <c r="D5" s="266" t="s">
        <v>7306</v>
      </c>
      <c r="E5" s="267" t="s">
        <v>7498</v>
      </c>
      <c r="F5" s="266" t="s">
        <v>7482</v>
      </c>
      <c r="G5" s="267" t="s">
        <v>7901</v>
      </c>
      <c r="I5" s="268">
        <v>1103049.0</v>
      </c>
      <c r="J5" s="269">
        <v>9906093.0</v>
      </c>
      <c r="K5" s="266" t="s">
        <v>7261</v>
      </c>
      <c r="L5" s="266" t="s">
        <v>7053</v>
      </c>
      <c r="M5" s="266" t="s">
        <v>7542</v>
      </c>
      <c r="N5" s="266" t="s">
        <v>7482</v>
      </c>
      <c r="O5" s="267" t="s">
        <v>7901</v>
      </c>
    </row>
    <row r="6">
      <c r="A6" s="265">
        <v>1103151.0</v>
      </c>
      <c r="B6" s="266">
        <v>9906435.0</v>
      </c>
      <c r="C6" s="266" t="s">
        <v>7235</v>
      </c>
      <c r="D6" s="266" t="s">
        <v>7066</v>
      </c>
      <c r="E6" s="266" t="s">
        <v>7519</v>
      </c>
      <c r="F6" s="266" t="s">
        <v>7482</v>
      </c>
      <c r="G6" s="267" t="s">
        <v>7901</v>
      </c>
      <c r="I6" s="268">
        <v>1103204.0</v>
      </c>
      <c r="J6" s="269">
        <v>9906619.0</v>
      </c>
      <c r="K6" s="266" t="s">
        <v>7261</v>
      </c>
      <c r="L6" s="266" t="s">
        <v>7066</v>
      </c>
      <c r="M6" s="267" t="s">
        <v>7507</v>
      </c>
      <c r="N6" s="266" t="s">
        <v>7482</v>
      </c>
      <c r="O6" s="267" t="s">
        <v>7901</v>
      </c>
    </row>
    <row r="7">
      <c r="A7" s="265">
        <v>1103368.0</v>
      </c>
      <c r="B7" s="266">
        <v>9906983.0</v>
      </c>
      <c r="C7" s="266" t="s">
        <v>7235</v>
      </c>
      <c r="D7" s="266" t="s">
        <v>7099</v>
      </c>
      <c r="E7" s="266" t="s">
        <v>7519</v>
      </c>
      <c r="F7" s="266" t="s">
        <v>7482</v>
      </c>
      <c r="G7" s="267" t="s">
        <v>7901</v>
      </c>
      <c r="I7" s="268">
        <v>1103097.0</v>
      </c>
      <c r="J7" s="269">
        <v>9906295.0</v>
      </c>
      <c r="K7" s="266" t="s">
        <v>7516</v>
      </c>
      <c r="L7" s="266" t="s">
        <v>7053</v>
      </c>
      <c r="M7" s="267" t="s">
        <v>7517</v>
      </c>
      <c r="N7" s="266" t="s">
        <v>7482</v>
      </c>
      <c r="O7" s="267" t="s">
        <v>7901</v>
      </c>
    </row>
    <row r="8">
      <c r="A8" s="265">
        <v>1103372.0</v>
      </c>
      <c r="B8" s="266">
        <v>9906987.0</v>
      </c>
      <c r="C8" s="266" t="s">
        <v>7235</v>
      </c>
      <c r="D8" s="266" t="s">
        <v>7053</v>
      </c>
      <c r="E8" s="266" t="s">
        <v>7519</v>
      </c>
      <c r="F8" s="266" t="s">
        <v>7482</v>
      </c>
      <c r="G8" s="267" t="s">
        <v>7901</v>
      </c>
      <c r="I8" s="268">
        <v>1103207.0</v>
      </c>
      <c r="J8" s="269">
        <v>9906620.0</v>
      </c>
      <c r="K8" s="266" t="s">
        <v>7516</v>
      </c>
      <c r="L8" s="266" t="s">
        <v>7066</v>
      </c>
      <c r="M8" s="267" t="s">
        <v>7904</v>
      </c>
      <c r="N8" s="266" t="s">
        <v>7482</v>
      </c>
      <c r="O8" s="267" t="s">
        <v>7901</v>
      </c>
    </row>
    <row r="9">
      <c r="A9" s="265">
        <v>1103378.0</v>
      </c>
      <c r="B9" s="266">
        <v>9906998.0</v>
      </c>
      <c r="C9" s="266" t="s">
        <v>7235</v>
      </c>
      <c r="D9" s="266" t="s">
        <v>7306</v>
      </c>
      <c r="E9" s="266" t="s">
        <v>7519</v>
      </c>
      <c r="F9" s="266" t="s">
        <v>7482</v>
      </c>
      <c r="G9" s="267" t="s">
        <v>7901</v>
      </c>
      <c r="I9" s="268">
        <v>1103211.0</v>
      </c>
      <c r="J9" s="269">
        <v>9906625.0</v>
      </c>
      <c r="K9" s="266" t="s">
        <v>7523</v>
      </c>
      <c r="L9" s="266" t="s">
        <v>7066</v>
      </c>
      <c r="M9" s="267" t="s">
        <v>7905</v>
      </c>
      <c r="N9" s="266" t="s">
        <v>7482</v>
      </c>
      <c r="O9" s="267" t="s">
        <v>7901</v>
      </c>
    </row>
    <row r="10">
      <c r="A10" s="265">
        <v>1103223.0</v>
      </c>
      <c r="B10" s="266">
        <v>9906693.0</v>
      </c>
      <c r="C10" s="266" t="s">
        <v>7267</v>
      </c>
      <c r="D10" s="266" t="s">
        <v>7066</v>
      </c>
      <c r="E10" s="267" t="s">
        <v>7906</v>
      </c>
      <c r="F10" s="266" t="s">
        <v>7482</v>
      </c>
      <c r="G10" s="267" t="s">
        <v>7901</v>
      </c>
      <c r="I10" s="268">
        <v>1103415.0</v>
      </c>
      <c r="J10" s="269">
        <v>9906995.0</v>
      </c>
      <c r="K10" s="266" t="s">
        <v>7523</v>
      </c>
      <c r="L10" s="266" t="s">
        <v>7053</v>
      </c>
      <c r="M10" s="267" t="s">
        <v>7907</v>
      </c>
      <c r="N10" s="266" t="s">
        <v>7482</v>
      </c>
      <c r="O10" s="267" t="s">
        <v>7901</v>
      </c>
    </row>
    <row r="11">
      <c r="A11" s="265">
        <v>1103359.0</v>
      </c>
      <c r="B11" s="266">
        <v>9906968.0</v>
      </c>
      <c r="C11" s="266" t="s">
        <v>7267</v>
      </c>
      <c r="D11" s="266" t="s">
        <v>7306</v>
      </c>
      <c r="E11" s="267" t="s">
        <v>7537</v>
      </c>
      <c r="F11" s="266" t="s">
        <v>7482</v>
      </c>
      <c r="G11" s="267" t="s">
        <v>7901</v>
      </c>
      <c r="I11" s="268">
        <v>9999999.0</v>
      </c>
      <c r="J11" s="266" t="s">
        <v>7529</v>
      </c>
      <c r="K11" s="266" t="s">
        <v>7529</v>
      </c>
      <c r="L11" s="266" t="s">
        <v>7538</v>
      </c>
      <c r="M11" s="266" t="s">
        <v>7539</v>
      </c>
      <c r="N11" s="266" t="s">
        <v>7556</v>
      </c>
      <c r="O11" s="267" t="s">
        <v>7901</v>
      </c>
    </row>
    <row r="12">
      <c r="A12" s="265">
        <v>1103362.0</v>
      </c>
      <c r="B12" s="266">
        <v>9906977.0</v>
      </c>
      <c r="C12" s="266" t="s">
        <v>7267</v>
      </c>
      <c r="D12" s="266" t="s">
        <v>7393</v>
      </c>
      <c r="E12" s="267" t="s">
        <v>7543</v>
      </c>
      <c r="F12" s="266" t="s">
        <v>7482</v>
      </c>
      <c r="G12" s="267" t="s">
        <v>7901</v>
      </c>
      <c r="I12" s="268">
        <v>9999999.0</v>
      </c>
      <c r="J12" s="266" t="s">
        <v>7529</v>
      </c>
      <c r="K12" s="266" t="s">
        <v>7529</v>
      </c>
      <c r="L12" s="266" t="s">
        <v>7541</v>
      </c>
      <c r="M12" s="266" t="s">
        <v>7542</v>
      </c>
      <c r="N12" s="266" t="s">
        <v>7556</v>
      </c>
      <c r="O12" s="267" t="s">
        <v>7901</v>
      </c>
    </row>
    <row r="13">
      <c r="A13" s="265">
        <v>1103369.0</v>
      </c>
      <c r="B13" s="266">
        <v>9906984.0</v>
      </c>
      <c r="C13" s="266" t="s">
        <v>7267</v>
      </c>
      <c r="D13" s="266" t="s">
        <v>7053</v>
      </c>
      <c r="E13" s="267" t="s">
        <v>7537</v>
      </c>
      <c r="F13" s="266" t="s">
        <v>7482</v>
      </c>
      <c r="G13" s="267" t="s">
        <v>7901</v>
      </c>
      <c r="I13" s="268">
        <v>9999999.0</v>
      </c>
      <c r="J13" s="266" t="s">
        <v>7529</v>
      </c>
      <c r="K13" s="266" t="s">
        <v>7529</v>
      </c>
      <c r="L13" s="266" t="s">
        <v>7545</v>
      </c>
      <c r="M13" s="266" t="s">
        <v>7546</v>
      </c>
      <c r="N13" s="266" t="s">
        <v>7556</v>
      </c>
      <c r="O13" s="267" t="s">
        <v>7901</v>
      </c>
    </row>
    <row r="14">
      <c r="A14" s="265">
        <v>1103371.0</v>
      </c>
      <c r="B14" s="266">
        <v>9906986.0</v>
      </c>
      <c r="C14" s="266" t="s">
        <v>7267</v>
      </c>
      <c r="D14" s="266" t="s">
        <v>7099</v>
      </c>
      <c r="E14" s="267" t="s">
        <v>7543</v>
      </c>
      <c r="F14" s="266" t="s">
        <v>7482</v>
      </c>
      <c r="G14" s="267" t="s">
        <v>7901</v>
      </c>
      <c r="I14" s="265" t="s">
        <v>7529</v>
      </c>
      <c r="J14" s="266" t="s">
        <v>7529</v>
      </c>
      <c r="K14" s="269">
        <v>9907653.0</v>
      </c>
      <c r="L14" s="266" t="s">
        <v>7551</v>
      </c>
      <c r="M14" s="267" t="s">
        <v>7552</v>
      </c>
      <c r="N14" s="266" t="s">
        <v>7556</v>
      </c>
      <c r="O14" s="267" t="s">
        <v>7901</v>
      </c>
    </row>
    <row r="15">
      <c r="A15" s="265">
        <v>1103360.0</v>
      </c>
      <c r="B15" s="266">
        <v>9906969.0</v>
      </c>
      <c r="C15" s="266" t="s">
        <v>7557</v>
      </c>
      <c r="D15" s="266" t="s">
        <v>7306</v>
      </c>
      <c r="E15" s="267" t="s">
        <v>7558</v>
      </c>
      <c r="F15" s="266" t="s">
        <v>7482</v>
      </c>
      <c r="G15" s="267" t="s">
        <v>7901</v>
      </c>
      <c r="I15" s="268">
        <v>9102000.0</v>
      </c>
      <c r="J15" s="266" t="s">
        <v>7529</v>
      </c>
      <c r="K15" s="266" t="s">
        <v>7261</v>
      </c>
      <c r="L15" s="266" t="s">
        <v>7078</v>
      </c>
      <c r="M15" s="267" t="s">
        <v>7507</v>
      </c>
      <c r="N15" s="266" t="s">
        <v>7556</v>
      </c>
      <c r="O15" s="267" t="s">
        <v>7901</v>
      </c>
    </row>
    <row r="16">
      <c r="A16" s="265">
        <v>1103494.0</v>
      </c>
      <c r="B16" s="266">
        <v>9907253.0</v>
      </c>
      <c r="C16" s="266" t="s">
        <v>7557</v>
      </c>
      <c r="D16" s="266" t="s">
        <v>7066</v>
      </c>
      <c r="E16" s="267" t="s">
        <v>7558</v>
      </c>
      <c r="F16" s="266" t="s">
        <v>7482</v>
      </c>
      <c r="G16" s="267" t="s">
        <v>7901</v>
      </c>
      <c r="I16" s="268">
        <v>9101000.0</v>
      </c>
      <c r="J16" s="266" t="s">
        <v>7529</v>
      </c>
      <c r="K16" s="266" t="s">
        <v>7487</v>
      </c>
      <c r="L16" s="266" t="s">
        <v>7910</v>
      </c>
      <c r="M16" s="267" t="s">
        <v>7911</v>
      </c>
      <c r="N16" s="266" t="s">
        <v>7556</v>
      </c>
      <c r="O16" s="267" t="s">
        <v>7901</v>
      </c>
    </row>
    <row r="17">
      <c r="A17" s="265">
        <v>1103040.0</v>
      </c>
      <c r="B17" s="266">
        <v>9906144.0</v>
      </c>
      <c r="C17" s="266" t="s">
        <v>7565</v>
      </c>
      <c r="D17" s="266" t="s">
        <v>7053</v>
      </c>
      <c r="E17" s="267" t="s">
        <v>7566</v>
      </c>
      <c r="F17" s="266" t="s">
        <v>7482</v>
      </c>
      <c r="G17" s="267" t="s">
        <v>7901</v>
      </c>
      <c r="I17" s="268">
        <v>9101001.0</v>
      </c>
      <c r="J17" s="266" t="s">
        <v>7529</v>
      </c>
      <c r="K17" s="266" t="s">
        <v>7261</v>
      </c>
      <c r="L17" s="266" t="s">
        <v>7554</v>
      </c>
      <c r="M17" s="266" t="s">
        <v>7555</v>
      </c>
      <c r="N17" s="266" t="s">
        <v>7556</v>
      </c>
      <c r="O17" s="266" t="s">
        <v>7912</v>
      </c>
    </row>
    <row r="18">
      <c r="A18" s="265">
        <v>1103361.0</v>
      </c>
      <c r="B18" s="266">
        <v>9906970.0</v>
      </c>
      <c r="C18" s="266" t="s">
        <v>7565</v>
      </c>
      <c r="D18" s="266" t="s">
        <v>7306</v>
      </c>
      <c r="E18" s="267" t="s">
        <v>7566</v>
      </c>
      <c r="F18" s="266" t="s">
        <v>7482</v>
      </c>
      <c r="G18" s="267" t="s">
        <v>7901</v>
      </c>
      <c r="I18" s="268">
        <v>5101000.0</v>
      </c>
      <c r="J18" s="266" t="s">
        <v>7529</v>
      </c>
      <c r="K18" s="266" t="s">
        <v>7487</v>
      </c>
      <c r="L18" s="266" t="s">
        <v>7559</v>
      </c>
      <c r="M18" s="266" t="s">
        <v>7560</v>
      </c>
      <c r="N18" s="266" t="s">
        <v>7556</v>
      </c>
      <c r="O18" s="266" t="s">
        <v>7912</v>
      </c>
    </row>
    <row r="19">
      <c r="A19" s="265">
        <v>1103377.0</v>
      </c>
      <c r="B19" s="266">
        <v>9906994.0</v>
      </c>
      <c r="C19" s="266" t="s">
        <v>7565</v>
      </c>
      <c r="D19" s="266" t="s">
        <v>7099</v>
      </c>
      <c r="E19" s="267" t="s">
        <v>7566</v>
      </c>
      <c r="F19" s="266" t="s">
        <v>7482</v>
      </c>
      <c r="G19" s="267" t="s">
        <v>7901</v>
      </c>
      <c r="I19" s="268">
        <v>9101000.0</v>
      </c>
      <c r="J19" s="269">
        <v>5102010.0</v>
      </c>
      <c r="K19" s="266" t="s">
        <v>7493</v>
      </c>
      <c r="L19" s="266" t="s">
        <v>7535</v>
      </c>
      <c r="M19" s="267" t="s">
        <v>7913</v>
      </c>
      <c r="N19" s="266" t="s">
        <v>7556</v>
      </c>
      <c r="O19" s="267" t="s">
        <v>7901</v>
      </c>
    </row>
    <row r="20">
      <c r="A20" s="265">
        <v>9101001.0</v>
      </c>
      <c r="B20" s="266" t="s">
        <v>7529</v>
      </c>
      <c r="C20" s="266" t="s">
        <v>7235</v>
      </c>
      <c r="D20" s="266" t="s">
        <v>7554</v>
      </c>
      <c r="E20" s="266" t="s">
        <v>7572</v>
      </c>
      <c r="F20" s="266" t="s">
        <v>7556</v>
      </c>
      <c r="G20" s="270"/>
      <c r="I20" s="268" t="s">
        <v>7529</v>
      </c>
      <c r="J20" s="269">
        <v>9908031.0</v>
      </c>
      <c r="K20" s="266" t="s">
        <v>7516</v>
      </c>
      <c r="L20" s="266" t="s">
        <v>7569</v>
      </c>
      <c r="M20" s="267" t="s">
        <v>7914</v>
      </c>
      <c r="N20" s="266" t="s">
        <v>7482</v>
      </c>
      <c r="O20" s="267" t="s">
        <v>7901</v>
      </c>
    </row>
    <row r="21">
      <c r="A21" s="265">
        <v>9101001.0</v>
      </c>
      <c r="B21" s="266" t="s">
        <v>7529</v>
      </c>
      <c r="C21" s="266" t="s">
        <v>7235</v>
      </c>
      <c r="D21" s="266" t="s">
        <v>7554</v>
      </c>
      <c r="E21" s="267" t="s">
        <v>7916</v>
      </c>
      <c r="F21" s="266" t="s">
        <v>7556</v>
      </c>
      <c r="G21" s="267" t="s">
        <v>7901</v>
      </c>
      <c r="I21" s="268" t="s">
        <v>7529</v>
      </c>
      <c r="J21" s="269">
        <v>9908032.0</v>
      </c>
      <c r="K21" s="266" t="s">
        <v>7487</v>
      </c>
      <c r="L21" s="266" t="s">
        <v>7551</v>
      </c>
      <c r="M21" s="267" t="s">
        <v>7917</v>
      </c>
      <c r="N21" s="266" t="s">
        <v>7482</v>
      </c>
      <c r="O21" s="267" t="s">
        <v>7901</v>
      </c>
    </row>
    <row r="22">
      <c r="A22" s="265">
        <v>9101001.0</v>
      </c>
      <c r="B22" s="266">
        <v>5502004.0</v>
      </c>
      <c r="C22" s="266" t="s">
        <v>7235</v>
      </c>
      <c r="D22" s="266" t="s">
        <v>7554</v>
      </c>
      <c r="E22" s="266" t="s">
        <v>7918</v>
      </c>
      <c r="F22" s="266" t="s">
        <v>7556</v>
      </c>
      <c r="G22" s="267" t="s">
        <v>7901</v>
      </c>
      <c r="I22" s="268" t="s">
        <v>7529</v>
      </c>
      <c r="J22" s="269">
        <v>9907852.0</v>
      </c>
      <c r="K22" s="266" t="s">
        <v>7487</v>
      </c>
      <c r="L22" s="266" t="s">
        <v>7535</v>
      </c>
      <c r="M22" s="267" t="s">
        <v>7536</v>
      </c>
      <c r="N22" s="266" t="s">
        <v>7482</v>
      </c>
      <c r="O22" s="267" t="s">
        <v>7901</v>
      </c>
    </row>
    <row r="23">
      <c r="A23" s="265">
        <v>9101001.0</v>
      </c>
      <c r="B23" s="266">
        <v>5502005.0</v>
      </c>
      <c r="C23" s="266" t="s">
        <v>7235</v>
      </c>
      <c r="D23" s="266" t="s">
        <v>7554</v>
      </c>
      <c r="E23" s="267" t="s">
        <v>7919</v>
      </c>
      <c r="F23" s="266" t="s">
        <v>7556</v>
      </c>
      <c r="G23" s="267" t="s">
        <v>7901</v>
      </c>
    </row>
    <row r="24">
      <c r="A24" s="265">
        <v>9101001.0</v>
      </c>
      <c r="B24" s="266">
        <v>5502007.0</v>
      </c>
      <c r="C24" s="266" t="s">
        <v>7235</v>
      </c>
      <c r="D24" s="266" t="s">
        <v>7554</v>
      </c>
      <c r="E24" s="266" t="s">
        <v>7576</v>
      </c>
      <c r="F24" s="266" t="s">
        <v>7556</v>
      </c>
      <c r="G24" s="266" t="s">
        <v>7912</v>
      </c>
    </row>
    <row r="25">
      <c r="A25" s="265">
        <v>9102002.0</v>
      </c>
      <c r="B25" s="266" t="s">
        <v>7529</v>
      </c>
      <c r="C25" s="266" t="s">
        <v>7565</v>
      </c>
      <c r="D25" s="266" t="s">
        <v>7554</v>
      </c>
      <c r="E25" s="266" t="s">
        <v>7580</v>
      </c>
      <c r="F25" s="266" t="s">
        <v>7556</v>
      </c>
      <c r="G25" s="266" t="s">
        <v>7912</v>
      </c>
    </row>
    <row r="26">
      <c r="A26" s="265">
        <v>9102001.0</v>
      </c>
      <c r="B26" s="266" t="s">
        <v>7529</v>
      </c>
      <c r="C26" s="266" t="s">
        <v>7239</v>
      </c>
      <c r="D26" s="266" t="s">
        <v>7582</v>
      </c>
      <c r="E26" s="266" t="s">
        <v>7583</v>
      </c>
      <c r="F26" s="266" t="s">
        <v>7556</v>
      </c>
      <c r="G26" s="266" t="s">
        <v>7556</v>
      </c>
    </row>
    <row r="27">
      <c r="A27" s="265">
        <v>9102008.0</v>
      </c>
      <c r="B27" s="269">
        <v>5502008.0</v>
      </c>
      <c r="C27" s="266" t="s">
        <v>7239</v>
      </c>
      <c r="D27" s="266" t="s">
        <v>7584</v>
      </c>
      <c r="E27" s="267" t="s">
        <v>7585</v>
      </c>
      <c r="F27" s="266" t="s">
        <v>7556</v>
      </c>
      <c r="G27" s="267" t="s">
        <v>7901</v>
      </c>
    </row>
    <row r="28">
      <c r="A28" s="265">
        <v>9102009.0</v>
      </c>
      <c r="B28" s="269">
        <v>5502009.0</v>
      </c>
      <c r="C28" s="266" t="s">
        <v>7239</v>
      </c>
      <c r="D28" s="266" t="s">
        <v>7535</v>
      </c>
      <c r="E28" s="267" t="s">
        <v>7588</v>
      </c>
      <c r="F28" s="266" t="s">
        <v>7556</v>
      </c>
      <c r="G28" s="267" t="s">
        <v>7901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6" width="41.71"/>
  </cols>
  <sheetData>
    <row r="1">
      <c r="A1" s="271"/>
      <c r="B1" s="272" t="s">
        <v>7479</v>
      </c>
      <c r="C1" s="272" t="s">
        <v>7505</v>
      </c>
      <c r="D1" s="272" t="s">
        <v>7510</v>
      </c>
      <c r="E1" s="272" t="s">
        <v>7484</v>
      </c>
      <c r="F1" s="272" t="s">
        <v>7925</v>
      </c>
      <c r="G1" s="190"/>
      <c r="H1" s="190"/>
      <c r="I1" s="190"/>
      <c r="J1" s="190"/>
      <c r="K1" s="190"/>
      <c r="L1" s="190"/>
    </row>
    <row r="2">
      <c r="A2" s="273" t="s">
        <v>7926</v>
      </c>
      <c r="B2" s="274" t="s">
        <v>7927</v>
      </c>
      <c r="C2" s="274" t="s">
        <v>7928</v>
      </c>
      <c r="D2" s="274" t="s">
        <v>7929</v>
      </c>
      <c r="E2" s="274" t="s">
        <v>7930</v>
      </c>
      <c r="F2" s="274" t="s">
        <v>7931</v>
      </c>
      <c r="G2" s="190"/>
      <c r="H2" s="190"/>
      <c r="I2" s="190"/>
      <c r="J2" s="190"/>
      <c r="K2" s="190"/>
      <c r="L2" s="190"/>
    </row>
    <row r="3">
      <c r="A3" s="272" t="s">
        <v>7933</v>
      </c>
      <c r="B3" s="275" t="s">
        <v>7935</v>
      </c>
      <c r="C3" s="275" t="s">
        <v>7936</v>
      </c>
      <c r="D3" s="276" t="s">
        <v>7937</v>
      </c>
      <c r="E3" s="275" t="s">
        <v>7938</v>
      </c>
      <c r="F3" s="275" t="s">
        <v>7939</v>
      </c>
      <c r="G3" s="190"/>
      <c r="H3" s="190"/>
      <c r="I3" s="190"/>
      <c r="J3" s="190"/>
      <c r="K3" s="190"/>
      <c r="L3" s="190"/>
    </row>
    <row r="4">
      <c r="A4" s="272" t="s">
        <v>7940</v>
      </c>
      <c r="B4" s="275" t="s">
        <v>7941</v>
      </c>
      <c r="C4" s="275" t="s">
        <v>7577</v>
      </c>
      <c r="D4" s="275" t="s">
        <v>7577</v>
      </c>
      <c r="E4" s="275" t="s">
        <v>7942</v>
      </c>
      <c r="F4" s="275" t="s">
        <v>7577</v>
      </c>
      <c r="G4" s="190"/>
      <c r="H4" s="190"/>
      <c r="I4" s="190"/>
      <c r="J4" s="190"/>
      <c r="K4" s="190"/>
      <c r="L4" s="190"/>
    </row>
    <row r="5">
      <c r="A5" s="272" t="s">
        <v>7943</v>
      </c>
      <c r="B5" s="275" t="s">
        <v>7944</v>
      </c>
      <c r="C5" s="275" t="s">
        <v>7946</v>
      </c>
      <c r="D5" s="276" t="s">
        <v>7948</v>
      </c>
      <c r="E5" s="275" t="s">
        <v>7949</v>
      </c>
      <c r="F5" s="276" t="s">
        <v>7950</v>
      </c>
      <c r="G5" s="190"/>
      <c r="H5" s="190"/>
      <c r="I5" s="190"/>
      <c r="J5" s="190"/>
      <c r="K5" s="190"/>
      <c r="L5" s="190"/>
    </row>
    <row r="6">
      <c r="A6" s="272" t="s">
        <v>7951</v>
      </c>
      <c r="B6" s="275" t="s">
        <v>7952</v>
      </c>
      <c r="C6" s="275" t="s">
        <v>7953</v>
      </c>
      <c r="D6" s="275" t="s">
        <v>7577</v>
      </c>
      <c r="E6" s="275" t="s">
        <v>7954</v>
      </c>
      <c r="F6" s="275" t="s">
        <v>7577</v>
      </c>
      <c r="G6" s="190"/>
      <c r="H6" s="190"/>
      <c r="I6" s="190"/>
      <c r="J6" s="190"/>
      <c r="K6" s="190"/>
      <c r="L6" s="190"/>
    </row>
    <row r="7">
      <c r="A7" s="272" t="s">
        <v>7955</v>
      </c>
      <c r="B7" s="275" t="s">
        <v>7956</v>
      </c>
      <c r="C7" s="275" t="s">
        <v>7577</v>
      </c>
      <c r="D7" s="275" t="s">
        <v>7577</v>
      </c>
      <c r="E7" s="275" t="s">
        <v>7957</v>
      </c>
      <c r="F7" s="275" t="s">
        <v>7577</v>
      </c>
      <c r="G7" s="190"/>
      <c r="H7" s="190"/>
      <c r="I7" s="190"/>
      <c r="J7" s="190"/>
      <c r="K7" s="190"/>
      <c r="L7" s="190"/>
    </row>
    <row r="8">
      <c r="A8" s="272" t="s">
        <v>7958</v>
      </c>
      <c r="B8" s="275" t="s">
        <v>7959</v>
      </c>
      <c r="C8" s="275" t="s">
        <v>7577</v>
      </c>
      <c r="D8" s="275" t="s">
        <v>7577</v>
      </c>
      <c r="E8" s="275" t="s">
        <v>7960</v>
      </c>
      <c r="F8" s="275" t="s">
        <v>7577</v>
      </c>
      <c r="G8" s="190"/>
      <c r="H8" s="190"/>
      <c r="I8" s="190"/>
      <c r="J8" s="190"/>
      <c r="K8" s="190"/>
      <c r="L8" s="190"/>
    </row>
    <row r="9">
      <c r="A9" s="272" t="s">
        <v>7961</v>
      </c>
      <c r="B9" s="275" t="s">
        <v>7577</v>
      </c>
      <c r="C9" s="275" t="s">
        <v>7577</v>
      </c>
      <c r="D9" s="275" t="s">
        <v>7577</v>
      </c>
      <c r="E9" s="275" t="s">
        <v>7963</v>
      </c>
      <c r="F9" s="275" t="s">
        <v>7577</v>
      </c>
      <c r="G9" s="190"/>
      <c r="H9" s="190"/>
      <c r="I9" s="190"/>
      <c r="J9" s="190"/>
      <c r="K9" s="190"/>
      <c r="L9" s="190"/>
    </row>
    <row r="10">
      <c r="A10" s="272" t="s">
        <v>7965</v>
      </c>
      <c r="B10" s="275" t="s">
        <v>7966</v>
      </c>
      <c r="C10" s="275" t="s">
        <v>7577</v>
      </c>
      <c r="D10" s="275" t="s">
        <v>7577</v>
      </c>
      <c r="E10" s="275" t="s">
        <v>7967</v>
      </c>
      <c r="F10" s="275" t="s">
        <v>7577</v>
      </c>
      <c r="G10" s="190"/>
      <c r="H10" s="190"/>
      <c r="I10" s="190"/>
      <c r="J10" s="190"/>
      <c r="K10" s="190"/>
      <c r="L10" s="190"/>
    </row>
    <row r="11">
      <c r="A11" s="272" t="s">
        <v>7968</v>
      </c>
      <c r="B11" s="275" t="s">
        <v>7577</v>
      </c>
      <c r="C11" s="275" t="s">
        <v>7577</v>
      </c>
      <c r="D11" s="275" t="s">
        <v>7577</v>
      </c>
      <c r="E11" s="275" t="s">
        <v>7969</v>
      </c>
      <c r="F11" s="275" t="s">
        <v>7577</v>
      </c>
      <c r="G11" s="190"/>
      <c r="H11" s="190"/>
      <c r="I11" s="190"/>
      <c r="J11" s="190"/>
      <c r="K11" s="190"/>
      <c r="L11" s="190"/>
    </row>
    <row r="12">
      <c r="A12" s="272" t="s">
        <v>7970</v>
      </c>
      <c r="B12" s="275" t="s">
        <v>7577</v>
      </c>
      <c r="C12" s="275" t="s">
        <v>7577</v>
      </c>
      <c r="D12" s="275" t="s">
        <v>7577</v>
      </c>
      <c r="E12" s="275" t="s">
        <v>7971</v>
      </c>
      <c r="F12" s="275" t="s">
        <v>7577</v>
      </c>
      <c r="G12" s="190"/>
      <c r="H12" s="190"/>
      <c r="I12" s="190"/>
      <c r="J12" s="190"/>
      <c r="K12" s="190"/>
      <c r="L12" s="190"/>
    </row>
    <row r="13">
      <c r="A13" s="272" t="s">
        <v>7972</v>
      </c>
      <c r="B13" s="275" t="s">
        <v>7577</v>
      </c>
      <c r="C13" s="275" t="s">
        <v>7577</v>
      </c>
      <c r="D13" s="275" t="s">
        <v>7577</v>
      </c>
      <c r="E13" s="275" t="s">
        <v>7973</v>
      </c>
      <c r="F13" s="275" t="s">
        <v>7577</v>
      </c>
      <c r="G13" s="190"/>
      <c r="H13" s="190"/>
      <c r="I13" s="190"/>
      <c r="J13" s="190"/>
      <c r="K13" s="190"/>
      <c r="L13" s="190"/>
    </row>
    <row r="14">
      <c r="A14" s="272" t="s">
        <v>7974</v>
      </c>
      <c r="B14" s="275" t="s">
        <v>7577</v>
      </c>
      <c r="C14" s="275" t="s">
        <v>7577</v>
      </c>
      <c r="D14" s="275" t="s">
        <v>7577</v>
      </c>
      <c r="E14" s="275" t="s">
        <v>7975</v>
      </c>
      <c r="F14" s="275" t="s">
        <v>7577</v>
      </c>
      <c r="G14" s="190"/>
      <c r="H14" s="190"/>
      <c r="I14" s="190"/>
      <c r="J14" s="190"/>
      <c r="K14" s="190"/>
      <c r="L14" s="190"/>
    </row>
    <row r="15">
      <c r="A15" s="272" t="s">
        <v>7976</v>
      </c>
      <c r="B15" s="275" t="s">
        <v>7977</v>
      </c>
      <c r="C15" s="277" t="s">
        <v>7978</v>
      </c>
      <c r="D15" s="275" t="s">
        <v>7981</v>
      </c>
      <c r="E15" s="275" t="s">
        <v>7982</v>
      </c>
      <c r="F15" s="276" t="s">
        <v>7983</v>
      </c>
      <c r="G15" s="190"/>
      <c r="H15" s="190"/>
      <c r="I15" s="190"/>
      <c r="J15" s="190"/>
      <c r="K15" s="190"/>
      <c r="L15" s="190"/>
    </row>
    <row r="16">
      <c r="A16" s="272" t="s">
        <v>7984</v>
      </c>
      <c r="B16" s="275" t="s">
        <v>7985</v>
      </c>
      <c r="C16" s="275" t="s">
        <v>7577</v>
      </c>
      <c r="D16" s="275" t="s">
        <v>7577</v>
      </c>
      <c r="E16" s="275" t="s">
        <v>7577</v>
      </c>
      <c r="F16" s="275" t="s">
        <v>7577</v>
      </c>
      <c r="G16" s="190"/>
      <c r="H16" s="190"/>
      <c r="I16" s="190"/>
      <c r="J16" s="190"/>
      <c r="K16" s="190"/>
      <c r="L16" s="190"/>
    </row>
    <row r="17">
      <c r="A17" s="272" t="s">
        <v>7986</v>
      </c>
      <c r="B17" s="275" t="s">
        <v>7987</v>
      </c>
      <c r="C17" s="277" t="s">
        <v>7988</v>
      </c>
      <c r="D17" s="275" t="s">
        <v>7989</v>
      </c>
      <c r="E17" s="275" t="s">
        <v>7990</v>
      </c>
      <c r="F17" s="275" t="s">
        <v>7991</v>
      </c>
      <c r="G17" s="190"/>
      <c r="H17" s="190"/>
      <c r="I17" s="190"/>
      <c r="J17" s="190"/>
      <c r="K17" s="190"/>
      <c r="L17" s="190"/>
    </row>
    <row r="18">
      <c r="A18" s="278" t="s">
        <v>7992</v>
      </c>
      <c r="B18" s="277" t="s">
        <v>7995</v>
      </c>
      <c r="C18" s="279" t="s">
        <v>7996</v>
      </c>
      <c r="D18" s="280" t="s">
        <v>7922</v>
      </c>
      <c r="E18" s="281" t="s">
        <v>7997</v>
      </c>
      <c r="F18" s="280" t="s">
        <v>7998</v>
      </c>
      <c r="G18" s="190"/>
      <c r="H18" s="190"/>
      <c r="I18" s="190"/>
      <c r="J18" s="190"/>
      <c r="K18" s="190"/>
      <c r="L18" s="190"/>
    </row>
    <row r="19">
      <c r="A19" s="272" t="s">
        <v>8000</v>
      </c>
      <c r="B19" s="275" t="s">
        <v>8001</v>
      </c>
      <c r="C19" s="275" t="s">
        <v>7922</v>
      </c>
      <c r="D19" s="275" t="s">
        <v>7922</v>
      </c>
      <c r="E19" s="275" t="s">
        <v>8002</v>
      </c>
      <c r="F19" s="275" t="s">
        <v>8003</v>
      </c>
      <c r="G19" s="190"/>
      <c r="H19" s="190"/>
      <c r="I19" s="190"/>
      <c r="J19" s="190"/>
      <c r="K19" s="190"/>
      <c r="L19" s="190"/>
    </row>
    <row r="20">
      <c r="A20" s="282" t="s">
        <v>8004</v>
      </c>
      <c r="B20" s="279" t="s">
        <v>8005</v>
      </c>
      <c r="C20" s="279" t="s">
        <v>8006</v>
      </c>
      <c r="D20" s="279" t="s">
        <v>8007</v>
      </c>
      <c r="E20" s="279" t="s">
        <v>8008</v>
      </c>
      <c r="F20" s="279" t="s">
        <v>8009</v>
      </c>
      <c r="G20" s="190"/>
      <c r="H20" s="190"/>
      <c r="I20" s="190"/>
      <c r="J20" s="190"/>
      <c r="K20" s="190"/>
      <c r="L20" s="190"/>
    </row>
    <row r="21">
      <c r="A21" s="190"/>
      <c r="B21" s="190"/>
      <c r="C21" s="190"/>
      <c r="D21" s="190"/>
      <c r="E21" s="190"/>
      <c r="F21" s="190"/>
      <c r="G21" s="190"/>
      <c r="H21" s="190"/>
      <c r="I21" s="190"/>
      <c r="J21" s="190"/>
      <c r="K21" s="190"/>
      <c r="L21" s="190"/>
    </row>
    <row r="22">
      <c r="A22" s="190"/>
      <c r="B22" s="190"/>
      <c r="C22" s="190"/>
      <c r="D22" s="190"/>
      <c r="E22" s="190"/>
      <c r="F22" s="190"/>
      <c r="G22" s="190"/>
      <c r="H22" s="190"/>
      <c r="I22" s="190"/>
      <c r="J22" s="190"/>
      <c r="K22" s="190"/>
      <c r="L22" s="190"/>
    </row>
    <row r="23">
      <c r="A23" s="190"/>
      <c r="B23" s="190"/>
      <c r="C23" s="190"/>
      <c r="D23" s="190"/>
      <c r="E23" s="190"/>
      <c r="F23" s="190"/>
      <c r="G23" s="190"/>
      <c r="H23" s="190"/>
      <c r="I23" s="190"/>
      <c r="J23" s="190"/>
      <c r="K23" s="190"/>
      <c r="L23" s="190"/>
    </row>
    <row r="24">
      <c r="A24" s="190"/>
      <c r="B24" s="190"/>
      <c r="C24" s="190"/>
      <c r="D24" s="190"/>
      <c r="E24" s="190"/>
      <c r="F24" s="190"/>
      <c r="G24" s="190"/>
      <c r="H24" s="190"/>
      <c r="I24" s="190"/>
      <c r="J24" s="190"/>
      <c r="K24" s="190"/>
      <c r="L24" s="190"/>
    </row>
    <row r="25">
      <c r="A25" s="190"/>
      <c r="B25" s="190"/>
      <c r="C25" s="190"/>
      <c r="D25" s="190"/>
      <c r="E25" s="190"/>
      <c r="F25" s="190"/>
      <c r="G25" s="190"/>
      <c r="H25" s="190"/>
      <c r="I25" s="190"/>
      <c r="J25" s="190"/>
      <c r="K25" s="190"/>
      <c r="L25" s="190"/>
    </row>
    <row r="26">
      <c r="A26" s="190"/>
      <c r="B26" s="190"/>
      <c r="C26" s="190"/>
      <c r="D26" s="190"/>
      <c r="E26" s="190"/>
      <c r="F26" s="190"/>
      <c r="G26" s="190"/>
      <c r="H26" s="190"/>
      <c r="I26" s="190"/>
      <c r="J26" s="190"/>
      <c r="K26" s="190"/>
      <c r="L26" s="190"/>
    </row>
    <row r="27">
      <c r="A27" s="190"/>
      <c r="B27" s="190"/>
      <c r="C27" s="190"/>
      <c r="D27" s="190"/>
      <c r="E27" s="190"/>
      <c r="F27" s="190"/>
      <c r="G27" s="190"/>
      <c r="H27" s="190"/>
      <c r="I27" s="190"/>
      <c r="J27" s="190"/>
      <c r="K27" s="190"/>
      <c r="L27" s="190"/>
    </row>
    <row r="28">
      <c r="A28" s="190"/>
      <c r="B28" s="190"/>
      <c r="C28" s="190"/>
      <c r="D28" s="190"/>
      <c r="E28" s="190"/>
      <c r="F28" s="190"/>
      <c r="G28" s="190"/>
      <c r="H28" s="190"/>
      <c r="I28" s="190"/>
      <c r="J28" s="190"/>
      <c r="K28" s="190"/>
      <c r="L28" s="190"/>
    </row>
    <row r="29">
      <c r="A29" s="190"/>
      <c r="B29" s="190"/>
      <c r="C29" s="190"/>
      <c r="D29" s="190"/>
      <c r="E29" s="190"/>
      <c r="F29" s="190"/>
      <c r="G29" s="190"/>
      <c r="H29" s="190"/>
      <c r="I29" s="190"/>
      <c r="J29" s="190"/>
      <c r="K29" s="190"/>
      <c r="L29" s="190"/>
    </row>
    <row r="30">
      <c r="A30" s="190"/>
      <c r="B30" s="190"/>
      <c r="C30" s="190"/>
      <c r="D30" s="190"/>
      <c r="E30" s="190"/>
      <c r="F30" s="190"/>
      <c r="G30" s="190"/>
      <c r="H30" s="190"/>
      <c r="I30" s="190"/>
      <c r="J30" s="190"/>
      <c r="K30" s="190"/>
      <c r="L30" s="190"/>
    </row>
    <row r="31">
      <c r="A31" s="190"/>
      <c r="B31" s="190"/>
      <c r="C31" s="190"/>
      <c r="D31" s="190"/>
      <c r="E31" s="190"/>
      <c r="F31" s="190"/>
      <c r="G31" s="190"/>
      <c r="H31" s="190"/>
      <c r="I31" s="190"/>
      <c r="J31" s="190"/>
      <c r="K31" s="190"/>
      <c r="L31" s="190"/>
    </row>
    <row r="32">
      <c r="A32" s="190"/>
      <c r="B32" s="190"/>
      <c r="C32" s="190"/>
      <c r="D32" s="190"/>
      <c r="E32" s="190"/>
      <c r="F32" s="190"/>
      <c r="G32" s="190"/>
      <c r="H32" s="190"/>
      <c r="I32" s="190"/>
      <c r="J32" s="190"/>
      <c r="K32" s="190"/>
      <c r="L32" s="190"/>
    </row>
    <row r="33">
      <c r="A33" s="190"/>
      <c r="B33" s="190"/>
      <c r="C33" s="190"/>
      <c r="D33" s="190"/>
      <c r="E33" s="190"/>
      <c r="F33" s="190"/>
      <c r="G33" s="190"/>
      <c r="H33" s="190"/>
      <c r="I33" s="190"/>
      <c r="J33" s="190"/>
      <c r="K33" s="190"/>
      <c r="L33" s="190"/>
    </row>
    <row r="34">
      <c r="A34" s="190"/>
      <c r="B34" s="190"/>
      <c r="C34" s="190"/>
      <c r="D34" s="190"/>
      <c r="E34" s="190"/>
      <c r="F34" s="190"/>
      <c r="G34" s="190"/>
      <c r="H34" s="190"/>
      <c r="I34" s="190"/>
      <c r="J34" s="190"/>
      <c r="K34" s="190"/>
      <c r="L34" s="190"/>
    </row>
    <row r="35">
      <c r="A35" s="190"/>
      <c r="B35" s="190"/>
      <c r="C35" s="190"/>
      <c r="D35" s="190"/>
      <c r="E35" s="190"/>
      <c r="F35" s="190"/>
      <c r="G35" s="190"/>
      <c r="H35" s="190"/>
      <c r="I35" s="190"/>
      <c r="J35" s="190"/>
      <c r="K35" s="190"/>
      <c r="L35" s="190"/>
    </row>
    <row r="36">
      <c r="A36" s="190"/>
      <c r="B36" s="190"/>
      <c r="C36" s="190"/>
      <c r="D36" s="190"/>
      <c r="E36" s="190"/>
      <c r="F36" s="190"/>
      <c r="G36" s="190"/>
      <c r="H36" s="190"/>
      <c r="I36" s="190"/>
      <c r="J36" s="190"/>
      <c r="K36" s="190"/>
      <c r="L36" s="190"/>
    </row>
    <row r="37">
      <c r="A37" s="190"/>
      <c r="B37" s="190"/>
      <c r="C37" s="190"/>
      <c r="D37" s="190"/>
      <c r="E37" s="190"/>
      <c r="F37" s="190"/>
      <c r="G37" s="190"/>
      <c r="H37" s="190"/>
      <c r="I37" s="190"/>
      <c r="J37" s="190"/>
      <c r="K37" s="190"/>
      <c r="L37" s="190"/>
    </row>
    <row r="38">
      <c r="A38" s="190"/>
      <c r="B38" s="190"/>
      <c r="C38" s="190"/>
      <c r="D38" s="190"/>
      <c r="E38" s="190"/>
      <c r="F38" s="190"/>
      <c r="G38" s="190"/>
      <c r="H38" s="190"/>
      <c r="I38" s="190"/>
      <c r="J38" s="190"/>
      <c r="K38" s="190"/>
      <c r="L38" s="190"/>
    </row>
    <row r="39">
      <c r="A39" s="190"/>
      <c r="B39" s="190"/>
      <c r="C39" s="190"/>
      <c r="D39" s="190"/>
      <c r="E39" s="190"/>
      <c r="F39" s="190"/>
      <c r="G39" s="190"/>
      <c r="H39" s="190"/>
      <c r="I39" s="190"/>
      <c r="J39" s="190"/>
      <c r="K39" s="190"/>
      <c r="L39" s="190"/>
    </row>
    <row r="40">
      <c r="A40" s="190"/>
      <c r="B40" s="190"/>
      <c r="C40" s="190"/>
      <c r="D40" s="190"/>
      <c r="E40" s="190"/>
      <c r="F40" s="190"/>
      <c r="G40" s="190"/>
      <c r="H40" s="190"/>
      <c r="I40" s="190"/>
      <c r="J40" s="190"/>
      <c r="K40" s="190"/>
      <c r="L40" s="190"/>
    </row>
    <row r="41">
      <c r="A41" s="190"/>
      <c r="B41" s="190"/>
      <c r="C41" s="190"/>
      <c r="D41" s="190"/>
      <c r="E41" s="190"/>
      <c r="F41" s="190"/>
      <c r="G41" s="190"/>
      <c r="H41" s="190"/>
      <c r="I41" s="190"/>
      <c r="J41" s="190"/>
      <c r="K41" s="190"/>
      <c r="L41" s="190"/>
    </row>
    <row r="42">
      <c r="A42" s="190"/>
      <c r="B42" s="190"/>
      <c r="C42" s="190"/>
      <c r="D42" s="190"/>
      <c r="E42" s="190"/>
      <c r="F42" s="190"/>
      <c r="G42" s="190"/>
      <c r="H42" s="190"/>
      <c r="I42" s="190"/>
      <c r="J42" s="190"/>
      <c r="K42" s="190"/>
      <c r="L42" s="190"/>
    </row>
    <row r="43">
      <c r="A43" s="190"/>
      <c r="B43" s="190"/>
      <c r="C43" s="190"/>
      <c r="D43" s="190"/>
      <c r="E43" s="190"/>
      <c r="F43" s="190"/>
      <c r="G43" s="190"/>
      <c r="H43" s="190"/>
      <c r="I43" s="190"/>
      <c r="J43" s="190"/>
      <c r="K43" s="190"/>
      <c r="L43" s="190"/>
    </row>
    <row r="44">
      <c r="A44" s="190"/>
      <c r="B44" s="190"/>
      <c r="C44" s="190"/>
      <c r="D44" s="190"/>
      <c r="E44" s="190"/>
      <c r="F44" s="190"/>
      <c r="G44" s="190"/>
      <c r="H44" s="190"/>
      <c r="I44" s="190"/>
      <c r="J44" s="190"/>
      <c r="K44" s="190"/>
      <c r="L44" s="190"/>
    </row>
    <row r="45">
      <c r="A45" s="190"/>
      <c r="B45" s="190"/>
      <c r="C45" s="190"/>
      <c r="D45" s="190"/>
      <c r="E45" s="190"/>
      <c r="F45" s="190"/>
      <c r="G45" s="190"/>
      <c r="H45" s="190"/>
      <c r="I45" s="190"/>
      <c r="J45" s="190"/>
      <c r="K45" s="190"/>
      <c r="L45" s="190"/>
    </row>
    <row r="46">
      <c r="A46" s="190"/>
      <c r="B46" s="190"/>
      <c r="C46" s="190"/>
      <c r="D46" s="190"/>
      <c r="E46" s="190"/>
      <c r="F46" s="190"/>
      <c r="G46" s="190"/>
      <c r="H46" s="190"/>
      <c r="I46" s="190"/>
      <c r="J46" s="190"/>
      <c r="K46" s="190"/>
      <c r="L46" s="190"/>
    </row>
    <row r="47">
      <c r="A47" s="190"/>
      <c r="B47" s="190"/>
      <c r="C47" s="190"/>
      <c r="D47" s="190"/>
      <c r="E47" s="190"/>
      <c r="F47" s="190"/>
      <c r="G47" s="190"/>
      <c r="H47" s="190"/>
      <c r="I47" s="190"/>
      <c r="J47" s="190"/>
      <c r="K47" s="190"/>
      <c r="L47" s="190"/>
    </row>
    <row r="48">
      <c r="A48" s="190"/>
      <c r="B48" s="190"/>
      <c r="C48" s="190"/>
      <c r="D48" s="190"/>
      <c r="E48" s="190"/>
      <c r="F48" s="190"/>
      <c r="G48" s="190"/>
      <c r="H48" s="190"/>
      <c r="I48" s="190"/>
      <c r="J48" s="190"/>
      <c r="K48" s="190"/>
      <c r="L48" s="190"/>
    </row>
    <row r="49">
      <c r="A49" s="190"/>
      <c r="B49" s="190"/>
      <c r="C49" s="190"/>
      <c r="D49" s="190"/>
      <c r="E49" s="190"/>
      <c r="F49" s="190"/>
      <c r="G49" s="190"/>
      <c r="H49" s="190"/>
      <c r="I49" s="190"/>
      <c r="J49" s="190"/>
      <c r="K49" s="190"/>
      <c r="L49" s="190"/>
    </row>
    <row r="50">
      <c r="A50" s="190"/>
      <c r="B50" s="190"/>
      <c r="C50" s="190"/>
      <c r="D50" s="190"/>
      <c r="E50" s="190"/>
      <c r="F50" s="190"/>
      <c r="G50" s="190"/>
      <c r="H50" s="190"/>
      <c r="I50" s="190"/>
      <c r="J50" s="190"/>
      <c r="K50" s="190"/>
      <c r="L50" s="190"/>
    </row>
    <row r="51">
      <c r="A51" s="190"/>
      <c r="B51" s="190"/>
      <c r="C51" s="190"/>
      <c r="D51" s="190"/>
      <c r="E51" s="190"/>
      <c r="F51" s="190"/>
      <c r="G51" s="190"/>
      <c r="H51" s="190"/>
      <c r="I51" s="190"/>
      <c r="J51" s="190"/>
      <c r="K51" s="190"/>
      <c r="L51" s="190"/>
    </row>
    <row r="52">
      <c r="A52" s="190"/>
      <c r="B52" s="190"/>
      <c r="C52" s="190"/>
      <c r="D52" s="190"/>
      <c r="E52" s="190"/>
      <c r="F52" s="190"/>
      <c r="G52" s="190"/>
      <c r="H52" s="190"/>
      <c r="I52" s="190"/>
      <c r="J52" s="190"/>
      <c r="K52" s="190"/>
      <c r="L52" s="190"/>
    </row>
    <row r="53">
      <c r="A53" s="190"/>
      <c r="B53" s="190"/>
      <c r="C53" s="190"/>
      <c r="D53" s="190"/>
      <c r="E53" s="190"/>
      <c r="F53" s="190"/>
      <c r="G53" s="190"/>
      <c r="H53" s="190"/>
      <c r="I53" s="190"/>
      <c r="J53" s="190"/>
      <c r="K53" s="190"/>
      <c r="L53" s="190"/>
    </row>
    <row r="54">
      <c r="A54" s="190"/>
      <c r="B54" s="190"/>
      <c r="C54" s="190"/>
      <c r="D54" s="190"/>
      <c r="E54" s="190"/>
      <c r="F54" s="190"/>
      <c r="G54" s="190"/>
      <c r="H54" s="190"/>
      <c r="I54" s="190"/>
      <c r="J54" s="190"/>
      <c r="K54" s="190"/>
      <c r="L54" s="190"/>
    </row>
    <row r="55">
      <c r="A55" s="190"/>
      <c r="B55" s="190"/>
      <c r="C55" s="190"/>
      <c r="D55" s="190"/>
      <c r="E55" s="190"/>
      <c r="F55" s="190"/>
      <c r="G55" s="190"/>
      <c r="H55" s="190"/>
      <c r="I55" s="190"/>
      <c r="J55" s="190"/>
      <c r="K55" s="190"/>
      <c r="L55" s="190"/>
    </row>
    <row r="56">
      <c r="A56" s="190"/>
      <c r="B56" s="190"/>
      <c r="C56" s="190"/>
      <c r="D56" s="190"/>
      <c r="E56" s="190"/>
      <c r="F56" s="190"/>
      <c r="G56" s="190"/>
      <c r="H56" s="190"/>
      <c r="I56" s="190"/>
      <c r="J56" s="190"/>
      <c r="K56" s="190"/>
      <c r="L56" s="190"/>
    </row>
    <row r="57">
      <c r="A57" s="190"/>
      <c r="B57" s="190"/>
      <c r="C57" s="190"/>
      <c r="D57" s="190"/>
      <c r="E57" s="190"/>
      <c r="F57" s="190"/>
      <c r="G57" s="190"/>
      <c r="H57" s="190"/>
      <c r="I57" s="190"/>
      <c r="J57" s="190"/>
      <c r="K57" s="190"/>
      <c r="L57" s="190"/>
    </row>
    <row r="58">
      <c r="A58" s="190"/>
      <c r="B58" s="190"/>
      <c r="C58" s="190"/>
      <c r="D58" s="190"/>
      <c r="E58" s="190"/>
      <c r="F58" s="190"/>
      <c r="G58" s="190"/>
      <c r="H58" s="190"/>
      <c r="I58" s="190"/>
      <c r="J58" s="190"/>
      <c r="K58" s="190"/>
      <c r="L58" s="190"/>
    </row>
    <row r="59">
      <c r="A59" s="190"/>
      <c r="B59" s="190"/>
      <c r="C59" s="190"/>
      <c r="D59" s="190"/>
      <c r="E59" s="190"/>
      <c r="F59" s="190"/>
      <c r="G59" s="190"/>
      <c r="H59" s="190"/>
      <c r="I59" s="190"/>
      <c r="J59" s="190"/>
      <c r="K59" s="190"/>
      <c r="L59" s="190"/>
    </row>
    <row r="60">
      <c r="A60" s="190"/>
      <c r="B60" s="190"/>
      <c r="C60" s="190"/>
      <c r="D60" s="190"/>
      <c r="E60" s="190"/>
      <c r="F60" s="190"/>
      <c r="G60" s="190"/>
      <c r="H60" s="190"/>
      <c r="I60" s="190"/>
      <c r="J60" s="190"/>
      <c r="K60" s="190"/>
      <c r="L60" s="190"/>
    </row>
    <row r="61">
      <c r="A61" s="190"/>
      <c r="B61" s="190"/>
      <c r="C61" s="190"/>
      <c r="D61" s="190"/>
      <c r="E61" s="190"/>
      <c r="F61" s="190"/>
      <c r="G61" s="190"/>
      <c r="H61" s="190"/>
      <c r="I61" s="190"/>
      <c r="J61" s="190"/>
      <c r="K61" s="190"/>
      <c r="L61" s="190"/>
    </row>
    <row r="62">
      <c r="A62" s="190"/>
      <c r="B62" s="190"/>
      <c r="C62" s="190"/>
      <c r="D62" s="190"/>
      <c r="E62" s="190"/>
      <c r="F62" s="190"/>
      <c r="G62" s="190"/>
      <c r="H62" s="190"/>
      <c r="I62" s="190"/>
      <c r="J62" s="190"/>
      <c r="K62" s="190"/>
      <c r="L62" s="190"/>
    </row>
    <row r="63">
      <c r="A63" s="190"/>
      <c r="B63" s="190"/>
      <c r="C63" s="190"/>
      <c r="D63" s="190"/>
      <c r="E63" s="190"/>
      <c r="F63" s="190"/>
      <c r="G63" s="190"/>
      <c r="H63" s="190"/>
      <c r="I63" s="190"/>
      <c r="J63" s="190"/>
      <c r="K63" s="190"/>
      <c r="L63" s="190"/>
    </row>
    <row r="64">
      <c r="A64" s="190"/>
      <c r="B64" s="190"/>
      <c r="C64" s="190"/>
      <c r="D64" s="190"/>
      <c r="E64" s="190"/>
      <c r="F64" s="190"/>
      <c r="G64" s="190"/>
      <c r="H64" s="190"/>
      <c r="I64" s="190"/>
      <c r="J64" s="190"/>
      <c r="K64" s="190"/>
      <c r="L64" s="190"/>
    </row>
    <row r="65">
      <c r="A65" s="190"/>
      <c r="B65" s="190"/>
      <c r="C65" s="190"/>
      <c r="D65" s="190"/>
      <c r="E65" s="190"/>
      <c r="F65" s="190"/>
      <c r="G65" s="190"/>
      <c r="H65" s="190"/>
      <c r="I65" s="190"/>
      <c r="J65" s="190"/>
      <c r="K65" s="190"/>
      <c r="L65" s="190"/>
    </row>
    <row r="66">
      <c r="A66" s="190"/>
      <c r="B66" s="190"/>
      <c r="C66" s="190"/>
      <c r="D66" s="190"/>
      <c r="E66" s="190"/>
      <c r="F66" s="190"/>
      <c r="G66" s="190"/>
      <c r="H66" s="190"/>
      <c r="I66" s="190"/>
      <c r="J66" s="190"/>
      <c r="K66" s="190"/>
      <c r="L66" s="190"/>
    </row>
    <row r="67">
      <c r="A67" s="190"/>
      <c r="B67" s="190"/>
      <c r="C67" s="190"/>
      <c r="D67" s="190"/>
      <c r="E67" s="190"/>
      <c r="F67" s="190"/>
      <c r="G67" s="190"/>
      <c r="H67" s="190"/>
      <c r="I67" s="190"/>
      <c r="J67" s="190"/>
      <c r="K67" s="190"/>
      <c r="L67" s="190"/>
    </row>
    <row r="68">
      <c r="A68" s="190"/>
      <c r="B68" s="190"/>
      <c r="C68" s="190"/>
      <c r="D68" s="190"/>
      <c r="E68" s="190"/>
      <c r="F68" s="190"/>
      <c r="G68" s="190"/>
      <c r="H68" s="190"/>
      <c r="I68" s="190"/>
      <c r="J68" s="190"/>
      <c r="K68" s="190"/>
      <c r="L68" s="190"/>
    </row>
    <row r="69">
      <c r="A69" s="190"/>
      <c r="B69" s="190"/>
      <c r="C69" s="190"/>
      <c r="D69" s="190"/>
      <c r="E69" s="190"/>
      <c r="F69" s="190"/>
      <c r="G69" s="190"/>
      <c r="H69" s="190"/>
      <c r="I69" s="190"/>
      <c r="J69" s="190"/>
      <c r="K69" s="190"/>
      <c r="L69" s="190"/>
    </row>
    <row r="70">
      <c r="A70" s="190"/>
      <c r="B70" s="190"/>
      <c r="C70" s="190"/>
      <c r="D70" s="190"/>
      <c r="E70" s="190"/>
      <c r="F70" s="190"/>
      <c r="G70" s="190"/>
      <c r="H70" s="190"/>
      <c r="I70" s="190"/>
      <c r="J70" s="190"/>
      <c r="K70" s="190"/>
      <c r="L70" s="190"/>
    </row>
    <row r="71">
      <c r="A71" s="190"/>
      <c r="B71" s="190"/>
      <c r="C71" s="190"/>
      <c r="D71" s="190"/>
      <c r="E71" s="190"/>
      <c r="F71" s="190"/>
      <c r="G71" s="190"/>
      <c r="H71" s="190"/>
      <c r="I71" s="190"/>
      <c r="J71" s="190"/>
      <c r="K71" s="190"/>
      <c r="L71" s="190"/>
    </row>
    <row r="72">
      <c r="A72" s="190"/>
      <c r="B72" s="190"/>
      <c r="C72" s="190"/>
      <c r="D72" s="190"/>
      <c r="E72" s="190"/>
      <c r="F72" s="190"/>
      <c r="G72" s="190"/>
      <c r="H72" s="190"/>
      <c r="I72" s="190"/>
      <c r="J72" s="190"/>
      <c r="K72" s="190"/>
      <c r="L72" s="190"/>
    </row>
    <row r="73">
      <c r="A73" s="190"/>
      <c r="B73" s="190"/>
      <c r="C73" s="190"/>
      <c r="D73" s="190"/>
      <c r="E73" s="190"/>
      <c r="F73" s="190"/>
      <c r="G73" s="190"/>
      <c r="H73" s="190"/>
      <c r="I73" s="190"/>
      <c r="J73" s="190"/>
      <c r="K73" s="190"/>
      <c r="L73" s="190"/>
    </row>
    <row r="74">
      <c r="A74" s="190"/>
      <c r="B74" s="190"/>
      <c r="C74" s="190"/>
      <c r="D74" s="190"/>
      <c r="E74" s="190"/>
      <c r="F74" s="190"/>
      <c r="G74" s="190"/>
      <c r="H74" s="190"/>
      <c r="I74" s="190"/>
      <c r="J74" s="190"/>
      <c r="K74" s="190"/>
      <c r="L74" s="190"/>
    </row>
    <row r="75">
      <c r="A75" s="190"/>
      <c r="B75" s="190"/>
      <c r="C75" s="190"/>
      <c r="D75" s="190"/>
      <c r="E75" s="190"/>
      <c r="F75" s="190"/>
      <c r="G75" s="190"/>
      <c r="H75" s="190"/>
      <c r="I75" s="190"/>
      <c r="J75" s="190"/>
      <c r="K75" s="190"/>
      <c r="L75" s="190"/>
    </row>
    <row r="76">
      <c r="A76" s="190"/>
      <c r="B76" s="190"/>
      <c r="C76" s="190"/>
      <c r="D76" s="190"/>
      <c r="E76" s="190"/>
      <c r="F76" s="190"/>
      <c r="G76" s="190"/>
      <c r="H76" s="190"/>
      <c r="I76" s="190"/>
      <c r="J76" s="190"/>
      <c r="K76" s="190"/>
      <c r="L76" s="190"/>
    </row>
    <row r="77">
      <c r="A77" s="190"/>
      <c r="B77" s="190"/>
      <c r="C77" s="190"/>
      <c r="D77" s="190"/>
      <c r="E77" s="190"/>
      <c r="F77" s="190"/>
      <c r="G77" s="190"/>
      <c r="H77" s="190"/>
      <c r="I77" s="190"/>
      <c r="J77" s="190"/>
      <c r="K77" s="190"/>
      <c r="L77" s="190"/>
    </row>
    <row r="78">
      <c r="A78" s="190"/>
      <c r="B78" s="190"/>
      <c r="C78" s="190"/>
      <c r="D78" s="190"/>
      <c r="E78" s="190"/>
      <c r="F78" s="190"/>
      <c r="G78" s="190"/>
      <c r="H78" s="190"/>
      <c r="I78" s="190"/>
      <c r="J78" s="190"/>
      <c r="K78" s="190"/>
      <c r="L78" s="190"/>
    </row>
    <row r="79">
      <c r="A79" s="190"/>
      <c r="B79" s="190"/>
      <c r="C79" s="190"/>
      <c r="D79" s="190"/>
      <c r="E79" s="190"/>
      <c r="F79" s="190"/>
      <c r="G79" s="190"/>
      <c r="H79" s="190"/>
      <c r="I79" s="190"/>
      <c r="J79" s="190"/>
      <c r="K79" s="190"/>
      <c r="L79" s="190"/>
    </row>
    <row r="80">
      <c r="A80" s="190"/>
      <c r="B80" s="190"/>
      <c r="C80" s="190"/>
      <c r="D80" s="190"/>
      <c r="E80" s="190"/>
      <c r="F80" s="190"/>
      <c r="G80" s="190"/>
      <c r="H80" s="190"/>
      <c r="I80" s="190"/>
      <c r="J80" s="190"/>
      <c r="K80" s="190"/>
      <c r="L80" s="190"/>
    </row>
    <row r="81">
      <c r="A81" s="190"/>
      <c r="B81" s="190"/>
      <c r="C81" s="190"/>
      <c r="D81" s="190"/>
      <c r="E81" s="190"/>
      <c r="F81" s="190"/>
      <c r="G81" s="190"/>
      <c r="H81" s="190"/>
      <c r="I81" s="190"/>
      <c r="J81" s="190"/>
      <c r="K81" s="190"/>
      <c r="L81" s="190"/>
    </row>
    <row r="82">
      <c r="A82" s="190"/>
      <c r="B82" s="190"/>
      <c r="C82" s="190"/>
      <c r="D82" s="190"/>
      <c r="E82" s="190"/>
      <c r="F82" s="190"/>
      <c r="G82" s="190"/>
      <c r="H82" s="190"/>
      <c r="I82" s="190"/>
      <c r="J82" s="190"/>
      <c r="K82" s="190"/>
      <c r="L82" s="190"/>
    </row>
    <row r="83">
      <c r="A83" s="190"/>
      <c r="B83" s="190"/>
      <c r="C83" s="190"/>
      <c r="D83" s="190"/>
      <c r="E83" s="190"/>
      <c r="F83" s="190"/>
      <c r="G83" s="190"/>
      <c r="H83" s="190"/>
      <c r="I83" s="190"/>
      <c r="J83" s="190"/>
      <c r="K83" s="190"/>
      <c r="L83" s="190"/>
    </row>
    <row r="84">
      <c r="A84" s="190"/>
      <c r="B84" s="190"/>
      <c r="C84" s="190"/>
      <c r="D84" s="190"/>
      <c r="E84" s="190"/>
      <c r="F84" s="190"/>
      <c r="G84" s="190"/>
      <c r="H84" s="190"/>
      <c r="I84" s="190"/>
      <c r="J84" s="190"/>
      <c r="K84" s="190"/>
      <c r="L84" s="190"/>
    </row>
    <row r="85">
      <c r="A85" s="190"/>
      <c r="B85" s="190"/>
      <c r="C85" s="190"/>
      <c r="D85" s="190"/>
      <c r="E85" s="190"/>
      <c r="F85" s="190"/>
      <c r="G85" s="190"/>
      <c r="H85" s="190"/>
      <c r="I85" s="190"/>
      <c r="J85" s="190"/>
      <c r="K85" s="190"/>
      <c r="L85" s="190"/>
    </row>
    <row r="86">
      <c r="A86" s="190"/>
      <c r="B86" s="190"/>
      <c r="C86" s="190"/>
      <c r="D86" s="190"/>
      <c r="E86" s="190"/>
      <c r="F86" s="190"/>
      <c r="G86" s="190"/>
      <c r="H86" s="190"/>
      <c r="I86" s="190"/>
      <c r="J86" s="190"/>
      <c r="K86" s="190"/>
      <c r="L86" s="190"/>
    </row>
    <row r="87">
      <c r="A87" s="190"/>
      <c r="B87" s="190"/>
      <c r="C87" s="190"/>
      <c r="D87" s="190"/>
      <c r="E87" s="190"/>
      <c r="F87" s="190"/>
      <c r="G87" s="190"/>
      <c r="H87" s="190"/>
      <c r="I87" s="190"/>
      <c r="J87" s="190"/>
      <c r="K87" s="190"/>
      <c r="L87" s="190"/>
    </row>
    <row r="88">
      <c r="A88" s="190"/>
      <c r="B88" s="190"/>
      <c r="C88" s="190"/>
      <c r="D88" s="190"/>
      <c r="E88" s="190"/>
      <c r="F88" s="190"/>
      <c r="G88" s="190"/>
      <c r="H88" s="190"/>
      <c r="I88" s="190"/>
      <c r="J88" s="190"/>
      <c r="K88" s="190"/>
      <c r="L88" s="190"/>
    </row>
    <row r="89">
      <c r="A89" s="190"/>
      <c r="B89" s="190"/>
      <c r="C89" s="190"/>
      <c r="D89" s="190"/>
      <c r="E89" s="190"/>
      <c r="F89" s="190"/>
      <c r="G89" s="190"/>
      <c r="H89" s="190"/>
      <c r="I89" s="190"/>
      <c r="J89" s="190"/>
      <c r="K89" s="190"/>
      <c r="L89" s="190"/>
    </row>
    <row r="90">
      <c r="A90" s="190"/>
      <c r="B90" s="190"/>
      <c r="C90" s="190"/>
      <c r="D90" s="190"/>
      <c r="E90" s="190"/>
      <c r="F90" s="190"/>
      <c r="G90" s="190"/>
      <c r="H90" s="190"/>
      <c r="I90" s="190"/>
      <c r="J90" s="190"/>
      <c r="K90" s="190"/>
      <c r="L90" s="190"/>
    </row>
    <row r="91">
      <c r="A91" s="190"/>
      <c r="B91" s="190"/>
      <c r="C91" s="190"/>
      <c r="D91" s="190"/>
      <c r="E91" s="190"/>
      <c r="F91" s="190"/>
      <c r="G91" s="190"/>
      <c r="H91" s="190"/>
      <c r="I91" s="190"/>
      <c r="J91" s="190"/>
      <c r="K91" s="190"/>
      <c r="L91" s="190"/>
    </row>
    <row r="92">
      <c r="A92" s="190"/>
      <c r="B92" s="190"/>
      <c r="C92" s="190"/>
      <c r="D92" s="190"/>
      <c r="E92" s="190"/>
      <c r="F92" s="190"/>
      <c r="G92" s="190"/>
      <c r="H92" s="190"/>
      <c r="I92" s="190"/>
      <c r="J92" s="190"/>
      <c r="K92" s="190"/>
      <c r="L92" s="190"/>
    </row>
    <row r="93">
      <c r="A93" s="190"/>
      <c r="B93" s="190"/>
      <c r="C93" s="190"/>
      <c r="D93" s="190"/>
      <c r="E93" s="190"/>
      <c r="F93" s="190"/>
      <c r="G93" s="190"/>
      <c r="H93" s="190"/>
      <c r="I93" s="190"/>
      <c r="J93" s="190"/>
      <c r="K93" s="190"/>
      <c r="L93" s="190"/>
    </row>
    <row r="94">
      <c r="A94" s="190"/>
      <c r="B94" s="190"/>
      <c r="C94" s="190"/>
      <c r="D94" s="190"/>
      <c r="E94" s="190"/>
      <c r="F94" s="190"/>
      <c r="G94" s="190"/>
      <c r="H94" s="190"/>
      <c r="I94" s="190"/>
      <c r="J94" s="190"/>
      <c r="K94" s="190"/>
      <c r="L94" s="190"/>
    </row>
    <row r="95">
      <c r="A95" s="190"/>
      <c r="B95" s="190"/>
      <c r="C95" s="190"/>
      <c r="D95" s="190"/>
      <c r="E95" s="190"/>
      <c r="F95" s="190"/>
      <c r="G95" s="190"/>
      <c r="H95" s="190"/>
      <c r="I95" s="190"/>
      <c r="J95" s="190"/>
      <c r="K95" s="190"/>
      <c r="L95" s="190"/>
    </row>
    <row r="96">
      <c r="A96" s="190"/>
      <c r="B96" s="190"/>
      <c r="C96" s="190"/>
      <c r="D96" s="190"/>
      <c r="E96" s="190"/>
      <c r="F96" s="190"/>
      <c r="G96" s="190"/>
      <c r="H96" s="190"/>
      <c r="I96" s="190"/>
      <c r="J96" s="190"/>
      <c r="K96" s="190"/>
      <c r="L96" s="190"/>
    </row>
    <row r="97">
      <c r="A97" s="190"/>
      <c r="B97" s="190"/>
      <c r="C97" s="190"/>
      <c r="D97" s="190"/>
      <c r="E97" s="190"/>
      <c r="F97" s="190"/>
      <c r="G97" s="190"/>
      <c r="H97" s="190"/>
      <c r="I97" s="190"/>
      <c r="J97" s="190"/>
      <c r="K97" s="190"/>
      <c r="L97" s="190"/>
    </row>
    <row r="98">
      <c r="A98" s="190"/>
      <c r="B98" s="190"/>
      <c r="C98" s="190"/>
      <c r="D98" s="190"/>
      <c r="E98" s="190"/>
      <c r="F98" s="190"/>
      <c r="G98" s="190"/>
      <c r="H98" s="190"/>
      <c r="I98" s="190"/>
      <c r="J98" s="190"/>
      <c r="K98" s="190"/>
      <c r="L98" s="190"/>
    </row>
    <row r="99">
      <c r="A99" s="190"/>
      <c r="B99" s="190"/>
      <c r="C99" s="190"/>
      <c r="D99" s="190"/>
      <c r="E99" s="190"/>
      <c r="F99" s="190"/>
      <c r="G99" s="190"/>
      <c r="H99" s="190"/>
      <c r="I99" s="190"/>
      <c r="J99" s="190"/>
      <c r="K99" s="190"/>
      <c r="L99" s="190"/>
    </row>
    <row r="100">
      <c r="A100" s="190"/>
      <c r="B100" s="190"/>
      <c r="C100" s="190"/>
      <c r="D100" s="190"/>
      <c r="E100" s="190"/>
      <c r="F100" s="190"/>
      <c r="G100" s="190"/>
      <c r="H100" s="190"/>
      <c r="I100" s="190"/>
      <c r="J100" s="190"/>
      <c r="K100" s="190"/>
      <c r="L100" s="190"/>
    </row>
    <row r="101">
      <c r="A101" s="190"/>
      <c r="B101" s="190"/>
      <c r="C101" s="190"/>
      <c r="D101" s="190"/>
      <c r="E101" s="190"/>
      <c r="F101" s="190"/>
      <c r="G101" s="190"/>
      <c r="H101" s="190"/>
      <c r="I101" s="190"/>
      <c r="J101" s="190"/>
      <c r="K101" s="190"/>
      <c r="L101" s="190"/>
    </row>
    <row r="102">
      <c r="A102" s="190"/>
      <c r="B102" s="190"/>
      <c r="C102" s="190"/>
      <c r="D102" s="190"/>
      <c r="E102" s="190"/>
      <c r="F102" s="190"/>
      <c r="G102" s="190"/>
      <c r="H102" s="190"/>
      <c r="I102" s="190"/>
      <c r="J102" s="190"/>
      <c r="K102" s="190"/>
      <c r="L102" s="190"/>
    </row>
    <row r="103">
      <c r="A103" s="190"/>
      <c r="B103" s="190"/>
      <c r="C103" s="190"/>
      <c r="D103" s="190"/>
      <c r="E103" s="190"/>
      <c r="F103" s="190"/>
      <c r="G103" s="190"/>
      <c r="H103" s="190"/>
      <c r="I103" s="190"/>
      <c r="J103" s="190"/>
      <c r="K103" s="190"/>
      <c r="L103" s="190"/>
    </row>
    <row r="104">
      <c r="A104" s="190"/>
      <c r="B104" s="190"/>
      <c r="C104" s="190"/>
      <c r="D104" s="190"/>
      <c r="E104" s="190"/>
      <c r="F104" s="190"/>
      <c r="G104" s="190"/>
      <c r="H104" s="190"/>
      <c r="I104" s="190"/>
      <c r="J104" s="190"/>
      <c r="K104" s="190"/>
      <c r="L104" s="190"/>
    </row>
    <row r="105">
      <c r="A105" s="190"/>
      <c r="B105" s="190"/>
      <c r="C105" s="190"/>
      <c r="D105" s="190"/>
      <c r="E105" s="190"/>
      <c r="F105" s="190"/>
      <c r="G105" s="190"/>
      <c r="H105" s="190"/>
      <c r="I105" s="190"/>
      <c r="J105" s="190"/>
      <c r="K105" s="190"/>
      <c r="L105" s="190"/>
    </row>
    <row r="106">
      <c r="A106" s="190"/>
      <c r="B106" s="190"/>
      <c r="C106" s="190"/>
      <c r="D106" s="190"/>
      <c r="E106" s="190"/>
      <c r="F106" s="190"/>
      <c r="G106" s="190"/>
      <c r="H106" s="190"/>
      <c r="I106" s="190"/>
      <c r="J106" s="190"/>
      <c r="K106" s="190"/>
      <c r="L106" s="190"/>
    </row>
    <row r="107">
      <c r="A107" s="190"/>
      <c r="B107" s="190"/>
      <c r="C107" s="190"/>
      <c r="D107" s="190"/>
      <c r="E107" s="190"/>
      <c r="F107" s="190"/>
      <c r="G107" s="190"/>
      <c r="H107" s="190"/>
      <c r="I107" s="190"/>
      <c r="J107" s="190"/>
      <c r="K107" s="190"/>
      <c r="L107" s="190"/>
    </row>
    <row r="108">
      <c r="A108" s="190"/>
      <c r="B108" s="190"/>
      <c r="C108" s="190"/>
      <c r="D108" s="190"/>
      <c r="E108" s="190"/>
      <c r="F108" s="190"/>
      <c r="G108" s="190"/>
      <c r="H108" s="190"/>
      <c r="I108" s="190"/>
      <c r="J108" s="190"/>
      <c r="K108" s="190"/>
      <c r="L108" s="190"/>
    </row>
    <row r="109">
      <c r="A109" s="190"/>
      <c r="B109" s="190"/>
      <c r="C109" s="190"/>
      <c r="D109" s="190"/>
      <c r="E109" s="190"/>
      <c r="F109" s="190"/>
      <c r="G109" s="190"/>
      <c r="H109" s="190"/>
      <c r="I109" s="190"/>
      <c r="J109" s="190"/>
      <c r="K109" s="190"/>
      <c r="L109" s="190"/>
    </row>
    <row r="110">
      <c r="A110" s="190"/>
      <c r="B110" s="190"/>
      <c r="C110" s="190"/>
      <c r="D110" s="190"/>
      <c r="E110" s="190"/>
      <c r="F110" s="190"/>
      <c r="G110" s="190"/>
      <c r="H110" s="190"/>
      <c r="I110" s="190"/>
      <c r="J110" s="190"/>
      <c r="K110" s="190"/>
      <c r="L110" s="190"/>
    </row>
    <row r="111">
      <c r="A111" s="190"/>
      <c r="B111" s="190"/>
      <c r="C111" s="190"/>
      <c r="D111" s="190"/>
      <c r="E111" s="190"/>
      <c r="F111" s="190"/>
      <c r="G111" s="190"/>
      <c r="H111" s="190"/>
      <c r="I111" s="190"/>
      <c r="J111" s="190"/>
      <c r="K111" s="190"/>
      <c r="L111" s="190"/>
    </row>
    <row r="112">
      <c r="A112" s="190"/>
      <c r="B112" s="190"/>
      <c r="C112" s="190"/>
      <c r="D112" s="190"/>
      <c r="E112" s="190"/>
      <c r="F112" s="190"/>
      <c r="G112" s="190"/>
      <c r="H112" s="190"/>
      <c r="I112" s="190"/>
      <c r="J112" s="190"/>
      <c r="K112" s="190"/>
      <c r="L112" s="190"/>
    </row>
    <row r="113">
      <c r="A113" s="190"/>
      <c r="B113" s="190"/>
      <c r="C113" s="190"/>
      <c r="D113" s="190"/>
      <c r="E113" s="190"/>
      <c r="F113" s="190"/>
      <c r="G113" s="190"/>
      <c r="H113" s="190"/>
      <c r="I113" s="190"/>
      <c r="J113" s="190"/>
      <c r="K113" s="190"/>
      <c r="L113" s="190"/>
    </row>
    <row r="114">
      <c r="A114" s="190"/>
      <c r="B114" s="190"/>
      <c r="C114" s="190"/>
      <c r="D114" s="190"/>
      <c r="E114" s="190"/>
      <c r="F114" s="190"/>
      <c r="G114" s="190"/>
      <c r="H114" s="190"/>
      <c r="I114" s="190"/>
      <c r="J114" s="190"/>
      <c r="K114" s="190"/>
      <c r="L114" s="190"/>
    </row>
    <row r="115">
      <c r="A115" s="190"/>
      <c r="B115" s="190"/>
      <c r="C115" s="190"/>
      <c r="D115" s="190"/>
      <c r="E115" s="190"/>
      <c r="F115" s="190"/>
      <c r="G115" s="190"/>
      <c r="H115" s="190"/>
      <c r="I115" s="190"/>
      <c r="J115" s="190"/>
      <c r="K115" s="190"/>
      <c r="L115" s="190"/>
    </row>
    <row r="116">
      <c r="A116" s="190"/>
      <c r="B116" s="190"/>
      <c r="C116" s="190"/>
      <c r="D116" s="190"/>
      <c r="E116" s="190"/>
      <c r="F116" s="190"/>
      <c r="G116" s="190"/>
      <c r="H116" s="190"/>
      <c r="I116" s="190"/>
      <c r="J116" s="190"/>
      <c r="K116" s="190"/>
      <c r="L116" s="190"/>
    </row>
    <row r="117">
      <c r="A117" s="190"/>
      <c r="B117" s="190"/>
      <c r="C117" s="190"/>
      <c r="D117" s="190"/>
      <c r="E117" s="190"/>
      <c r="F117" s="190"/>
      <c r="G117" s="190"/>
      <c r="H117" s="190"/>
      <c r="I117" s="190"/>
      <c r="J117" s="190"/>
      <c r="K117" s="190"/>
      <c r="L117" s="190"/>
    </row>
    <row r="118">
      <c r="A118" s="190"/>
      <c r="B118" s="190"/>
      <c r="C118" s="190"/>
      <c r="D118" s="190"/>
      <c r="E118" s="190"/>
      <c r="F118" s="190"/>
      <c r="G118" s="190"/>
      <c r="H118" s="190"/>
      <c r="I118" s="190"/>
      <c r="J118" s="190"/>
      <c r="K118" s="190"/>
      <c r="L118" s="190"/>
    </row>
    <row r="119">
      <c r="A119" s="190"/>
      <c r="B119" s="190"/>
      <c r="C119" s="190"/>
      <c r="D119" s="190"/>
      <c r="E119" s="190"/>
      <c r="F119" s="190"/>
      <c r="G119" s="190"/>
      <c r="H119" s="190"/>
      <c r="I119" s="190"/>
      <c r="J119" s="190"/>
      <c r="K119" s="190"/>
      <c r="L119" s="190"/>
    </row>
    <row r="120">
      <c r="A120" s="190"/>
      <c r="B120" s="190"/>
      <c r="C120" s="190"/>
      <c r="D120" s="190"/>
      <c r="E120" s="190"/>
      <c r="F120" s="190"/>
      <c r="G120" s="190"/>
      <c r="H120" s="190"/>
      <c r="I120" s="190"/>
      <c r="J120" s="190"/>
      <c r="K120" s="190"/>
      <c r="L120" s="190"/>
    </row>
    <row r="121">
      <c r="A121" s="190"/>
      <c r="B121" s="190"/>
      <c r="C121" s="190"/>
      <c r="D121" s="190"/>
      <c r="E121" s="190"/>
      <c r="F121" s="190"/>
      <c r="G121" s="190"/>
      <c r="H121" s="190"/>
      <c r="I121" s="190"/>
      <c r="J121" s="190"/>
      <c r="K121" s="190"/>
      <c r="L121" s="190"/>
    </row>
    <row r="122">
      <c r="A122" s="190"/>
      <c r="B122" s="190"/>
      <c r="C122" s="190"/>
      <c r="D122" s="190"/>
      <c r="E122" s="190"/>
      <c r="F122" s="190"/>
      <c r="G122" s="190"/>
      <c r="H122" s="190"/>
      <c r="I122" s="190"/>
      <c r="J122" s="190"/>
      <c r="K122" s="190"/>
      <c r="L122" s="190"/>
    </row>
    <row r="123">
      <c r="A123" s="190"/>
      <c r="B123" s="190"/>
      <c r="C123" s="190"/>
      <c r="D123" s="190"/>
      <c r="E123" s="190"/>
      <c r="F123" s="190"/>
      <c r="G123" s="190"/>
      <c r="H123" s="190"/>
      <c r="I123" s="190"/>
      <c r="J123" s="190"/>
      <c r="K123" s="190"/>
      <c r="L123" s="190"/>
    </row>
    <row r="124">
      <c r="A124" s="190"/>
      <c r="B124" s="190"/>
      <c r="C124" s="190"/>
      <c r="D124" s="190"/>
      <c r="E124" s="190"/>
      <c r="F124" s="190"/>
      <c r="G124" s="190"/>
      <c r="H124" s="190"/>
      <c r="I124" s="190"/>
      <c r="J124" s="190"/>
      <c r="K124" s="190"/>
      <c r="L124" s="190"/>
    </row>
    <row r="125">
      <c r="A125" s="190"/>
      <c r="B125" s="190"/>
      <c r="C125" s="190"/>
      <c r="D125" s="190"/>
      <c r="E125" s="190"/>
      <c r="F125" s="190"/>
      <c r="G125" s="190"/>
      <c r="H125" s="190"/>
      <c r="I125" s="190"/>
      <c r="J125" s="190"/>
      <c r="K125" s="190"/>
      <c r="L125" s="190"/>
    </row>
    <row r="126">
      <c r="A126" s="190"/>
      <c r="B126" s="190"/>
      <c r="C126" s="190"/>
      <c r="D126" s="190"/>
      <c r="E126" s="190"/>
      <c r="F126" s="190"/>
      <c r="G126" s="190"/>
      <c r="H126" s="190"/>
      <c r="I126" s="190"/>
      <c r="J126" s="190"/>
      <c r="K126" s="190"/>
      <c r="L126" s="190"/>
    </row>
    <row r="127">
      <c r="A127" s="190"/>
      <c r="B127" s="190"/>
      <c r="C127" s="190"/>
      <c r="D127" s="190"/>
      <c r="E127" s="190"/>
      <c r="F127" s="190"/>
      <c r="G127" s="190"/>
      <c r="H127" s="190"/>
      <c r="I127" s="190"/>
      <c r="J127" s="190"/>
      <c r="K127" s="190"/>
      <c r="L127" s="190"/>
    </row>
    <row r="128">
      <c r="A128" s="190"/>
      <c r="B128" s="190"/>
      <c r="C128" s="190"/>
      <c r="D128" s="190"/>
      <c r="E128" s="190"/>
      <c r="F128" s="190"/>
      <c r="G128" s="190"/>
      <c r="H128" s="190"/>
      <c r="I128" s="190"/>
      <c r="J128" s="190"/>
      <c r="K128" s="190"/>
      <c r="L128" s="190"/>
    </row>
    <row r="129">
      <c r="A129" s="190"/>
      <c r="B129" s="190"/>
      <c r="C129" s="190"/>
      <c r="D129" s="190"/>
      <c r="E129" s="190"/>
      <c r="F129" s="190"/>
      <c r="G129" s="190"/>
      <c r="H129" s="190"/>
      <c r="I129" s="190"/>
      <c r="J129" s="190"/>
      <c r="K129" s="190"/>
      <c r="L129" s="190"/>
    </row>
    <row r="130">
      <c r="A130" s="190"/>
      <c r="B130" s="190"/>
      <c r="C130" s="190"/>
      <c r="D130" s="190"/>
      <c r="E130" s="190"/>
      <c r="F130" s="190"/>
      <c r="G130" s="190"/>
      <c r="H130" s="190"/>
      <c r="I130" s="190"/>
      <c r="J130" s="190"/>
      <c r="K130" s="190"/>
      <c r="L130" s="190"/>
    </row>
    <row r="131">
      <c r="A131" s="190"/>
      <c r="B131" s="190"/>
      <c r="C131" s="190"/>
      <c r="D131" s="190"/>
      <c r="E131" s="190"/>
      <c r="F131" s="190"/>
      <c r="G131" s="190"/>
      <c r="H131" s="190"/>
      <c r="I131" s="190"/>
      <c r="J131" s="190"/>
      <c r="K131" s="190"/>
      <c r="L131" s="190"/>
    </row>
    <row r="132">
      <c r="A132" s="190"/>
      <c r="B132" s="190"/>
      <c r="C132" s="190"/>
      <c r="D132" s="190"/>
      <c r="E132" s="190"/>
      <c r="F132" s="190"/>
      <c r="G132" s="190"/>
      <c r="H132" s="190"/>
      <c r="I132" s="190"/>
      <c r="J132" s="190"/>
      <c r="K132" s="190"/>
      <c r="L132" s="190"/>
    </row>
    <row r="133">
      <c r="A133" s="190"/>
      <c r="B133" s="190"/>
      <c r="C133" s="190"/>
      <c r="D133" s="190"/>
      <c r="E133" s="190"/>
      <c r="F133" s="190"/>
      <c r="G133" s="190"/>
      <c r="H133" s="190"/>
      <c r="I133" s="190"/>
      <c r="J133" s="190"/>
      <c r="K133" s="190"/>
      <c r="L133" s="190"/>
    </row>
    <row r="134">
      <c r="A134" s="190"/>
      <c r="B134" s="190"/>
      <c r="C134" s="190"/>
      <c r="D134" s="190"/>
      <c r="E134" s="190"/>
      <c r="F134" s="190"/>
      <c r="G134" s="190"/>
      <c r="H134" s="190"/>
      <c r="I134" s="190"/>
      <c r="J134" s="190"/>
      <c r="K134" s="190"/>
      <c r="L134" s="190"/>
    </row>
    <row r="135">
      <c r="A135" s="190"/>
      <c r="B135" s="190"/>
      <c r="C135" s="190"/>
      <c r="D135" s="190"/>
      <c r="E135" s="190"/>
      <c r="F135" s="190"/>
      <c r="G135" s="190"/>
      <c r="H135" s="190"/>
      <c r="I135" s="190"/>
      <c r="J135" s="190"/>
      <c r="K135" s="190"/>
      <c r="L135" s="190"/>
    </row>
    <row r="136">
      <c r="A136" s="190"/>
      <c r="B136" s="190"/>
      <c r="C136" s="190"/>
      <c r="D136" s="190"/>
      <c r="E136" s="190"/>
      <c r="F136" s="190"/>
      <c r="G136" s="190"/>
      <c r="H136" s="190"/>
      <c r="I136" s="190"/>
      <c r="J136" s="190"/>
      <c r="K136" s="190"/>
      <c r="L136" s="190"/>
    </row>
    <row r="137">
      <c r="A137" s="190"/>
      <c r="B137" s="190"/>
      <c r="C137" s="190"/>
      <c r="D137" s="190"/>
      <c r="E137" s="190"/>
      <c r="F137" s="190"/>
      <c r="G137" s="190"/>
      <c r="H137" s="190"/>
      <c r="I137" s="190"/>
      <c r="J137" s="190"/>
      <c r="K137" s="190"/>
      <c r="L137" s="190"/>
    </row>
    <row r="138">
      <c r="A138" s="190"/>
      <c r="B138" s="190"/>
      <c r="C138" s="190"/>
      <c r="D138" s="190"/>
      <c r="E138" s="190"/>
      <c r="F138" s="190"/>
      <c r="G138" s="190"/>
      <c r="H138" s="190"/>
      <c r="I138" s="190"/>
      <c r="J138" s="190"/>
      <c r="K138" s="190"/>
      <c r="L138" s="190"/>
    </row>
    <row r="139">
      <c r="A139" s="190"/>
      <c r="B139" s="190"/>
      <c r="C139" s="190"/>
      <c r="D139" s="190"/>
      <c r="E139" s="190"/>
      <c r="F139" s="190"/>
      <c r="G139" s="190"/>
      <c r="H139" s="190"/>
      <c r="I139" s="190"/>
      <c r="J139" s="190"/>
      <c r="K139" s="190"/>
      <c r="L139" s="190"/>
    </row>
    <row r="140">
      <c r="A140" s="190"/>
      <c r="B140" s="190"/>
      <c r="C140" s="190"/>
      <c r="D140" s="190"/>
      <c r="E140" s="190"/>
      <c r="F140" s="190"/>
      <c r="G140" s="190"/>
      <c r="H140" s="190"/>
      <c r="I140" s="190"/>
      <c r="J140" s="190"/>
      <c r="K140" s="190"/>
      <c r="L140" s="190"/>
    </row>
    <row r="141">
      <c r="A141" s="190"/>
      <c r="B141" s="190"/>
      <c r="C141" s="190"/>
      <c r="D141" s="190"/>
      <c r="E141" s="190"/>
      <c r="F141" s="190"/>
      <c r="G141" s="190"/>
      <c r="H141" s="190"/>
      <c r="I141" s="190"/>
      <c r="J141" s="190"/>
      <c r="K141" s="190"/>
      <c r="L141" s="190"/>
    </row>
    <row r="142">
      <c r="A142" s="190"/>
      <c r="B142" s="190"/>
      <c r="C142" s="190"/>
      <c r="D142" s="190"/>
      <c r="E142" s="190"/>
      <c r="F142" s="190"/>
      <c r="G142" s="190"/>
      <c r="H142" s="190"/>
      <c r="I142" s="190"/>
      <c r="J142" s="190"/>
      <c r="K142" s="190"/>
      <c r="L142" s="190"/>
    </row>
    <row r="143">
      <c r="A143" s="190"/>
      <c r="B143" s="190"/>
      <c r="C143" s="190"/>
      <c r="D143" s="190"/>
      <c r="E143" s="190"/>
      <c r="F143" s="190"/>
      <c r="G143" s="190"/>
      <c r="H143" s="190"/>
      <c r="I143" s="190"/>
      <c r="J143" s="190"/>
      <c r="K143" s="190"/>
      <c r="L143" s="190"/>
    </row>
    <row r="144">
      <c r="A144" s="190"/>
      <c r="B144" s="190"/>
      <c r="C144" s="190"/>
      <c r="D144" s="190"/>
      <c r="E144" s="190"/>
      <c r="F144" s="190"/>
      <c r="G144" s="190"/>
      <c r="H144" s="190"/>
      <c r="I144" s="190"/>
      <c r="J144" s="190"/>
      <c r="K144" s="190"/>
      <c r="L144" s="190"/>
    </row>
    <row r="145">
      <c r="A145" s="190"/>
      <c r="B145" s="190"/>
      <c r="C145" s="190"/>
      <c r="D145" s="190"/>
      <c r="E145" s="190"/>
      <c r="F145" s="190"/>
      <c r="G145" s="190"/>
      <c r="H145" s="190"/>
      <c r="I145" s="190"/>
      <c r="J145" s="190"/>
      <c r="K145" s="190"/>
      <c r="L145" s="190"/>
    </row>
    <row r="146">
      <c r="A146" s="190"/>
      <c r="B146" s="190"/>
      <c r="C146" s="190"/>
      <c r="D146" s="190"/>
      <c r="E146" s="190"/>
      <c r="F146" s="190"/>
      <c r="G146" s="190"/>
      <c r="H146" s="190"/>
      <c r="I146" s="190"/>
      <c r="J146" s="190"/>
      <c r="K146" s="190"/>
      <c r="L146" s="190"/>
    </row>
    <row r="147">
      <c r="A147" s="190"/>
      <c r="B147" s="190"/>
      <c r="C147" s="190"/>
      <c r="D147" s="190"/>
      <c r="E147" s="190"/>
      <c r="F147" s="190"/>
      <c r="G147" s="190"/>
      <c r="H147" s="190"/>
      <c r="I147" s="190"/>
      <c r="J147" s="190"/>
      <c r="K147" s="190"/>
      <c r="L147" s="190"/>
    </row>
    <row r="148">
      <c r="A148" s="190"/>
      <c r="B148" s="190"/>
      <c r="C148" s="190"/>
      <c r="D148" s="190"/>
      <c r="E148" s="190"/>
      <c r="F148" s="190"/>
      <c r="G148" s="190"/>
      <c r="H148" s="190"/>
      <c r="I148" s="190"/>
      <c r="J148" s="190"/>
      <c r="K148" s="190"/>
      <c r="L148" s="190"/>
    </row>
    <row r="149">
      <c r="A149" s="190"/>
      <c r="B149" s="190"/>
      <c r="C149" s="190"/>
      <c r="D149" s="190"/>
      <c r="E149" s="190"/>
      <c r="F149" s="190"/>
      <c r="G149" s="190"/>
      <c r="H149" s="190"/>
      <c r="I149" s="190"/>
      <c r="J149" s="190"/>
      <c r="K149" s="190"/>
      <c r="L149" s="190"/>
    </row>
    <row r="150">
      <c r="A150" s="190"/>
      <c r="B150" s="190"/>
      <c r="C150" s="190"/>
      <c r="D150" s="190"/>
      <c r="E150" s="190"/>
      <c r="F150" s="190"/>
      <c r="G150" s="190"/>
      <c r="H150" s="190"/>
      <c r="I150" s="190"/>
      <c r="J150" s="190"/>
      <c r="K150" s="190"/>
      <c r="L150" s="190"/>
    </row>
    <row r="151">
      <c r="A151" s="190"/>
      <c r="B151" s="190"/>
      <c r="C151" s="190"/>
      <c r="D151" s="190"/>
      <c r="E151" s="190"/>
      <c r="F151" s="190"/>
      <c r="G151" s="190"/>
      <c r="H151" s="190"/>
      <c r="I151" s="190"/>
      <c r="J151" s="190"/>
      <c r="K151" s="190"/>
      <c r="L151" s="190"/>
    </row>
    <row r="152">
      <c r="A152" s="190"/>
      <c r="B152" s="190"/>
      <c r="C152" s="190"/>
      <c r="D152" s="190"/>
      <c r="E152" s="190"/>
      <c r="F152" s="190"/>
      <c r="G152" s="190"/>
      <c r="H152" s="190"/>
      <c r="I152" s="190"/>
      <c r="J152" s="190"/>
      <c r="K152" s="190"/>
      <c r="L152" s="190"/>
    </row>
    <row r="153">
      <c r="A153" s="190"/>
      <c r="B153" s="190"/>
      <c r="C153" s="190"/>
      <c r="D153" s="190"/>
      <c r="E153" s="190"/>
      <c r="F153" s="190"/>
      <c r="G153" s="190"/>
      <c r="H153" s="190"/>
      <c r="I153" s="190"/>
      <c r="J153" s="190"/>
      <c r="K153" s="190"/>
      <c r="L153" s="190"/>
    </row>
    <row r="154">
      <c r="A154" s="190"/>
      <c r="B154" s="190"/>
      <c r="C154" s="190"/>
      <c r="D154" s="190"/>
      <c r="E154" s="190"/>
      <c r="F154" s="190"/>
      <c r="G154" s="190"/>
      <c r="H154" s="190"/>
      <c r="I154" s="190"/>
      <c r="J154" s="190"/>
      <c r="K154" s="190"/>
      <c r="L154" s="190"/>
    </row>
    <row r="155">
      <c r="A155" s="190"/>
      <c r="B155" s="190"/>
      <c r="C155" s="190"/>
      <c r="D155" s="190"/>
      <c r="E155" s="190"/>
      <c r="F155" s="190"/>
      <c r="G155" s="190"/>
      <c r="H155" s="190"/>
      <c r="I155" s="190"/>
      <c r="J155" s="190"/>
      <c r="K155" s="190"/>
      <c r="L155" s="190"/>
    </row>
    <row r="156">
      <c r="A156" s="190"/>
      <c r="B156" s="190"/>
      <c r="C156" s="190"/>
      <c r="D156" s="190"/>
      <c r="E156" s="190"/>
      <c r="F156" s="190"/>
      <c r="G156" s="190"/>
      <c r="H156" s="190"/>
      <c r="I156" s="190"/>
      <c r="J156" s="190"/>
      <c r="K156" s="190"/>
      <c r="L156" s="190"/>
    </row>
    <row r="157">
      <c r="A157" s="190"/>
      <c r="B157" s="190"/>
      <c r="C157" s="190"/>
      <c r="D157" s="190"/>
      <c r="E157" s="190"/>
      <c r="F157" s="190"/>
      <c r="G157" s="190"/>
      <c r="H157" s="190"/>
      <c r="I157" s="190"/>
      <c r="J157" s="190"/>
      <c r="K157" s="190"/>
      <c r="L157" s="190"/>
    </row>
    <row r="158">
      <c r="A158" s="190"/>
      <c r="B158" s="190"/>
      <c r="C158" s="190"/>
      <c r="D158" s="190"/>
      <c r="E158" s="190"/>
      <c r="F158" s="190"/>
      <c r="G158" s="190"/>
      <c r="H158" s="190"/>
      <c r="I158" s="190"/>
      <c r="J158" s="190"/>
      <c r="K158" s="190"/>
      <c r="L158" s="190"/>
    </row>
    <row r="159">
      <c r="A159" s="190"/>
      <c r="B159" s="190"/>
      <c r="C159" s="190"/>
      <c r="D159" s="190"/>
      <c r="E159" s="190"/>
      <c r="F159" s="190"/>
      <c r="G159" s="190"/>
      <c r="H159" s="190"/>
      <c r="I159" s="190"/>
      <c r="J159" s="190"/>
      <c r="K159" s="190"/>
      <c r="L159" s="190"/>
    </row>
    <row r="160">
      <c r="A160" s="190"/>
      <c r="B160" s="190"/>
      <c r="C160" s="190"/>
      <c r="D160" s="190"/>
      <c r="E160" s="190"/>
      <c r="F160" s="190"/>
      <c r="G160" s="190"/>
      <c r="H160" s="190"/>
      <c r="I160" s="190"/>
      <c r="J160" s="190"/>
      <c r="K160" s="190"/>
      <c r="L160" s="190"/>
    </row>
    <row r="161">
      <c r="A161" s="190"/>
      <c r="B161" s="190"/>
      <c r="C161" s="190"/>
      <c r="D161" s="190"/>
      <c r="E161" s="190"/>
      <c r="F161" s="190"/>
      <c r="G161" s="190"/>
      <c r="H161" s="190"/>
      <c r="I161" s="190"/>
      <c r="J161" s="190"/>
      <c r="K161" s="190"/>
      <c r="L161" s="190"/>
    </row>
    <row r="162">
      <c r="A162" s="190"/>
      <c r="B162" s="190"/>
      <c r="C162" s="190"/>
      <c r="D162" s="190"/>
      <c r="E162" s="190"/>
      <c r="F162" s="190"/>
      <c r="G162" s="190"/>
      <c r="H162" s="190"/>
      <c r="I162" s="190"/>
      <c r="J162" s="190"/>
      <c r="K162" s="190"/>
      <c r="L162" s="190"/>
    </row>
    <row r="163">
      <c r="A163" s="190"/>
      <c r="B163" s="190"/>
      <c r="C163" s="190"/>
      <c r="D163" s="190"/>
      <c r="E163" s="190"/>
      <c r="F163" s="190"/>
      <c r="G163" s="190"/>
      <c r="H163" s="190"/>
      <c r="I163" s="190"/>
      <c r="J163" s="190"/>
      <c r="K163" s="190"/>
      <c r="L163" s="190"/>
    </row>
    <row r="164">
      <c r="A164" s="190"/>
      <c r="B164" s="190"/>
      <c r="C164" s="190"/>
      <c r="D164" s="190"/>
      <c r="E164" s="190"/>
      <c r="F164" s="190"/>
      <c r="G164" s="190"/>
      <c r="H164" s="190"/>
      <c r="I164" s="190"/>
      <c r="J164" s="190"/>
      <c r="K164" s="190"/>
      <c r="L164" s="190"/>
    </row>
    <row r="165">
      <c r="A165" s="190"/>
      <c r="B165" s="190"/>
      <c r="C165" s="190"/>
      <c r="D165" s="190"/>
      <c r="E165" s="190"/>
      <c r="F165" s="190"/>
      <c r="G165" s="190"/>
      <c r="H165" s="190"/>
      <c r="I165" s="190"/>
      <c r="J165" s="190"/>
      <c r="K165" s="190"/>
      <c r="L165" s="190"/>
    </row>
    <row r="166">
      <c r="A166" s="190"/>
      <c r="B166" s="190"/>
      <c r="C166" s="190"/>
      <c r="D166" s="190"/>
      <c r="E166" s="190"/>
      <c r="F166" s="190"/>
      <c r="G166" s="190"/>
      <c r="H166" s="190"/>
      <c r="I166" s="190"/>
      <c r="J166" s="190"/>
      <c r="K166" s="190"/>
      <c r="L166" s="190"/>
    </row>
    <row r="167">
      <c r="A167" s="190"/>
      <c r="B167" s="190"/>
      <c r="C167" s="190"/>
      <c r="D167" s="190"/>
      <c r="E167" s="190"/>
      <c r="F167" s="190"/>
      <c r="G167" s="190"/>
      <c r="H167" s="190"/>
      <c r="I167" s="190"/>
      <c r="J167" s="190"/>
      <c r="K167" s="190"/>
      <c r="L167" s="190"/>
    </row>
    <row r="168">
      <c r="A168" s="190"/>
      <c r="B168" s="190"/>
      <c r="C168" s="190"/>
      <c r="D168" s="190"/>
      <c r="E168" s="190"/>
      <c r="F168" s="190"/>
      <c r="G168" s="190"/>
      <c r="H168" s="190"/>
      <c r="I168" s="190"/>
      <c r="J168" s="190"/>
      <c r="K168" s="190"/>
      <c r="L168" s="190"/>
    </row>
    <row r="169">
      <c r="A169" s="190"/>
      <c r="B169" s="190"/>
      <c r="C169" s="190"/>
      <c r="D169" s="190"/>
      <c r="E169" s="190"/>
      <c r="F169" s="190"/>
      <c r="G169" s="190"/>
      <c r="H169" s="190"/>
      <c r="I169" s="190"/>
      <c r="J169" s="190"/>
      <c r="K169" s="190"/>
      <c r="L169" s="190"/>
    </row>
    <row r="170">
      <c r="A170" s="190"/>
      <c r="B170" s="190"/>
      <c r="C170" s="190"/>
      <c r="D170" s="190"/>
      <c r="E170" s="190"/>
      <c r="F170" s="190"/>
      <c r="G170" s="190"/>
      <c r="H170" s="190"/>
      <c r="I170" s="190"/>
      <c r="J170" s="190"/>
      <c r="K170" s="190"/>
      <c r="L170" s="190"/>
    </row>
    <row r="171">
      <c r="A171" s="190"/>
      <c r="B171" s="190"/>
      <c r="C171" s="190"/>
      <c r="D171" s="190"/>
      <c r="E171" s="190"/>
      <c r="F171" s="190"/>
      <c r="G171" s="190"/>
      <c r="H171" s="190"/>
      <c r="I171" s="190"/>
      <c r="J171" s="190"/>
      <c r="K171" s="190"/>
      <c r="L171" s="190"/>
    </row>
    <row r="172">
      <c r="A172" s="190"/>
      <c r="B172" s="190"/>
      <c r="C172" s="190"/>
      <c r="D172" s="190"/>
      <c r="E172" s="190"/>
      <c r="F172" s="190"/>
      <c r="G172" s="190"/>
      <c r="H172" s="190"/>
      <c r="I172" s="190"/>
      <c r="J172" s="190"/>
      <c r="K172" s="190"/>
      <c r="L172" s="190"/>
    </row>
    <row r="173">
      <c r="A173" s="190"/>
      <c r="B173" s="190"/>
      <c r="C173" s="190"/>
      <c r="D173" s="190"/>
      <c r="E173" s="190"/>
      <c r="F173" s="190"/>
      <c r="G173" s="190"/>
      <c r="H173" s="190"/>
      <c r="I173" s="190"/>
      <c r="J173" s="190"/>
      <c r="K173" s="190"/>
      <c r="L173" s="190"/>
    </row>
    <row r="174">
      <c r="A174" s="190"/>
      <c r="B174" s="190"/>
      <c r="C174" s="190"/>
      <c r="D174" s="190"/>
      <c r="E174" s="190"/>
      <c r="F174" s="190"/>
      <c r="G174" s="190"/>
      <c r="H174" s="190"/>
      <c r="I174" s="190"/>
      <c r="J174" s="190"/>
      <c r="K174" s="190"/>
      <c r="L174" s="190"/>
    </row>
    <row r="175">
      <c r="A175" s="190"/>
      <c r="B175" s="190"/>
      <c r="C175" s="190"/>
      <c r="D175" s="190"/>
      <c r="E175" s="190"/>
      <c r="F175" s="190"/>
      <c r="G175" s="190"/>
      <c r="H175" s="190"/>
      <c r="I175" s="190"/>
      <c r="J175" s="190"/>
      <c r="K175" s="190"/>
      <c r="L175" s="190"/>
    </row>
    <row r="176">
      <c r="A176" s="190"/>
      <c r="B176" s="190"/>
      <c r="C176" s="190"/>
      <c r="D176" s="190"/>
      <c r="E176" s="190"/>
      <c r="F176" s="190"/>
      <c r="G176" s="190"/>
      <c r="H176" s="190"/>
      <c r="I176" s="190"/>
      <c r="J176" s="190"/>
      <c r="K176" s="190"/>
      <c r="L176" s="190"/>
    </row>
    <row r="177">
      <c r="A177" s="190"/>
      <c r="B177" s="190"/>
      <c r="C177" s="190"/>
      <c r="D177" s="190"/>
      <c r="E177" s="190"/>
      <c r="F177" s="190"/>
      <c r="G177" s="190"/>
      <c r="H177" s="190"/>
      <c r="I177" s="190"/>
      <c r="J177" s="190"/>
      <c r="K177" s="190"/>
      <c r="L177" s="190"/>
    </row>
    <row r="178">
      <c r="A178" s="190"/>
      <c r="B178" s="190"/>
      <c r="C178" s="190"/>
      <c r="D178" s="190"/>
      <c r="E178" s="190"/>
      <c r="F178" s="190"/>
      <c r="G178" s="190"/>
      <c r="H178" s="190"/>
      <c r="I178" s="190"/>
      <c r="J178" s="190"/>
      <c r="K178" s="190"/>
      <c r="L178" s="190"/>
    </row>
    <row r="179">
      <c r="A179" s="190"/>
      <c r="B179" s="190"/>
      <c r="C179" s="190"/>
      <c r="D179" s="190"/>
      <c r="E179" s="190"/>
      <c r="F179" s="190"/>
      <c r="G179" s="190"/>
      <c r="H179" s="190"/>
      <c r="I179" s="190"/>
      <c r="J179" s="190"/>
      <c r="K179" s="190"/>
      <c r="L179" s="190"/>
    </row>
    <row r="180">
      <c r="A180" s="190"/>
      <c r="B180" s="190"/>
      <c r="C180" s="190"/>
      <c r="D180" s="190"/>
      <c r="E180" s="190"/>
      <c r="F180" s="190"/>
      <c r="G180" s="190"/>
      <c r="H180" s="190"/>
      <c r="I180" s="190"/>
      <c r="J180" s="190"/>
      <c r="K180" s="190"/>
      <c r="L180" s="190"/>
    </row>
    <row r="181">
      <c r="A181" s="190"/>
      <c r="B181" s="190"/>
      <c r="C181" s="190"/>
      <c r="D181" s="190"/>
      <c r="E181" s="190"/>
      <c r="F181" s="190"/>
      <c r="G181" s="190"/>
      <c r="H181" s="190"/>
      <c r="I181" s="190"/>
      <c r="J181" s="190"/>
      <c r="K181" s="190"/>
      <c r="L181" s="190"/>
    </row>
    <row r="182">
      <c r="A182" s="190"/>
      <c r="B182" s="190"/>
      <c r="C182" s="190"/>
      <c r="D182" s="190"/>
      <c r="E182" s="190"/>
      <c r="F182" s="190"/>
      <c r="G182" s="190"/>
      <c r="H182" s="190"/>
      <c r="I182" s="190"/>
      <c r="J182" s="190"/>
      <c r="K182" s="190"/>
      <c r="L182" s="190"/>
    </row>
    <row r="183">
      <c r="A183" s="190"/>
      <c r="B183" s="190"/>
      <c r="C183" s="190"/>
      <c r="D183" s="190"/>
      <c r="E183" s="190"/>
      <c r="F183" s="190"/>
      <c r="G183" s="190"/>
      <c r="H183" s="190"/>
      <c r="I183" s="190"/>
      <c r="J183" s="190"/>
      <c r="K183" s="190"/>
      <c r="L183" s="190"/>
    </row>
    <row r="184">
      <c r="A184" s="190"/>
      <c r="B184" s="190"/>
      <c r="C184" s="190"/>
      <c r="D184" s="190"/>
      <c r="E184" s="190"/>
      <c r="F184" s="190"/>
      <c r="G184" s="190"/>
      <c r="H184" s="190"/>
      <c r="I184" s="190"/>
      <c r="J184" s="190"/>
      <c r="K184" s="190"/>
      <c r="L184" s="190"/>
    </row>
    <row r="185">
      <c r="A185" s="190"/>
      <c r="B185" s="190"/>
      <c r="C185" s="190"/>
      <c r="D185" s="190"/>
      <c r="E185" s="190"/>
      <c r="F185" s="190"/>
      <c r="G185" s="190"/>
      <c r="H185" s="190"/>
      <c r="I185" s="190"/>
      <c r="J185" s="190"/>
      <c r="K185" s="190"/>
      <c r="L185" s="190"/>
    </row>
    <row r="186">
      <c r="A186" s="190"/>
      <c r="B186" s="190"/>
      <c r="C186" s="190"/>
      <c r="D186" s="190"/>
      <c r="E186" s="190"/>
      <c r="F186" s="190"/>
      <c r="G186" s="190"/>
      <c r="H186" s="190"/>
      <c r="I186" s="190"/>
      <c r="J186" s="190"/>
      <c r="K186" s="190"/>
      <c r="L186" s="190"/>
    </row>
    <row r="187">
      <c r="A187" s="190"/>
      <c r="B187" s="190"/>
      <c r="C187" s="190"/>
      <c r="D187" s="190"/>
      <c r="E187" s="190"/>
      <c r="F187" s="190"/>
      <c r="G187" s="190"/>
      <c r="H187" s="190"/>
      <c r="I187" s="190"/>
      <c r="J187" s="190"/>
      <c r="K187" s="190"/>
      <c r="L187" s="190"/>
    </row>
    <row r="188">
      <c r="A188" s="190"/>
      <c r="B188" s="190"/>
      <c r="C188" s="190"/>
      <c r="D188" s="190"/>
      <c r="E188" s="190"/>
      <c r="F188" s="190"/>
      <c r="G188" s="190"/>
      <c r="H188" s="190"/>
      <c r="I188" s="190"/>
      <c r="J188" s="190"/>
      <c r="K188" s="190"/>
      <c r="L188" s="190"/>
    </row>
    <row r="189">
      <c r="A189" s="190"/>
      <c r="B189" s="190"/>
      <c r="C189" s="190"/>
      <c r="D189" s="190"/>
      <c r="E189" s="190"/>
      <c r="F189" s="190"/>
      <c r="G189" s="190"/>
      <c r="H189" s="190"/>
      <c r="I189" s="190"/>
      <c r="J189" s="190"/>
      <c r="K189" s="190"/>
      <c r="L189" s="190"/>
    </row>
    <row r="190">
      <c r="A190" s="190"/>
      <c r="B190" s="190"/>
      <c r="C190" s="190"/>
      <c r="D190" s="190"/>
      <c r="E190" s="190"/>
      <c r="F190" s="190"/>
      <c r="G190" s="190"/>
      <c r="H190" s="190"/>
      <c r="I190" s="190"/>
      <c r="J190" s="190"/>
      <c r="K190" s="190"/>
      <c r="L190" s="190"/>
    </row>
    <row r="191">
      <c r="A191" s="190"/>
      <c r="B191" s="190"/>
      <c r="C191" s="190"/>
      <c r="D191" s="190"/>
      <c r="E191" s="190"/>
      <c r="F191" s="190"/>
      <c r="G191" s="190"/>
      <c r="H191" s="190"/>
      <c r="I191" s="190"/>
      <c r="J191" s="190"/>
      <c r="K191" s="190"/>
      <c r="L191" s="190"/>
    </row>
    <row r="192">
      <c r="A192" s="190"/>
      <c r="B192" s="190"/>
      <c r="C192" s="190"/>
      <c r="D192" s="190"/>
      <c r="E192" s="190"/>
      <c r="F192" s="190"/>
      <c r="G192" s="190"/>
      <c r="H192" s="190"/>
      <c r="I192" s="190"/>
      <c r="J192" s="190"/>
      <c r="K192" s="190"/>
      <c r="L192" s="190"/>
    </row>
    <row r="193">
      <c r="A193" s="190"/>
      <c r="B193" s="190"/>
      <c r="C193" s="190"/>
      <c r="D193" s="190"/>
      <c r="E193" s="190"/>
      <c r="F193" s="190"/>
      <c r="G193" s="190"/>
      <c r="H193" s="190"/>
      <c r="I193" s="190"/>
      <c r="J193" s="190"/>
      <c r="K193" s="190"/>
      <c r="L193" s="190"/>
    </row>
    <row r="194">
      <c r="A194" s="190"/>
      <c r="B194" s="190"/>
      <c r="C194" s="190"/>
      <c r="D194" s="190"/>
      <c r="E194" s="190"/>
      <c r="F194" s="190"/>
      <c r="G194" s="190"/>
      <c r="H194" s="190"/>
      <c r="I194" s="190"/>
      <c r="J194" s="190"/>
      <c r="K194" s="190"/>
      <c r="L194" s="190"/>
    </row>
    <row r="195">
      <c r="A195" s="190"/>
      <c r="B195" s="190"/>
      <c r="C195" s="190"/>
      <c r="D195" s="190"/>
      <c r="E195" s="190"/>
      <c r="F195" s="190"/>
      <c r="G195" s="190"/>
      <c r="H195" s="190"/>
      <c r="I195" s="190"/>
      <c r="J195" s="190"/>
      <c r="K195" s="190"/>
      <c r="L195" s="190"/>
    </row>
    <row r="196">
      <c r="A196" s="190"/>
      <c r="B196" s="190"/>
      <c r="C196" s="190"/>
      <c r="D196" s="190"/>
      <c r="E196" s="190"/>
      <c r="F196" s="190"/>
      <c r="G196" s="190"/>
      <c r="H196" s="190"/>
      <c r="I196" s="190"/>
      <c r="J196" s="190"/>
      <c r="K196" s="190"/>
      <c r="L196" s="190"/>
    </row>
    <row r="197">
      <c r="A197" s="190"/>
      <c r="B197" s="190"/>
      <c r="C197" s="190"/>
      <c r="D197" s="190"/>
      <c r="E197" s="190"/>
      <c r="F197" s="190"/>
      <c r="G197" s="190"/>
      <c r="H197" s="190"/>
      <c r="I197" s="190"/>
      <c r="J197" s="190"/>
      <c r="K197" s="190"/>
      <c r="L197" s="190"/>
    </row>
    <row r="198">
      <c r="A198" s="190"/>
      <c r="B198" s="190"/>
      <c r="C198" s="190"/>
      <c r="D198" s="190"/>
      <c r="E198" s="190"/>
      <c r="F198" s="190"/>
      <c r="G198" s="190"/>
      <c r="H198" s="190"/>
      <c r="I198" s="190"/>
      <c r="J198" s="190"/>
      <c r="K198" s="190"/>
      <c r="L198" s="190"/>
    </row>
    <row r="199">
      <c r="A199" s="190"/>
      <c r="B199" s="190"/>
      <c r="C199" s="190"/>
      <c r="D199" s="190"/>
      <c r="E199" s="190"/>
      <c r="F199" s="190"/>
      <c r="G199" s="190"/>
      <c r="H199" s="190"/>
      <c r="I199" s="190"/>
      <c r="J199" s="190"/>
      <c r="K199" s="190"/>
      <c r="L199" s="190"/>
    </row>
    <row r="200">
      <c r="A200" s="190"/>
      <c r="B200" s="190"/>
      <c r="C200" s="190"/>
      <c r="D200" s="190"/>
      <c r="E200" s="190"/>
      <c r="F200" s="190"/>
      <c r="G200" s="190"/>
      <c r="H200" s="190"/>
      <c r="I200" s="190"/>
      <c r="J200" s="190"/>
      <c r="K200" s="190"/>
      <c r="L200" s="190"/>
    </row>
    <row r="201">
      <c r="A201" s="190"/>
      <c r="B201" s="190"/>
      <c r="C201" s="190"/>
      <c r="D201" s="190"/>
      <c r="E201" s="190"/>
      <c r="F201" s="190"/>
      <c r="G201" s="190"/>
      <c r="H201" s="190"/>
      <c r="I201" s="190"/>
      <c r="J201" s="190"/>
      <c r="K201" s="190"/>
      <c r="L201" s="190"/>
    </row>
    <row r="202">
      <c r="A202" s="190"/>
      <c r="B202" s="190"/>
      <c r="C202" s="190"/>
      <c r="D202" s="190"/>
      <c r="E202" s="190"/>
      <c r="F202" s="190"/>
      <c r="G202" s="190"/>
      <c r="H202" s="190"/>
      <c r="I202" s="190"/>
      <c r="J202" s="190"/>
      <c r="K202" s="190"/>
      <c r="L202" s="190"/>
    </row>
    <row r="203">
      <c r="A203" s="190"/>
      <c r="B203" s="190"/>
      <c r="C203" s="190"/>
      <c r="D203" s="190"/>
      <c r="E203" s="190"/>
      <c r="F203" s="190"/>
      <c r="G203" s="190"/>
      <c r="H203" s="190"/>
      <c r="I203" s="190"/>
      <c r="J203" s="190"/>
      <c r="K203" s="190"/>
      <c r="L203" s="190"/>
    </row>
    <row r="204">
      <c r="A204" s="190"/>
      <c r="B204" s="190"/>
      <c r="C204" s="190"/>
      <c r="D204" s="190"/>
      <c r="E204" s="190"/>
      <c r="F204" s="190"/>
      <c r="G204" s="190"/>
      <c r="H204" s="190"/>
      <c r="I204" s="190"/>
      <c r="J204" s="190"/>
      <c r="K204" s="190"/>
      <c r="L204" s="190"/>
    </row>
    <row r="205">
      <c r="A205" s="190"/>
      <c r="B205" s="190"/>
      <c r="C205" s="190"/>
      <c r="D205" s="190"/>
      <c r="E205" s="190"/>
      <c r="F205" s="190"/>
      <c r="G205" s="190"/>
      <c r="H205" s="190"/>
      <c r="I205" s="190"/>
      <c r="J205" s="190"/>
      <c r="K205" s="190"/>
      <c r="L205" s="190"/>
    </row>
    <row r="206">
      <c r="A206" s="190"/>
      <c r="B206" s="190"/>
      <c r="C206" s="190"/>
      <c r="D206" s="190"/>
      <c r="E206" s="190"/>
      <c r="F206" s="190"/>
      <c r="G206" s="190"/>
      <c r="H206" s="190"/>
      <c r="I206" s="190"/>
      <c r="J206" s="190"/>
      <c r="K206" s="190"/>
      <c r="L206" s="190"/>
    </row>
    <row r="207">
      <c r="A207" s="190"/>
      <c r="B207" s="190"/>
      <c r="C207" s="190"/>
      <c r="D207" s="190"/>
      <c r="E207" s="190"/>
      <c r="F207" s="190"/>
      <c r="G207" s="190"/>
      <c r="H207" s="190"/>
      <c r="I207" s="190"/>
      <c r="J207" s="190"/>
      <c r="K207" s="190"/>
      <c r="L207" s="190"/>
    </row>
    <row r="208">
      <c r="A208" s="190"/>
      <c r="B208" s="190"/>
      <c r="C208" s="190"/>
      <c r="D208" s="190"/>
      <c r="E208" s="190"/>
      <c r="F208" s="190"/>
      <c r="G208" s="190"/>
      <c r="H208" s="190"/>
      <c r="I208" s="190"/>
      <c r="J208" s="190"/>
      <c r="K208" s="190"/>
      <c r="L208" s="190"/>
    </row>
    <row r="209">
      <c r="A209" s="190"/>
      <c r="B209" s="190"/>
      <c r="C209" s="190"/>
      <c r="D209" s="190"/>
      <c r="E209" s="190"/>
      <c r="F209" s="190"/>
      <c r="G209" s="190"/>
      <c r="H209" s="190"/>
      <c r="I209" s="190"/>
      <c r="J209" s="190"/>
      <c r="K209" s="190"/>
      <c r="L209" s="190"/>
    </row>
    <row r="210">
      <c r="A210" s="190"/>
      <c r="B210" s="190"/>
      <c r="C210" s="190"/>
      <c r="D210" s="190"/>
      <c r="E210" s="190"/>
      <c r="F210" s="190"/>
      <c r="G210" s="190"/>
      <c r="H210" s="190"/>
      <c r="I210" s="190"/>
      <c r="J210" s="190"/>
      <c r="K210" s="190"/>
      <c r="L210" s="190"/>
    </row>
    <row r="211">
      <c r="A211" s="190"/>
      <c r="B211" s="190"/>
      <c r="C211" s="190"/>
      <c r="D211" s="190"/>
      <c r="E211" s="190"/>
      <c r="F211" s="190"/>
      <c r="G211" s="190"/>
      <c r="H211" s="190"/>
      <c r="I211" s="190"/>
      <c r="J211" s="190"/>
      <c r="K211" s="190"/>
      <c r="L211" s="190"/>
    </row>
    <row r="212">
      <c r="A212" s="190"/>
      <c r="B212" s="190"/>
      <c r="C212" s="190"/>
      <c r="D212" s="190"/>
      <c r="E212" s="190"/>
      <c r="F212" s="190"/>
      <c r="G212" s="190"/>
      <c r="H212" s="190"/>
      <c r="I212" s="190"/>
      <c r="J212" s="190"/>
      <c r="K212" s="190"/>
      <c r="L212" s="190"/>
    </row>
    <row r="213">
      <c r="A213" s="190"/>
      <c r="B213" s="190"/>
      <c r="C213" s="190"/>
      <c r="D213" s="190"/>
      <c r="E213" s="190"/>
      <c r="F213" s="190"/>
      <c r="G213" s="190"/>
      <c r="H213" s="190"/>
      <c r="I213" s="190"/>
      <c r="J213" s="190"/>
      <c r="K213" s="190"/>
      <c r="L213" s="190"/>
    </row>
    <row r="214">
      <c r="A214" s="190"/>
      <c r="B214" s="190"/>
      <c r="C214" s="190"/>
      <c r="D214" s="190"/>
      <c r="E214" s="190"/>
      <c r="F214" s="190"/>
      <c r="G214" s="190"/>
      <c r="H214" s="190"/>
      <c r="I214" s="190"/>
      <c r="J214" s="190"/>
      <c r="K214" s="190"/>
      <c r="L214" s="190"/>
    </row>
    <row r="215">
      <c r="A215" s="190"/>
      <c r="B215" s="190"/>
      <c r="C215" s="190"/>
      <c r="D215" s="190"/>
      <c r="E215" s="190"/>
      <c r="F215" s="190"/>
      <c r="G215" s="190"/>
      <c r="H215" s="190"/>
      <c r="I215" s="190"/>
      <c r="J215" s="190"/>
      <c r="K215" s="190"/>
      <c r="L215" s="190"/>
    </row>
    <row r="216">
      <c r="A216" s="190"/>
      <c r="B216" s="190"/>
      <c r="C216" s="190"/>
      <c r="D216" s="190"/>
      <c r="E216" s="190"/>
      <c r="F216" s="190"/>
      <c r="G216" s="190"/>
      <c r="H216" s="190"/>
      <c r="I216" s="190"/>
      <c r="J216" s="190"/>
      <c r="K216" s="190"/>
      <c r="L216" s="190"/>
    </row>
    <row r="217">
      <c r="A217" s="190"/>
      <c r="B217" s="190"/>
      <c r="C217" s="190"/>
      <c r="D217" s="190"/>
      <c r="E217" s="190"/>
      <c r="F217" s="190"/>
      <c r="G217" s="190"/>
      <c r="H217" s="190"/>
      <c r="I217" s="190"/>
      <c r="J217" s="190"/>
      <c r="K217" s="190"/>
      <c r="L217" s="190"/>
    </row>
    <row r="218">
      <c r="A218" s="190"/>
      <c r="B218" s="190"/>
      <c r="C218" s="190"/>
      <c r="D218" s="190"/>
      <c r="E218" s="190"/>
      <c r="F218" s="190"/>
      <c r="G218" s="190"/>
      <c r="H218" s="190"/>
      <c r="I218" s="190"/>
      <c r="J218" s="190"/>
      <c r="K218" s="190"/>
      <c r="L218" s="190"/>
    </row>
    <row r="219">
      <c r="A219" s="190"/>
      <c r="B219" s="190"/>
      <c r="C219" s="190"/>
      <c r="D219" s="190"/>
      <c r="E219" s="190"/>
      <c r="F219" s="190"/>
      <c r="G219" s="190"/>
      <c r="H219" s="190"/>
      <c r="I219" s="190"/>
      <c r="J219" s="190"/>
      <c r="K219" s="190"/>
      <c r="L219" s="190"/>
    </row>
    <row r="220">
      <c r="A220" s="190"/>
      <c r="B220" s="190"/>
      <c r="C220" s="190"/>
      <c r="D220" s="190"/>
      <c r="E220" s="190"/>
      <c r="F220" s="190"/>
      <c r="G220" s="190"/>
      <c r="H220" s="190"/>
      <c r="I220" s="190"/>
      <c r="J220" s="190"/>
      <c r="K220" s="190"/>
      <c r="L220" s="190"/>
    </row>
    <row r="221">
      <c r="A221" s="190"/>
      <c r="B221" s="190"/>
      <c r="C221" s="190"/>
      <c r="D221" s="190"/>
      <c r="E221" s="190"/>
      <c r="F221" s="190"/>
      <c r="G221" s="190"/>
      <c r="H221" s="190"/>
      <c r="I221" s="190"/>
      <c r="J221" s="190"/>
      <c r="K221" s="190"/>
      <c r="L221" s="190"/>
    </row>
    <row r="222">
      <c r="A222" s="190"/>
      <c r="B222" s="190"/>
      <c r="C222" s="190"/>
      <c r="D222" s="190"/>
      <c r="E222" s="190"/>
      <c r="F222" s="190"/>
      <c r="G222" s="190"/>
      <c r="H222" s="190"/>
      <c r="I222" s="190"/>
      <c r="J222" s="190"/>
      <c r="K222" s="190"/>
      <c r="L222" s="190"/>
    </row>
    <row r="223">
      <c r="A223" s="190"/>
      <c r="B223" s="190"/>
      <c r="C223" s="190"/>
      <c r="D223" s="190"/>
      <c r="E223" s="190"/>
      <c r="F223" s="190"/>
      <c r="G223" s="190"/>
      <c r="H223" s="190"/>
      <c r="I223" s="190"/>
      <c r="J223" s="190"/>
      <c r="K223" s="190"/>
      <c r="L223" s="190"/>
    </row>
    <row r="224">
      <c r="A224" s="190"/>
      <c r="B224" s="190"/>
      <c r="C224" s="190"/>
      <c r="D224" s="190"/>
      <c r="E224" s="190"/>
      <c r="F224" s="190"/>
      <c r="G224" s="190"/>
      <c r="H224" s="190"/>
      <c r="I224" s="190"/>
      <c r="J224" s="190"/>
      <c r="K224" s="190"/>
      <c r="L224" s="190"/>
    </row>
    <row r="225">
      <c r="A225" s="190"/>
      <c r="B225" s="190"/>
      <c r="C225" s="190"/>
      <c r="D225" s="190"/>
      <c r="E225" s="190"/>
      <c r="F225" s="190"/>
      <c r="G225" s="190"/>
      <c r="H225" s="190"/>
      <c r="I225" s="190"/>
      <c r="J225" s="190"/>
      <c r="K225" s="190"/>
      <c r="L225" s="190"/>
    </row>
    <row r="226">
      <c r="A226" s="190"/>
      <c r="B226" s="190"/>
      <c r="C226" s="190"/>
      <c r="D226" s="190"/>
      <c r="E226" s="190"/>
      <c r="F226" s="190"/>
      <c r="G226" s="190"/>
      <c r="H226" s="190"/>
      <c r="I226" s="190"/>
      <c r="J226" s="190"/>
      <c r="K226" s="190"/>
      <c r="L226" s="190"/>
    </row>
    <row r="227">
      <c r="A227" s="190"/>
      <c r="B227" s="190"/>
      <c r="C227" s="190"/>
      <c r="D227" s="190"/>
      <c r="E227" s="190"/>
      <c r="F227" s="190"/>
      <c r="G227" s="190"/>
      <c r="H227" s="190"/>
      <c r="I227" s="190"/>
      <c r="J227" s="190"/>
      <c r="K227" s="190"/>
      <c r="L227" s="190"/>
    </row>
    <row r="228">
      <c r="A228" s="190"/>
      <c r="B228" s="190"/>
      <c r="C228" s="190"/>
      <c r="D228" s="190"/>
      <c r="E228" s="190"/>
      <c r="F228" s="190"/>
      <c r="G228" s="190"/>
      <c r="H228" s="190"/>
      <c r="I228" s="190"/>
      <c r="J228" s="190"/>
      <c r="K228" s="190"/>
      <c r="L228" s="190"/>
    </row>
    <row r="229">
      <c r="A229" s="190"/>
      <c r="B229" s="190"/>
      <c r="C229" s="190"/>
      <c r="D229" s="190"/>
      <c r="E229" s="190"/>
      <c r="F229" s="190"/>
      <c r="G229" s="190"/>
      <c r="H229" s="190"/>
      <c r="I229" s="190"/>
      <c r="J229" s="190"/>
      <c r="K229" s="190"/>
      <c r="L229" s="190"/>
    </row>
    <row r="230">
      <c r="A230" s="190"/>
      <c r="B230" s="190"/>
      <c r="C230" s="190"/>
      <c r="D230" s="190"/>
      <c r="E230" s="190"/>
      <c r="F230" s="190"/>
      <c r="G230" s="190"/>
      <c r="H230" s="190"/>
      <c r="I230" s="190"/>
      <c r="J230" s="190"/>
      <c r="K230" s="190"/>
      <c r="L230" s="190"/>
    </row>
    <row r="231">
      <c r="A231" s="190"/>
      <c r="B231" s="190"/>
      <c r="C231" s="190"/>
      <c r="D231" s="190"/>
      <c r="E231" s="190"/>
      <c r="F231" s="190"/>
      <c r="G231" s="190"/>
      <c r="H231" s="190"/>
      <c r="I231" s="190"/>
      <c r="J231" s="190"/>
      <c r="K231" s="190"/>
      <c r="L231" s="190"/>
    </row>
    <row r="232">
      <c r="A232" s="190"/>
      <c r="B232" s="190"/>
      <c r="C232" s="190"/>
      <c r="D232" s="190"/>
      <c r="E232" s="190"/>
      <c r="F232" s="190"/>
      <c r="G232" s="190"/>
      <c r="H232" s="190"/>
      <c r="I232" s="190"/>
      <c r="J232" s="190"/>
      <c r="K232" s="190"/>
      <c r="L232" s="190"/>
    </row>
    <row r="233">
      <c r="A233" s="190"/>
      <c r="B233" s="190"/>
      <c r="C233" s="190"/>
      <c r="D233" s="190"/>
      <c r="E233" s="190"/>
      <c r="F233" s="190"/>
      <c r="G233" s="190"/>
      <c r="H233" s="190"/>
      <c r="I233" s="190"/>
      <c r="J233" s="190"/>
      <c r="K233" s="190"/>
      <c r="L233" s="190"/>
    </row>
    <row r="234">
      <c r="A234" s="190"/>
      <c r="B234" s="190"/>
      <c r="C234" s="190"/>
      <c r="D234" s="190"/>
      <c r="E234" s="190"/>
      <c r="F234" s="190"/>
      <c r="G234" s="190"/>
      <c r="H234" s="190"/>
      <c r="I234" s="190"/>
      <c r="J234" s="190"/>
      <c r="K234" s="190"/>
      <c r="L234" s="190"/>
    </row>
    <row r="235">
      <c r="A235" s="190"/>
      <c r="B235" s="190"/>
      <c r="C235" s="190"/>
      <c r="D235" s="190"/>
      <c r="E235" s="190"/>
      <c r="F235" s="190"/>
      <c r="G235" s="190"/>
      <c r="H235" s="190"/>
      <c r="I235" s="190"/>
      <c r="J235" s="190"/>
      <c r="K235" s="190"/>
      <c r="L235" s="190"/>
    </row>
    <row r="236">
      <c r="A236" s="190"/>
      <c r="B236" s="190"/>
      <c r="C236" s="190"/>
      <c r="D236" s="190"/>
      <c r="E236" s="190"/>
      <c r="F236" s="190"/>
      <c r="G236" s="190"/>
      <c r="H236" s="190"/>
      <c r="I236" s="190"/>
      <c r="J236" s="190"/>
      <c r="K236" s="190"/>
      <c r="L236" s="190"/>
    </row>
    <row r="237">
      <c r="A237" s="190"/>
      <c r="B237" s="190"/>
      <c r="C237" s="190"/>
      <c r="D237" s="190"/>
      <c r="E237" s="190"/>
      <c r="F237" s="190"/>
      <c r="G237" s="190"/>
      <c r="H237" s="190"/>
      <c r="I237" s="190"/>
      <c r="J237" s="190"/>
      <c r="K237" s="190"/>
      <c r="L237" s="190"/>
    </row>
    <row r="238">
      <c r="A238" s="190"/>
      <c r="B238" s="190"/>
      <c r="C238" s="190"/>
      <c r="D238" s="190"/>
      <c r="E238" s="190"/>
      <c r="F238" s="190"/>
      <c r="G238" s="190"/>
      <c r="H238" s="190"/>
      <c r="I238" s="190"/>
      <c r="J238" s="190"/>
      <c r="K238" s="190"/>
      <c r="L238" s="190"/>
    </row>
    <row r="239">
      <c r="A239" s="190"/>
      <c r="B239" s="190"/>
      <c r="C239" s="190"/>
      <c r="D239" s="190"/>
      <c r="E239" s="190"/>
      <c r="F239" s="190"/>
      <c r="G239" s="190"/>
      <c r="H239" s="190"/>
      <c r="I239" s="190"/>
      <c r="J239" s="190"/>
      <c r="K239" s="190"/>
      <c r="L239" s="190"/>
    </row>
    <row r="240">
      <c r="A240" s="190"/>
      <c r="B240" s="190"/>
      <c r="C240" s="190"/>
      <c r="D240" s="190"/>
      <c r="E240" s="190"/>
      <c r="F240" s="190"/>
      <c r="G240" s="190"/>
      <c r="H240" s="190"/>
      <c r="I240" s="190"/>
      <c r="J240" s="190"/>
      <c r="K240" s="190"/>
      <c r="L240" s="190"/>
    </row>
    <row r="241">
      <c r="A241" s="190"/>
      <c r="B241" s="190"/>
      <c r="C241" s="190"/>
      <c r="D241" s="190"/>
      <c r="E241" s="190"/>
      <c r="F241" s="190"/>
      <c r="G241" s="190"/>
      <c r="H241" s="190"/>
      <c r="I241" s="190"/>
      <c r="J241" s="190"/>
      <c r="K241" s="190"/>
      <c r="L241" s="190"/>
    </row>
    <row r="242">
      <c r="A242" s="190"/>
      <c r="B242" s="190"/>
      <c r="C242" s="190"/>
      <c r="D242" s="190"/>
      <c r="E242" s="190"/>
      <c r="F242" s="190"/>
      <c r="G242" s="190"/>
      <c r="H242" s="190"/>
      <c r="I242" s="190"/>
      <c r="J242" s="190"/>
      <c r="K242" s="190"/>
      <c r="L242" s="190"/>
    </row>
    <row r="243">
      <c r="A243" s="190"/>
      <c r="B243" s="190"/>
      <c r="C243" s="190"/>
      <c r="D243" s="190"/>
      <c r="E243" s="190"/>
      <c r="F243" s="190"/>
      <c r="G243" s="190"/>
      <c r="H243" s="190"/>
      <c r="I243" s="190"/>
      <c r="J243" s="190"/>
      <c r="K243" s="190"/>
      <c r="L243" s="190"/>
    </row>
    <row r="244">
      <c r="A244" s="190"/>
      <c r="B244" s="190"/>
      <c r="C244" s="190"/>
      <c r="D244" s="190"/>
      <c r="E244" s="190"/>
      <c r="F244" s="190"/>
      <c r="G244" s="190"/>
      <c r="H244" s="190"/>
      <c r="I244" s="190"/>
      <c r="J244" s="190"/>
      <c r="K244" s="190"/>
      <c r="L244" s="190"/>
    </row>
    <row r="245">
      <c r="A245" s="190"/>
      <c r="B245" s="190"/>
      <c r="C245" s="190"/>
      <c r="D245" s="190"/>
      <c r="E245" s="190"/>
      <c r="F245" s="190"/>
      <c r="G245" s="190"/>
      <c r="H245" s="190"/>
      <c r="I245" s="190"/>
      <c r="J245" s="190"/>
      <c r="K245" s="190"/>
      <c r="L245" s="190"/>
    </row>
    <row r="246">
      <c r="A246" s="190"/>
      <c r="B246" s="190"/>
      <c r="C246" s="190"/>
      <c r="D246" s="190"/>
      <c r="E246" s="190"/>
      <c r="F246" s="190"/>
      <c r="G246" s="190"/>
      <c r="H246" s="190"/>
      <c r="I246" s="190"/>
      <c r="J246" s="190"/>
      <c r="K246" s="190"/>
      <c r="L246" s="190"/>
    </row>
    <row r="247">
      <c r="A247" s="190"/>
      <c r="B247" s="190"/>
      <c r="C247" s="190"/>
      <c r="D247" s="190"/>
      <c r="E247" s="190"/>
      <c r="F247" s="190"/>
      <c r="G247" s="190"/>
      <c r="H247" s="190"/>
      <c r="I247" s="190"/>
      <c r="J247" s="190"/>
      <c r="K247" s="190"/>
      <c r="L247" s="190"/>
    </row>
    <row r="248">
      <c r="A248" s="190"/>
      <c r="B248" s="190"/>
      <c r="C248" s="190"/>
      <c r="D248" s="190"/>
      <c r="E248" s="190"/>
      <c r="F248" s="190"/>
      <c r="G248" s="190"/>
      <c r="H248" s="190"/>
      <c r="I248" s="190"/>
      <c r="J248" s="190"/>
      <c r="K248" s="190"/>
      <c r="L248" s="190"/>
    </row>
    <row r="249">
      <c r="A249" s="190"/>
      <c r="B249" s="190"/>
      <c r="C249" s="190"/>
      <c r="D249" s="190"/>
      <c r="E249" s="190"/>
      <c r="F249" s="190"/>
      <c r="G249" s="190"/>
      <c r="H249" s="190"/>
      <c r="I249" s="190"/>
      <c r="J249" s="190"/>
      <c r="K249" s="190"/>
      <c r="L249" s="190"/>
    </row>
    <row r="250">
      <c r="A250" s="190"/>
      <c r="B250" s="190"/>
      <c r="C250" s="190"/>
      <c r="D250" s="190"/>
      <c r="E250" s="190"/>
      <c r="F250" s="190"/>
      <c r="G250" s="190"/>
      <c r="H250" s="190"/>
      <c r="I250" s="190"/>
      <c r="J250" s="190"/>
      <c r="K250" s="190"/>
      <c r="L250" s="190"/>
    </row>
    <row r="251">
      <c r="A251" s="190"/>
      <c r="B251" s="190"/>
      <c r="C251" s="190"/>
      <c r="D251" s="190"/>
      <c r="E251" s="190"/>
      <c r="F251" s="190"/>
      <c r="G251" s="190"/>
      <c r="H251" s="190"/>
      <c r="I251" s="190"/>
      <c r="J251" s="190"/>
      <c r="K251" s="190"/>
      <c r="L251" s="190"/>
    </row>
    <row r="252">
      <c r="A252" s="190"/>
      <c r="B252" s="190"/>
      <c r="C252" s="190"/>
      <c r="D252" s="190"/>
      <c r="E252" s="190"/>
      <c r="F252" s="190"/>
      <c r="G252" s="190"/>
      <c r="H252" s="190"/>
      <c r="I252" s="190"/>
      <c r="J252" s="190"/>
      <c r="K252" s="190"/>
      <c r="L252" s="190"/>
    </row>
    <row r="253">
      <c r="A253" s="190"/>
      <c r="B253" s="190"/>
      <c r="C253" s="190"/>
      <c r="D253" s="190"/>
      <c r="E253" s="190"/>
      <c r="F253" s="190"/>
      <c r="G253" s="190"/>
      <c r="H253" s="190"/>
      <c r="I253" s="190"/>
      <c r="J253" s="190"/>
      <c r="K253" s="190"/>
      <c r="L253" s="190"/>
    </row>
    <row r="254">
      <c r="A254" s="190"/>
      <c r="B254" s="190"/>
      <c r="C254" s="190"/>
      <c r="D254" s="190"/>
      <c r="E254" s="190"/>
      <c r="F254" s="190"/>
      <c r="G254" s="190"/>
      <c r="H254" s="190"/>
      <c r="I254" s="190"/>
      <c r="J254" s="190"/>
      <c r="K254" s="190"/>
      <c r="L254" s="190"/>
    </row>
    <row r="255">
      <c r="A255" s="190"/>
      <c r="B255" s="190"/>
      <c r="C255" s="190"/>
      <c r="D255" s="190"/>
      <c r="E255" s="190"/>
      <c r="F255" s="190"/>
      <c r="G255" s="190"/>
      <c r="H255" s="190"/>
      <c r="I255" s="190"/>
      <c r="J255" s="190"/>
      <c r="K255" s="190"/>
      <c r="L255" s="190"/>
    </row>
    <row r="256">
      <c r="A256" s="190"/>
      <c r="B256" s="190"/>
      <c r="C256" s="190"/>
      <c r="D256" s="190"/>
      <c r="E256" s="190"/>
      <c r="F256" s="190"/>
      <c r="G256" s="190"/>
      <c r="H256" s="190"/>
      <c r="I256" s="190"/>
      <c r="J256" s="190"/>
      <c r="K256" s="190"/>
      <c r="L256" s="190"/>
    </row>
    <row r="257">
      <c r="A257" s="190"/>
      <c r="B257" s="190"/>
      <c r="C257" s="190"/>
      <c r="D257" s="190"/>
      <c r="E257" s="190"/>
      <c r="F257" s="190"/>
      <c r="G257" s="190"/>
      <c r="H257" s="190"/>
      <c r="I257" s="190"/>
      <c r="J257" s="190"/>
      <c r="K257" s="190"/>
      <c r="L257" s="190"/>
    </row>
    <row r="258">
      <c r="A258" s="190"/>
      <c r="B258" s="190"/>
      <c r="C258" s="190"/>
      <c r="D258" s="190"/>
      <c r="E258" s="190"/>
      <c r="F258" s="190"/>
      <c r="G258" s="190"/>
      <c r="H258" s="190"/>
      <c r="I258" s="190"/>
      <c r="J258" s="190"/>
      <c r="K258" s="190"/>
      <c r="L258" s="190"/>
    </row>
    <row r="259">
      <c r="A259" s="190"/>
      <c r="B259" s="190"/>
      <c r="C259" s="190"/>
      <c r="D259" s="190"/>
      <c r="E259" s="190"/>
      <c r="F259" s="190"/>
      <c r="G259" s="190"/>
      <c r="H259" s="190"/>
      <c r="I259" s="190"/>
      <c r="J259" s="190"/>
      <c r="K259" s="190"/>
      <c r="L259" s="190"/>
    </row>
    <row r="260">
      <c r="A260" s="190"/>
      <c r="B260" s="190"/>
      <c r="C260" s="190"/>
      <c r="D260" s="190"/>
      <c r="E260" s="190"/>
      <c r="F260" s="190"/>
      <c r="G260" s="190"/>
      <c r="H260" s="190"/>
      <c r="I260" s="190"/>
      <c r="J260" s="190"/>
      <c r="K260" s="190"/>
      <c r="L260" s="190"/>
    </row>
    <row r="261">
      <c r="A261" s="190"/>
      <c r="B261" s="190"/>
      <c r="C261" s="190"/>
      <c r="D261" s="190"/>
      <c r="E261" s="190"/>
      <c r="F261" s="190"/>
      <c r="G261" s="190"/>
      <c r="H261" s="190"/>
      <c r="I261" s="190"/>
      <c r="J261" s="190"/>
      <c r="K261" s="190"/>
      <c r="L261" s="190"/>
    </row>
    <row r="262">
      <c r="A262" s="190"/>
      <c r="B262" s="190"/>
      <c r="C262" s="190"/>
      <c r="D262" s="190"/>
      <c r="E262" s="190"/>
      <c r="F262" s="190"/>
      <c r="G262" s="190"/>
      <c r="H262" s="190"/>
      <c r="I262" s="190"/>
      <c r="J262" s="190"/>
      <c r="K262" s="190"/>
      <c r="L262" s="190"/>
    </row>
    <row r="263">
      <c r="A263" s="190"/>
      <c r="B263" s="190"/>
      <c r="C263" s="190"/>
      <c r="D263" s="190"/>
      <c r="E263" s="190"/>
      <c r="F263" s="190"/>
      <c r="G263" s="190"/>
      <c r="H263" s="190"/>
      <c r="I263" s="190"/>
      <c r="J263" s="190"/>
      <c r="K263" s="190"/>
      <c r="L263" s="190"/>
    </row>
    <row r="264">
      <c r="A264" s="190"/>
      <c r="B264" s="190"/>
      <c r="C264" s="190"/>
      <c r="D264" s="190"/>
      <c r="E264" s="190"/>
      <c r="F264" s="190"/>
      <c r="G264" s="190"/>
      <c r="H264" s="190"/>
      <c r="I264" s="190"/>
      <c r="J264" s="190"/>
      <c r="K264" s="190"/>
      <c r="L264" s="190"/>
    </row>
    <row r="265">
      <c r="A265" s="190"/>
      <c r="B265" s="190"/>
      <c r="C265" s="190"/>
      <c r="D265" s="190"/>
      <c r="E265" s="190"/>
      <c r="F265" s="190"/>
      <c r="G265" s="190"/>
      <c r="H265" s="190"/>
      <c r="I265" s="190"/>
      <c r="J265" s="190"/>
      <c r="K265" s="190"/>
      <c r="L265" s="190"/>
    </row>
    <row r="266">
      <c r="A266" s="190"/>
      <c r="B266" s="190"/>
      <c r="C266" s="190"/>
      <c r="D266" s="190"/>
      <c r="E266" s="190"/>
      <c r="F266" s="190"/>
      <c r="G266" s="190"/>
      <c r="H266" s="190"/>
      <c r="I266" s="190"/>
      <c r="J266" s="190"/>
      <c r="K266" s="190"/>
      <c r="L266" s="190"/>
    </row>
    <row r="267">
      <c r="A267" s="190"/>
      <c r="B267" s="190"/>
      <c r="C267" s="190"/>
      <c r="D267" s="190"/>
      <c r="E267" s="190"/>
      <c r="F267" s="190"/>
      <c r="G267" s="190"/>
      <c r="H267" s="190"/>
      <c r="I267" s="190"/>
      <c r="J267" s="190"/>
      <c r="K267" s="190"/>
      <c r="L267" s="190"/>
    </row>
    <row r="268">
      <c r="A268" s="190"/>
      <c r="B268" s="190"/>
      <c r="C268" s="190"/>
      <c r="D268" s="190"/>
      <c r="E268" s="190"/>
      <c r="F268" s="190"/>
      <c r="G268" s="190"/>
      <c r="H268" s="190"/>
      <c r="I268" s="190"/>
      <c r="J268" s="190"/>
      <c r="K268" s="190"/>
      <c r="L268" s="190"/>
    </row>
    <row r="269">
      <c r="A269" s="190"/>
      <c r="B269" s="190"/>
      <c r="C269" s="190"/>
      <c r="D269" s="190"/>
      <c r="E269" s="190"/>
      <c r="F269" s="190"/>
      <c r="G269" s="190"/>
      <c r="H269" s="190"/>
      <c r="I269" s="190"/>
      <c r="J269" s="190"/>
      <c r="K269" s="190"/>
      <c r="L269" s="190"/>
    </row>
    <row r="270">
      <c r="A270" s="190"/>
      <c r="B270" s="190"/>
      <c r="C270" s="190"/>
      <c r="D270" s="190"/>
      <c r="E270" s="190"/>
      <c r="F270" s="190"/>
      <c r="G270" s="190"/>
      <c r="H270" s="190"/>
      <c r="I270" s="190"/>
      <c r="J270" s="190"/>
      <c r="K270" s="190"/>
      <c r="L270" s="190"/>
    </row>
    <row r="271">
      <c r="A271" s="190"/>
      <c r="B271" s="190"/>
      <c r="C271" s="190"/>
      <c r="D271" s="190"/>
      <c r="E271" s="190"/>
      <c r="F271" s="190"/>
      <c r="G271" s="190"/>
      <c r="H271" s="190"/>
      <c r="I271" s="190"/>
      <c r="J271" s="190"/>
      <c r="K271" s="190"/>
      <c r="L271" s="190"/>
    </row>
    <row r="272">
      <c r="A272" s="190"/>
      <c r="B272" s="190"/>
      <c r="C272" s="190"/>
      <c r="D272" s="190"/>
      <c r="E272" s="190"/>
      <c r="F272" s="190"/>
      <c r="G272" s="190"/>
      <c r="H272" s="190"/>
      <c r="I272" s="190"/>
      <c r="J272" s="190"/>
      <c r="K272" s="190"/>
      <c r="L272" s="190"/>
    </row>
    <row r="273">
      <c r="A273" s="190"/>
      <c r="B273" s="190"/>
      <c r="C273" s="190"/>
      <c r="D273" s="190"/>
      <c r="E273" s="190"/>
      <c r="F273" s="190"/>
      <c r="G273" s="190"/>
      <c r="H273" s="190"/>
      <c r="I273" s="190"/>
      <c r="J273" s="190"/>
      <c r="K273" s="190"/>
      <c r="L273" s="190"/>
    </row>
    <row r="274">
      <c r="A274" s="190"/>
      <c r="B274" s="190"/>
      <c r="C274" s="190"/>
      <c r="D274" s="190"/>
      <c r="E274" s="190"/>
      <c r="F274" s="190"/>
      <c r="G274" s="190"/>
      <c r="H274" s="190"/>
      <c r="I274" s="190"/>
      <c r="J274" s="190"/>
      <c r="K274" s="190"/>
      <c r="L274" s="190"/>
    </row>
    <row r="275">
      <c r="A275" s="190"/>
      <c r="B275" s="190"/>
      <c r="C275" s="190"/>
      <c r="D275" s="190"/>
      <c r="E275" s="190"/>
      <c r="F275" s="190"/>
      <c r="G275" s="190"/>
      <c r="H275" s="190"/>
      <c r="I275" s="190"/>
      <c r="J275" s="190"/>
      <c r="K275" s="190"/>
      <c r="L275" s="190"/>
    </row>
    <row r="276">
      <c r="A276" s="190"/>
      <c r="B276" s="190"/>
      <c r="C276" s="190"/>
      <c r="D276" s="190"/>
      <c r="E276" s="190"/>
      <c r="F276" s="190"/>
      <c r="G276" s="190"/>
      <c r="H276" s="190"/>
      <c r="I276" s="190"/>
      <c r="J276" s="190"/>
      <c r="K276" s="190"/>
      <c r="L276" s="190"/>
    </row>
    <row r="277">
      <c r="A277" s="190"/>
      <c r="B277" s="190"/>
      <c r="C277" s="190"/>
      <c r="D277" s="190"/>
      <c r="E277" s="190"/>
      <c r="F277" s="190"/>
      <c r="G277" s="190"/>
      <c r="H277" s="190"/>
      <c r="I277" s="190"/>
      <c r="J277" s="190"/>
      <c r="K277" s="190"/>
      <c r="L277" s="190"/>
    </row>
    <row r="278">
      <c r="A278" s="190"/>
      <c r="B278" s="190"/>
      <c r="C278" s="190"/>
      <c r="D278" s="190"/>
      <c r="E278" s="190"/>
      <c r="F278" s="190"/>
      <c r="G278" s="190"/>
      <c r="H278" s="190"/>
      <c r="I278" s="190"/>
      <c r="J278" s="190"/>
      <c r="K278" s="190"/>
      <c r="L278" s="190"/>
    </row>
    <row r="279">
      <c r="A279" s="190"/>
      <c r="B279" s="190"/>
      <c r="C279" s="190"/>
      <c r="D279" s="190"/>
      <c r="E279" s="190"/>
      <c r="F279" s="190"/>
      <c r="G279" s="190"/>
      <c r="H279" s="190"/>
      <c r="I279" s="190"/>
      <c r="J279" s="190"/>
      <c r="K279" s="190"/>
      <c r="L279" s="190"/>
    </row>
    <row r="280">
      <c r="A280" s="190"/>
      <c r="B280" s="190"/>
      <c r="C280" s="190"/>
      <c r="D280" s="190"/>
      <c r="E280" s="190"/>
      <c r="F280" s="190"/>
      <c r="G280" s="190"/>
      <c r="H280" s="190"/>
      <c r="I280" s="190"/>
      <c r="J280" s="190"/>
      <c r="K280" s="190"/>
      <c r="L280" s="190"/>
    </row>
    <row r="281">
      <c r="A281" s="190"/>
      <c r="B281" s="190"/>
      <c r="C281" s="190"/>
      <c r="D281" s="190"/>
      <c r="E281" s="190"/>
      <c r="F281" s="190"/>
      <c r="G281" s="190"/>
      <c r="H281" s="190"/>
      <c r="I281" s="190"/>
      <c r="J281" s="190"/>
      <c r="K281" s="190"/>
      <c r="L281" s="190"/>
    </row>
    <row r="282">
      <c r="A282" s="190"/>
      <c r="B282" s="190"/>
      <c r="C282" s="190"/>
      <c r="D282" s="190"/>
      <c r="E282" s="190"/>
      <c r="F282" s="190"/>
      <c r="G282" s="190"/>
      <c r="H282" s="190"/>
      <c r="I282" s="190"/>
      <c r="J282" s="190"/>
      <c r="K282" s="190"/>
      <c r="L282" s="190"/>
    </row>
    <row r="283">
      <c r="A283" s="190"/>
      <c r="B283" s="190"/>
      <c r="C283" s="190"/>
      <c r="D283" s="190"/>
      <c r="E283" s="190"/>
      <c r="F283" s="190"/>
      <c r="G283" s="190"/>
      <c r="H283" s="190"/>
      <c r="I283" s="190"/>
      <c r="J283" s="190"/>
      <c r="K283" s="190"/>
      <c r="L283" s="190"/>
    </row>
    <row r="284">
      <c r="A284" s="190"/>
      <c r="B284" s="190"/>
      <c r="C284" s="190"/>
      <c r="D284" s="190"/>
      <c r="E284" s="190"/>
      <c r="F284" s="190"/>
      <c r="G284" s="190"/>
      <c r="H284" s="190"/>
      <c r="I284" s="190"/>
      <c r="J284" s="190"/>
      <c r="K284" s="190"/>
      <c r="L284" s="190"/>
    </row>
    <row r="285">
      <c r="A285" s="190"/>
      <c r="B285" s="190"/>
      <c r="C285" s="190"/>
      <c r="D285" s="190"/>
      <c r="E285" s="190"/>
      <c r="F285" s="190"/>
      <c r="G285" s="190"/>
      <c r="H285" s="190"/>
      <c r="I285" s="190"/>
      <c r="J285" s="190"/>
      <c r="K285" s="190"/>
      <c r="L285" s="190"/>
    </row>
    <row r="286">
      <c r="A286" s="190"/>
      <c r="B286" s="190"/>
      <c r="C286" s="190"/>
      <c r="D286" s="190"/>
      <c r="E286" s="190"/>
      <c r="F286" s="190"/>
      <c r="G286" s="190"/>
      <c r="H286" s="190"/>
      <c r="I286" s="190"/>
      <c r="J286" s="190"/>
      <c r="K286" s="190"/>
      <c r="L286" s="190"/>
    </row>
    <row r="287">
      <c r="A287" s="190"/>
      <c r="B287" s="190"/>
      <c r="C287" s="190"/>
      <c r="D287" s="190"/>
      <c r="E287" s="190"/>
      <c r="F287" s="190"/>
      <c r="G287" s="190"/>
      <c r="H287" s="190"/>
      <c r="I287" s="190"/>
      <c r="J287" s="190"/>
      <c r="K287" s="190"/>
      <c r="L287" s="190"/>
    </row>
    <row r="288">
      <c r="A288" s="190"/>
      <c r="B288" s="190"/>
      <c r="C288" s="190"/>
      <c r="D288" s="190"/>
      <c r="E288" s="190"/>
      <c r="F288" s="190"/>
      <c r="G288" s="190"/>
      <c r="H288" s="190"/>
      <c r="I288" s="190"/>
      <c r="J288" s="190"/>
      <c r="K288" s="190"/>
      <c r="L288" s="190"/>
    </row>
    <row r="289">
      <c r="A289" s="190"/>
      <c r="B289" s="190"/>
      <c r="C289" s="190"/>
      <c r="D289" s="190"/>
      <c r="E289" s="190"/>
      <c r="F289" s="190"/>
      <c r="G289" s="190"/>
      <c r="H289" s="190"/>
      <c r="I289" s="190"/>
      <c r="J289" s="190"/>
      <c r="K289" s="190"/>
      <c r="L289" s="190"/>
    </row>
    <row r="290">
      <c r="A290" s="190"/>
      <c r="B290" s="190"/>
      <c r="C290" s="190"/>
      <c r="D290" s="190"/>
      <c r="E290" s="190"/>
      <c r="F290" s="190"/>
      <c r="G290" s="190"/>
      <c r="H290" s="190"/>
      <c r="I290" s="190"/>
      <c r="J290" s="190"/>
      <c r="K290" s="190"/>
      <c r="L290" s="190"/>
    </row>
    <row r="291">
      <c r="A291" s="190"/>
      <c r="B291" s="190"/>
      <c r="C291" s="190"/>
      <c r="D291" s="190"/>
      <c r="E291" s="190"/>
      <c r="F291" s="190"/>
      <c r="G291" s="190"/>
      <c r="H291" s="190"/>
      <c r="I291" s="190"/>
      <c r="J291" s="190"/>
      <c r="K291" s="190"/>
      <c r="L291" s="190"/>
    </row>
    <row r="292">
      <c r="A292" s="190"/>
      <c r="B292" s="190"/>
      <c r="C292" s="190"/>
      <c r="D292" s="190"/>
      <c r="E292" s="190"/>
      <c r="F292" s="190"/>
      <c r="G292" s="190"/>
      <c r="H292" s="190"/>
      <c r="I292" s="190"/>
      <c r="J292" s="190"/>
      <c r="K292" s="190"/>
      <c r="L292" s="190"/>
    </row>
    <row r="293">
      <c r="A293" s="190"/>
      <c r="B293" s="190"/>
      <c r="C293" s="190"/>
      <c r="D293" s="190"/>
      <c r="E293" s="190"/>
      <c r="F293" s="190"/>
      <c r="G293" s="190"/>
      <c r="H293" s="190"/>
      <c r="I293" s="190"/>
      <c r="J293" s="190"/>
      <c r="K293" s="190"/>
      <c r="L293" s="190"/>
    </row>
    <row r="294">
      <c r="A294" s="190"/>
      <c r="B294" s="190"/>
      <c r="C294" s="190"/>
      <c r="D294" s="190"/>
      <c r="E294" s="190"/>
      <c r="F294" s="190"/>
      <c r="G294" s="190"/>
      <c r="H294" s="190"/>
      <c r="I294" s="190"/>
      <c r="J294" s="190"/>
      <c r="K294" s="190"/>
      <c r="L294" s="190"/>
    </row>
    <row r="295">
      <c r="A295" s="190"/>
      <c r="B295" s="190"/>
      <c r="C295" s="190"/>
      <c r="D295" s="190"/>
      <c r="E295" s="190"/>
      <c r="F295" s="190"/>
      <c r="G295" s="190"/>
      <c r="H295" s="190"/>
      <c r="I295" s="190"/>
      <c r="J295" s="190"/>
      <c r="K295" s="190"/>
      <c r="L295" s="190"/>
    </row>
    <row r="296">
      <c r="A296" s="190"/>
      <c r="B296" s="190"/>
      <c r="C296" s="190"/>
      <c r="D296" s="190"/>
      <c r="E296" s="190"/>
      <c r="F296" s="190"/>
      <c r="G296" s="190"/>
      <c r="H296" s="190"/>
      <c r="I296" s="190"/>
      <c r="J296" s="190"/>
      <c r="K296" s="190"/>
      <c r="L296" s="190"/>
    </row>
    <row r="297">
      <c r="A297" s="190"/>
      <c r="B297" s="190"/>
      <c r="C297" s="190"/>
      <c r="D297" s="190"/>
      <c r="E297" s="190"/>
      <c r="F297" s="190"/>
      <c r="G297" s="190"/>
      <c r="H297" s="190"/>
      <c r="I297" s="190"/>
      <c r="J297" s="190"/>
      <c r="K297" s="190"/>
      <c r="L297" s="190"/>
    </row>
    <row r="298">
      <c r="A298" s="190"/>
      <c r="B298" s="190"/>
      <c r="C298" s="190"/>
      <c r="D298" s="190"/>
      <c r="E298" s="190"/>
      <c r="F298" s="190"/>
      <c r="G298" s="190"/>
      <c r="H298" s="190"/>
      <c r="I298" s="190"/>
      <c r="J298" s="190"/>
      <c r="K298" s="190"/>
      <c r="L298" s="190"/>
    </row>
    <row r="299">
      <c r="A299" s="190"/>
      <c r="B299" s="190"/>
      <c r="C299" s="190"/>
      <c r="D299" s="190"/>
      <c r="E299" s="190"/>
      <c r="F299" s="190"/>
      <c r="G299" s="190"/>
      <c r="H299" s="190"/>
      <c r="I299" s="190"/>
      <c r="J299" s="190"/>
      <c r="K299" s="190"/>
      <c r="L299" s="190"/>
    </row>
    <row r="300">
      <c r="A300" s="190"/>
      <c r="B300" s="190"/>
      <c r="C300" s="190"/>
      <c r="D300" s="190"/>
      <c r="E300" s="190"/>
      <c r="F300" s="190"/>
      <c r="G300" s="190"/>
      <c r="H300" s="190"/>
      <c r="I300" s="190"/>
      <c r="J300" s="190"/>
      <c r="K300" s="190"/>
      <c r="L300" s="190"/>
    </row>
    <row r="301">
      <c r="A301" s="190"/>
      <c r="B301" s="190"/>
      <c r="C301" s="190"/>
      <c r="D301" s="190"/>
      <c r="E301" s="190"/>
      <c r="F301" s="190"/>
      <c r="G301" s="190"/>
      <c r="H301" s="190"/>
      <c r="I301" s="190"/>
      <c r="J301" s="190"/>
      <c r="K301" s="190"/>
      <c r="L301" s="190"/>
    </row>
    <row r="302">
      <c r="A302" s="190"/>
      <c r="B302" s="190"/>
      <c r="C302" s="190"/>
      <c r="D302" s="190"/>
      <c r="E302" s="190"/>
      <c r="F302" s="190"/>
      <c r="G302" s="190"/>
      <c r="H302" s="190"/>
      <c r="I302" s="190"/>
      <c r="J302" s="190"/>
      <c r="K302" s="190"/>
      <c r="L302" s="190"/>
    </row>
    <row r="303">
      <c r="A303" s="190"/>
      <c r="B303" s="190"/>
      <c r="C303" s="190"/>
      <c r="D303" s="190"/>
      <c r="E303" s="190"/>
      <c r="F303" s="190"/>
      <c r="G303" s="190"/>
      <c r="H303" s="190"/>
      <c r="I303" s="190"/>
      <c r="J303" s="190"/>
      <c r="K303" s="190"/>
      <c r="L303" s="190"/>
    </row>
    <row r="304">
      <c r="A304" s="190"/>
      <c r="B304" s="190"/>
      <c r="C304" s="190"/>
      <c r="D304" s="190"/>
      <c r="E304" s="190"/>
      <c r="F304" s="190"/>
      <c r="G304" s="190"/>
      <c r="H304" s="190"/>
      <c r="I304" s="190"/>
      <c r="J304" s="190"/>
      <c r="K304" s="190"/>
      <c r="L304" s="190"/>
    </row>
    <row r="305">
      <c r="A305" s="190"/>
      <c r="B305" s="190"/>
      <c r="C305" s="190"/>
      <c r="D305" s="190"/>
      <c r="E305" s="190"/>
      <c r="F305" s="190"/>
      <c r="G305" s="190"/>
      <c r="H305" s="190"/>
      <c r="I305" s="190"/>
      <c r="J305" s="190"/>
      <c r="K305" s="190"/>
      <c r="L305" s="190"/>
    </row>
    <row r="306">
      <c r="A306" s="190"/>
      <c r="B306" s="190"/>
      <c r="C306" s="190"/>
      <c r="D306" s="190"/>
      <c r="E306" s="190"/>
      <c r="F306" s="190"/>
      <c r="G306" s="190"/>
      <c r="H306" s="190"/>
      <c r="I306" s="190"/>
      <c r="J306" s="190"/>
      <c r="K306" s="190"/>
      <c r="L306" s="190"/>
    </row>
    <row r="307">
      <c r="A307" s="190"/>
      <c r="B307" s="190"/>
      <c r="C307" s="190"/>
      <c r="D307" s="190"/>
      <c r="E307" s="190"/>
      <c r="F307" s="190"/>
      <c r="G307" s="190"/>
      <c r="H307" s="190"/>
      <c r="I307" s="190"/>
      <c r="J307" s="190"/>
      <c r="K307" s="190"/>
      <c r="L307" s="190"/>
    </row>
    <row r="308">
      <c r="A308" s="190"/>
      <c r="B308" s="190"/>
      <c r="C308" s="190"/>
      <c r="D308" s="190"/>
      <c r="E308" s="190"/>
      <c r="F308" s="190"/>
      <c r="G308" s="190"/>
      <c r="H308" s="190"/>
      <c r="I308" s="190"/>
      <c r="J308" s="190"/>
      <c r="K308" s="190"/>
      <c r="L308" s="190"/>
    </row>
    <row r="309">
      <c r="A309" s="190"/>
      <c r="B309" s="190"/>
      <c r="C309" s="190"/>
      <c r="D309" s="190"/>
      <c r="E309" s="190"/>
      <c r="F309" s="190"/>
      <c r="G309" s="190"/>
      <c r="H309" s="190"/>
      <c r="I309" s="190"/>
      <c r="J309" s="190"/>
      <c r="K309" s="190"/>
      <c r="L309" s="190"/>
    </row>
    <row r="310">
      <c r="A310" s="190"/>
      <c r="B310" s="190"/>
      <c r="C310" s="190"/>
      <c r="D310" s="190"/>
      <c r="E310" s="190"/>
      <c r="F310" s="190"/>
      <c r="G310" s="190"/>
      <c r="H310" s="190"/>
      <c r="I310" s="190"/>
      <c r="J310" s="190"/>
      <c r="K310" s="190"/>
      <c r="L310" s="190"/>
    </row>
    <row r="311">
      <c r="A311" s="190"/>
      <c r="B311" s="190"/>
      <c r="C311" s="190"/>
      <c r="D311" s="190"/>
      <c r="E311" s="190"/>
      <c r="F311" s="190"/>
      <c r="G311" s="190"/>
      <c r="H311" s="190"/>
      <c r="I311" s="190"/>
      <c r="J311" s="190"/>
      <c r="K311" s="190"/>
      <c r="L311" s="190"/>
    </row>
    <row r="312">
      <c r="A312" s="190"/>
      <c r="B312" s="190"/>
      <c r="C312" s="190"/>
      <c r="D312" s="190"/>
      <c r="E312" s="190"/>
      <c r="F312" s="190"/>
      <c r="G312" s="190"/>
      <c r="H312" s="190"/>
      <c r="I312" s="190"/>
      <c r="J312" s="190"/>
      <c r="K312" s="190"/>
      <c r="L312" s="190"/>
    </row>
    <row r="313">
      <c r="A313" s="190"/>
      <c r="B313" s="190"/>
      <c r="C313" s="190"/>
      <c r="D313" s="190"/>
      <c r="E313" s="190"/>
      <c r="F313" s="190"/>
      <c r="G313" s="190"/>
      <c r="H313" s="190"/>
      <c r="I313" s="190"/>
      <c r="J313" s="190"/>
      <c r="K313" s="190"/>
      <c r="L313" s="190"/>
    </row>
    <row r="314">
      <c r="A314" s="190"/>
      <c r="B314" s="190"/>
      <c r="C314" s="190"/>
      <c r="D314" s="190"/>
      <c r="E314" s="190"/>
      <c r="F314" s="190"/>
      <c r="G314" s="190"/>
      <c r="H314" s="190"/>
      <c r="I314" s="190"/>
      <c r="J314" s="190"/>
      <c r="K314" s="190"/>
      <c r="L314" s="190"/>
    </row>
    <row r="315">
      <c r="A315" s="190"/>
      <c r="B315" s="190"/>
      <c r="C315" s="190"/>
      <c r="D315" s="190"/>
      <c r="E315" s="190"/>
      <c r="F315" s="190"/>
      <c r="G315" s="190"/>
      <c r="H315" s="190"/>
      <c r="I315" s="190"/>
      <c r="J315" s="190"/>
      <c r="K315" s="190"/>
      <c r="L315" s="190"/>
    </row>
    <row r="316">
      <c r="A316" s="190"/>
      <c r="B316" s="190"/>
      <c r="C316" s="190"/>
      <c r="D316" s="190"/>
      <c r="E316" s="190"/>
      <c r="F316" s="190"/>
      <c r="G316" s="190"/>
      <c r="H316" s="190"/>
      <c r="I316" s="190"/>
      <c r="J316" s="190"/>
      <c r="K316" s="190"/>
      <c r="L316" s="190"/>
    </row>
    <row r="317">
      <c r="A317" s="190"/>
      <c r="B317" s="190"/>
      <c r="C317" s="190"/>
      <c r="D317" s="190"/>
      <c r="E317" s="190"/>
      <c r="F317" s="190"/>
      <c r="G317" s="190"/>
      <c r="H317" s="190"/>
      <c r="I317" s="190"/>
      <c r="J317" s="190"/>
      <c r="K317" s="190"/>
      <c r="L317" s="190"/>
    </row>
    <row r="318">
      <c r="A318" s="190"/>
      <c r="B318" s="190"/>
      <c r="C318" s="190"/>
      <c r="D318" s="190"/>
      <c r="E318" s="190"/>
      <c r="F318" s="190"/>
      <c r="G318" s="190"/>
      <c r="H318" s="190"/>
      <c r="I318" s="190"/>
      <c r="J318" s="190"/>
      <c r="K318" s="190"/>
      <c r="L318" s="190"/>
    </row>
    <row r="319">
      <c r="A319" s="190"/>
      <c r="B319" s="190"/>
      <c r="C319" s="190"/>
      <c r="D319" s="190"/>
      <c r="E319" s="190"/>
      <c r="F319" s="190"/>
      <c r="G319" s="190"/>
      <c r="H319" s="190"/>
      <c r="I319" s="190"/>
      <c r="J319" s="190"/>
      <c r="K319" s="190"/>
      <c r="L319" s="190"/>
    </row>
    <row r="320">
      <c r="A320" s="190"/>
      <c r="B320" s="190"/>
      <c r="C320" s="190"/>
      <c r="D320" s="190"/>
      <c r="E320" s="190"/>
      <c r="F320" s="190"/>
      <c r="G320" s="190"/>
      <c r="H320" s="190"/>
      <c r="I320" s="190"/>
      <c r="J320" s="190"/>
      <c r="K320" s="190"/>
      <c r="L320" s="190"/>
    </row>
    <row r="321">
      <c r="A321" s="190"/>
      <c r="B321" s="190"/>
      <c r="C321" s="190"/>
      <c r="D321" s="190"/>
      <c r="E321" s="190"/>
      <c r="F321" s="190"/>
      <c r="G321" s="190"/>
      <c r="H321" s="190"/>
      <c r="I321" s="190"/>
      <c r="J321" s="190"/>
      <c r="K321" s="190"/>
      <c r="L321" s="190"/>
    </row>
    <row r="322">
      <c r="A322" s="190"/>
      <c r="B322" s="190"/>
      <c r="C322" s="190"/>
      <c r="D322" s="190"/>
      <c r="E322" s="190"/>
      <c r="F322" s="190"/>
      <c r="G322" s="190"/>
      <c r="H322" s="190"/>
      <c r="I322" s="190"/>
      <c r="J322" s="190"/>
      <c r="K322" s="190"/>
      <c r="L322" s="190"/>
    </row>
    <row r="323">
      <c r="A323" s="190"/>
      <c r="B323" s="190"/>
      <c r="C323" s="190"/>
      <c r="D323" s="190"/>
      <c r="E323" s="190"/>
      <c r="F323" s="190"/>
      <c r="G323" s="190"/>
      <c r="H323" s="190"/>
      <c r="I323" s="190"/>
      <c r="J323" s="190"/>
      <c r="K323" s="190"/>
      <c r="L323" s="190"/>
    </row>
    <row r="324">
      <c r="A324" s="190"/>
      <c r="B324" s="190"/>
      <c r="C324" s="190"/>
      <c r="D324" s="190"/>
      <c r="E324" s="190"/>
      <c r="F324" s="190"/>
      <c r="G324" s="190"/>
      <c r="H324" s="190"/>
      <c r="I324" s="190"/>
      <c r="J324" s="190"/>
      <c r="K324" s="190"/>
      <c r="L324" s="190"/>
    </row>
    <row r="325">
      <c r="A325" s="190"/>
      <c r="B325" s="190"/>
      <c r="C325" s="190"/>
      <c r="D325" s="190"/>
      <c r="E325" s="190"/>
      <c r="F325" s="190"/>
      <c r="G325" s="190"/>
      <c r="H325" s="190"/>
      <c r="I325" s="190"/>
      <c r="J325" s="190"/>
      <c r="K325" s="190"/>
      <c r="L325" s="190"/>
    </row>
    <row r="326">
      <c r="A326" s="190"/>
      <c r="B326" s="190"/>
      <c r="C326" s="190"/>
      <c r="D326" s="190"/>
      <c r="E326" s="190"/>
      <c r="F326" s="190"/>
      <c r="G326" s="190"/>
      <c r="H326" s="190"/>
      <c r="I326" s="190"/>
      <c r="J326" s="190"/>
      <c r="K326" s="190"/>
      <c r="L326" s="190"/>
    </row>
    <row r="327">
      <c r="A327" s="190"/>
      <c r="B327" s="190"/>
      <c r="C327" s="190"/>
      <c r="D327" s="190"/>
      <c r="E327" s="190"/>
      <c r="F327" s="190"/>
      <c r="G327" s="190"/>
      <c r="H327" s="190"/>
      <c r="I327" s="190"/>
      <c r="J327" s="190"/>
      <c r="K327" s="190"/>
      <c r="L327" s="190"/>
    </row>
    <row r="328">
      <c r="A328" s="190"/>
      <c r="B328" s="190"/>
      <c r="C328" s="190"/>
      <c r="D328" s="190"/>
      <c r="E328" s="190"/>
      <c r="F328" s="190"/>
      <c r="G328" s="190"/>
      <c r="H328" s="190"/>
      <c r="I328" s="190"/>
      <c r="J328" s="190"/>
      <c r="K328" s="190"/>
      <c r="L328" s="190"/>
    </row>
    <row r="329">
      <c r="A329" s="190"/>
      <c r="B329" s="190"/>
      <c r="C329" s="190"/>
      <c r="D329" s="190"/>
      <c r="E329" s="190"/>
      <c r="F329" s="190"/>
      <c r="G329" s="190"/>
      <c r="H329" s="190"/>
      <c r="I329" s="190"/>
      <c r="J329" s="190"/>
      <c r="K329" s="190"/>
      <c r="L329" s="190"/>
    </row>
    <row r="330">
      <c r="A330" s="190"/>
      <c r="B330" s="190"/>
      <c r="C330" s="190"/>
      <c r="D330" s="190"/>
      <c r="E330" s="190"/>
      <c r="F330" s="190"/>
      <c r="G330" s="190"/>
      <c r="H330" s="190"/>
      <c r="I330" s="190"/>
      <c r="J330" s="190"/>
      <c r="K330" s="190"/>
      <c r="L330" s="190"/>
    </row>
    <row r="331">
      <c r="A331" s="190"/>
      <c r="B331" s="190"/>
      <c r="C331" s="190"/>
      <c r="D331" s="190"/>
      <c r="E331" s="190"/>
      <c r="F331" s="190"/>
      <c r="G331" s="190"/>
      <c r="H331" s="190"/>
      <c r="I331" s="190"/>
      <c r="J331" s="190"/>
      <c r="K331" s="190"/>
      <c r="L331" s="190"/>
    </row>
    <row r="332">
      <c r="A332" s="190"/>
      <c r="B332" s="190"/>
      <c r="C332" s="190"/>
      <c r="D332" s="190"/>
      <c r="E332" s="190"/>
      <c r="F332" s="190"/>
      <c r="G332" s="190"/>
      <c r="H332" s="190"/>
      <c r="I332" s="190"/>
      <c r="J332" s="190"/>
      <c r="K332" s="190"/>
      <c r="L332" s="190"/>
    </row>
    <row r="333">
      <c r="A333" s="190"/>
      <c r="B333" s="190"/>
      <c r="C333" s="190"/>
      <c r="D333" s="190"/>
      <c r="E333" s="190"/>
      <c r="F333" s="190"/>
      <c r="G333" s="190"/>
      <c r="H333" s="190"/>
      <c r="I333" s="190"/>
      <c r="J333" s="190"/>
      <c r="K333" s="190"/>
      <c r="L333" s="190"/>
    </row>
    <row r="334">
      <c r="A334" s="190"/>
      <c r="B334" s="190"/>
      <c r="C334" s="190"/>
      <c r="D334" s="190"/>
      <c r="E334" s="190"/>
      <c r="F334" s="190"/>
      <c r="G334" s="190"/>
      <c r="H334" s="190"/>
      <c r="I334" s="190"/>
      <c r="J334" s="190"/>
      <c r="K334" s="190"/>
      <c r="L334" s="190"/>
    </row>
    <row r="335">
      <c r="A335" s="190"/>
      <c r="B335" s="190"/>
      <c r="C335" s="190"/>
      <c r="D335" s="190"/>
      <c r="E335" s="190"/>
      <c r="F335" s="190"/>
      <c r="G335" s="190"/>
      <c r="H335" s="190"/>
      <c r="I335" s="190"/>
      <c r="J335" s="190"/>
      <c r="K335" s="190"/>
      <c r="L335" s="190"/>
    </row>
    <row r="336">
      <c r="A336" s="190"/>
      <c r="B336" s="190"/>
      <c r="C336" s="190"/>
      <c r="D336" s="190"/>
      <c r="E336" s="190"/>
      <c r="F336" s="190"/>
      <c r="G336" s="190"/>
      <c r="H336" s="190"/>
      <c r="I336" s="190"/>
      <c r="J336" s="190"/>
      <c r="K336" s="190"/>
      <c r="L336" s="190"/>
    </row>
    <row r="337">
      <c r="A337" s="190"/>
      <c r="B337" s="190"/>
      <c r="C337" s="190"/>
      <c r="D337" s="190"/>
      <c r="E337" s="190"/>
      <c r="F337" s="190"/>
      <c r="G337" s="190"/>
      <c r="H337" s="190"/>
      <c r="I337" s="190"/>
      <c r="J337" s="190"/>
      <c r="K337" s="190"/>
      <c r="L337" s="190"/>
    </row>
    <row r="338">
      <c r="A338" s="190"/>
      <c r="B338" s="190"/>
      <c r="C338" s="190"/>
      <c r="D338" s="190"/>
      <c r="E338" s="190"/>
      <c r="F338" s="190"/>
      <c r="G338" s="190"/>
      <c r="H338" s="190"/>
      <c r="I338" s="190"/>
      <c r="J338" s="190"/>
      <c r="K338" s="190"/>
      <c r="L338" s="190"/>
    </row>
    <row r="339">
      <c r="A339" s="190"/>
      <c r="B339" s="190"/>
      <c r="C339" s="190"/>
      <c r="D339" s="190"/>
      <c r="E339" s="190"/>
      <c r="F339" s="190"/>
      <c r="G339" s="190"/>
      <c r="H339" s="190"/>
      <c r="I339" s="190"/>
      <c r="J339" s="190"/>
      <c r="K339" s="190"/>
      <c r="L339" s="190"/>
    </row>
    <row r="340">
      <c r="A340" s="190"/>
      <c r="B340" s="190"/>
      <c r="C340" s="190"/>
      <c r="D340" s="190"/>
      <c r="E340" s="190"/>
      <c r="F340" s="190"/>
      <c r="G340" s="190"/>
      <c r="H340" s="190"/>
      <c r="I340" s="190"/>
      <c r="J340" s="190"/>
      <c r="K340" s="190"/>
      <c r="L340" s="190"/>
    </row>
    <row r="341">
      <c r="A341" s="190"/>
      <c r="B341" s="190"/>
      <c r="C341" s="190"/>
      <c r="D341" s="190"/>
      <c r="E341" s="190"/>
      <c r="F341" s="190"/>
      <c r="G341" s="190"/>
      <c r="H341" s="190"/>
      <c r="I341" s="190"/>
      <c r="J341" s="190"/>
      <c r="K341" s="190"/>
      <c r="L341" s="190"/>
    </row>
    <row r="342">
      <c r="A342" s="190"/>
      <c r="B342" s="190"/>
      <c r="C342" s="190"/>
      <c r="D342" s="190"/>
      <c r="E342" s="190"/>
      <c r="F342" s="190"/>
      <c r="G342" s="190"/>
      <c r="H342" s="190"/>
      <c r="I342" s="190"/>
      <c r="J342" s="190"/>
      <c r="K342" s="190"/>
      <c r="L342" s="190"/>
    </row>
    <row r="343">
      <c r="A343" s="190"/>
      <c r="B343" s="190"/>
      <c r="C343" s="190"/>
      <c r="D343" s="190"/>
      <c r="E343" s="190"/>
      <c r="F343" s="190"/>
      <c r="G343" s="190"/>
      <c r="H343" s="190"/>
      <c r="I343" s="190"/>
      <c r="J343" s="190"/>
      <c r="K343" s="190"/>
      <c r="L343" s="190"/>
    </row>
    <row r="344">
      <c r="A344" s="190"/>
      <c r="B344" s="190"/>
      <c r="C344" s="190"/>
      <c r="D344" s="190"/>
      <c r="E344" s="190"/>
      <c r="F344" s="190"/>
      <c r="G344" s="190"/>
      <c r="H344" s="190"/>
      <c r="I344" s="190"/>
      <c r="J344" s="190"/>
      <c r="K344" s="190"/>
      <c r="L344" s="190"/>
    </row>
    <row r="345">
      <c r="A345" s="190"/>
      <c r="B345" s="190"/>
      <c r="C345" s="190"/>
      <c r="D345" s="190"/>
      <c r="E345" s="190"/>
      <c r="F345" s="190"/>
      <c r="G345" s="190"/>
      <c r="H345" s="190"/>
      <c r="I345" s="190"/>
      <c r="J345" s="190"/>
      <c r="K345" s="190"/>
      <c r="L345" s="190"/>
    </row>
    <row r="346">
      <c r="A346" s="190"/>
      <c r="B346" s="190"/>
      <c r="C346" s="190"/>
      <c r="D346" s="190"/>
      <c r="E346" s="190"/>
      <c r="F346" s="190"/>
      <c r="G346" s="190"/>
      <c r="H346" s="190"/>
      <c r="I346" s="190"/>
      <c r="J346" s="190"/>
      <c r="K346" s="190"/>
      <c r="L346" s="190"/>
    </row>
    <row r="347">
      <c r="A347" s="190"/>
      <c r="B347" s="190"/>
      <c r="C347" s="190"/>
      <c r="D347" s="190"/>
      <c r="E347" s="190"/>
      <c r="F347" s="190"/>
      <c r="G347" s="190"/>
      <c r="H347" s="190"/>
      <c r="I347" s="190"/>
      <c r="J347" s="190"/>
      <c r="K347" s="190"/>
      <c r="L347" s="190"/>
    </row>
    <row r="348">
      <c r="A348" s="190"/>
      <c r="B348" s="190"/>
      <c r="C348" s="190"/>
      <c r="D348" s="190"/>
      <c r="E348" s="190"/>
      <c r="F348" s="190"/>
      <c r="G348" s="190"/>
      <c r="H348" s="190"/>
      <c r="I348" s="190"/>
      <c r="J348" s="190"/>
      <c r="K348" s="190"/>
      <c r="L348" s="190"/>
    </row>
    <row r="349">
      <c r="A349" s="190"/>
      <c r="B349" s="190"/>
      <c r="C349" s="190"/>
      <c r="D349" s="190"/>
      <c r="E349" s="190"/>
      <c r="F349" s="190"/>
      <c r="G349" s="190"/>
      <c r="H349" s="190"/>
      <c r="I349" s="190"/>
      <c r="J349" s="190"/>
      <c r="K349" s="190"/>
      <c r="L349" s="190"/>
    </row>
    <row r="350">
      <c r="A350" s="190"/>
      <c r="B350" s="190"/>
      <c r="C350" s="190"/>
      <c r="D350" s="190"/>
      <c r="E350" s="190"/>
      <c r="F350" s="190"/>
      <c r="G350" s="190"/>
      <c r="H350" s="190"/>
      <c r="I350" s="190"/>
      <c r="J350" s="190"/>
      <c r="K350" s="190"/>
      <c r="L350" s="190"/>
    </row>
    <row r="351">
      <c r="A351" s="190"/>
      <c r="B351" s="190"/>
      <c r="C351" s="190"/>
      <c r="D351" s="190"/>
      <c r="E351" s="190"/>
      <c r="F351" s="190"/>
      <c r="G351" s="190"/>
      <c r="H351" s="190"/>
      <c r="I351" s="190"/>
      <c r="J351" s="190"/>
      <c r="K351" s="190"/>
      <c r="L351" s="190"/>
    </row>
    <row r="352">
      <c r="A352" s="190"/>
      <c r="B352" s="190"/>
      <c r="C352" s="190"/>
      <c r="D352" s="190"/>
      <c r="E352" s="190"/>
      <c r="F352" s="190"/>
      <c r="G352" s="190"/>
      <c r="H352" s="190"/>
      <c r="I352" s="190"/>
      <c r="J352" s="190"/>
      <c r="K352" s="190"/>
      <c r="L352" s="190"/>
    </row>
    <row r="353">
      <c r="A353" s="190"/>
      <c r="B353" s="190"/>
      <c r="C353" s="190"/>
      <c r="D353" s="190"/>
      <c r="E353" s="190"/>
      <c r="F353" s="190"/>
      <c r="G353" s="190"/>
      <c r="H353" s="190"/>
      <c r="I353" s="190"/>
      <c r="J353" s="190"/>
      <c r="K353" s="190"/>
      <c r="L353" s="190"/>
    </row>
    <row r="354">
      <c r="A354" s="190"/>
      <c r="B354" s="190"/>
      <c r="C354" s="190"/>
      <c r="D354" s="190"/>
      <c r="E354" s="190"/>
      <c r="F354" s="190"/>
      <c r="G354" s="190"/>
      <c r="H354" s="190"/>
      <c r="I354" s="190"/>
      <c r="J354" s="190"/>
      <c r="K354" s="190"/>
      <c r="L354" s="190"/>
    </row>
    <row r="355">
      <c r="A355" s="190"/>
      <c r="B355" s="190"/>
      <c r="C355" s="190"/>
      <c r="D355" s="190"/>
      <c r="E355" s="190"/>
      <c r="F355" s="190"/>
      <c r="G355" s="190"/>
      <c r="H355" s="190"/>
      <c r="I355" s="190"/>
      <c r="J355" s="190"/>
      <c r="K355" s="190"/>
      <c r="L355" s="190"/>
    </row>
    <row r="356">
      <c r="A356" s="190"/>
      <c r="B356" s="190"/>
      <c r="C356" s="190"/>
      <c r="D356" s="190"/>
      <c r="E356" s="190"/>
      <c r="F356" s="190"/>
      <c r="G356" s="190"/>
      <c r="H356" s="190"/>
      <c r="I356" s="190"/>
      <c r="J356" s="190"/>
      <c r="K356" s="190"/>
      <c r="L356" s="190"/>
    </row>
    <row r="357">
      <c r="A357" s="190"/>
      <c r="B357" s="190"/>
      <c r="C357" s="190"/>
      <c r="D357" s="190"/>
      <c r="E357" s="190"/>
      <c r="F357" s="190"/>
      <c r="G357" s="190"/>
      <c r="H357" s="190"/>
      <c r="I357" s="190"/>
      <c r="J357" s="190"/>
      <c r="K357" s="190"/>
      <c r="L357" s="190"/>
    </row>
    <row r="358">
      <c r="A358" s="190"/>
      <c r="B358" s="190"/>
      <c r="C358" s="190"/>
      <c r="D358" s="190"/>
      <c r="E358" s="190"/>
      <c r="F358" s="190"/>
      <c r="G358" s="190"/>
      <c r="H358" s="190"/>
      <c r="I358" s="190"/>
      <c r="J358" s="190"/>
      <c r="K358" s="190"/>
      <c r="L358" s="190"/>
    </row>
    <row r="359">
      <c r="A359" s="190"/>
      <c r="B359" s="190"/>
      <c r="C359" s="190"/>
      <c r="D359" s="190"/>
      <c r="E359" s="190"/>
      <c r="F359" s="190"/>
      <c r="G359" s="190"/>
      <c r="H359" s="190"/>
      <c r="I359" s="190"/>
      <c r="J359" s="190"/>
      <c r="K359" s="190"/>
      <c r="L359" s="190"/>
    </row>
    <row r="360">
      <c r="A360" s="190"/>
      <c r="B360" s="190"/>
      <c r="C360" s="190"/>
      <c r="D360" s="190"/>
      <c r="E360" s="190"/>
      <c r="F360" s="190"/>
      <c r="G360" s="190"/>
      <c r="H360" s="190"/>
      <c r="I360" s="190"/>
      <c r="J360" s="190"/>
      <c r="K360" s="190"/>
      <c r="L360" s="190"/>
    </row>
    <row r="361">
      <c r="A361" s="190"/>
      <c r="B361" s="190"/>
      <c r="C361" s="190"/>
      <c r="D361" s="190"/>
      <c r="E361" s="190"/>
      <c r="F361" s="190"/>
      <c r="G361" s="190"/>
      <c r="H361" s="190"/>
      <c r="I361" s="190"/>
      <c r="J361" s="190"/>
      <c r="K361" s="190"/>
      <c r="L361" s="190"/>
    </row>
    <row r="362">
      <c r="A362" s="190"/>
      <c r="B362" s="190"/>
      <c r="C362" s="190"/>
      <c r="D362" s="190"/>
      <c r="E362" s="190"/>
      <c r="F362" s="190"/>
      <c r="G362" s="190"/>
      <c r="H362" s="190"/>
      <c r="I362" s="190"/>
      <c r="J362" s="190"/>
      <c r="K362" s="190"/>
      <c r="L362" s="190"/>
    </row>
    <row r="363">
      <c r="A363" s="190"/>
      <c r="B363" s="190"/>
      <c r="C363" s="190"/>
      <c r="D363" s="190"/>
      <c r="E363" s="190"/>
      <c r="F363" s="190"/>
      <c r="G363" s="190"/>
      <c r="H363" s="190"/>
      <c r="I363" s="190"/>
      <c r="J363" s="190"/>
      <c r="K363" s="190"/>
      <c r="L363" s="190"/>
    </row>
    <row r="364">
      <c r="A364" s="190"/>
      <c r="B364" s="190"/>
      <c r="C364" s="190"/>
      <c r="D364" s="190"/>
      <c r="E364" s="190"/>
      <c r="F364" s="190"/>
      <c r="G364" s="190"/>
      <c r="H364" s="190"/>
      <c r="I364" s="190"/>
      <c r="J364" s="190"/>
      <c r="K364" s="190"/>
      <c r="L364" s="190"/>
    </row>
    <row r="365">
      <c r="A365" s="190"/>
      <c r="B365" s="190"/>
      <c r="C365" s="190"/>
      <c r="D365" s="190"/>
      <c r="E365" s="190"/>
      <c r="F365" s="190"/>
      <c r="G365" s="190"/>
      <c r="H365" s="190"/>
      <c r="I365" s="190"/>
      <c r="J365" s="190"/>
      <c r="K365" s="190"/>
      <c r="L365" s="190"/>
    </row>
    <row r="366">
      <c r="A366" s="190"/>
      <c r="B366" s="190"/>
      <c r="C366" s="190"/>
      <c r="D366" s="190"/>
      <c r="E366" s="190"/>
      <c r="F366" s="190"/>
      <c r="G366" s="190"/>
      <c r="H366" s="190"/>
      <c r="I366" s="190"/>
      <c r="J366" s="190"/>
      <c r="K366" s="190"/>
      <c r="L366" s="190"/>
    </row>
    <row r="367">
      <c r="A367" s="190"/>
      <c r="B367" s="190"/>
      <c r="C367" s="190"/>
      <c r="D367" s="190"/>
      <c r="E367" s="190"/>
      <c r="F367" s="190"/>
      <c r="G367" s="190"/>
      <c r="H367" s="190"/>
      <c r="I367" s="190"/>
      <c r="J367" s="190"/>
      <c r="K367" s="190"/>
      <c r="L367" s="190"/>
    </row>
    <row r="368">
      <c r="A368" s="190"/>
      <c r="B368" s="190"/>
      <c r="C368" s="190"/>
      <c r="D368" s="190"/>
      <c r="E368" s="190"/>
      <c r="F368" s="190"/>
      <c r="G368" s="190"/>
      <c r="H368" s="190"/>
      <c r="I368" s="190"/>
      <c r="J368" s="190"/>
      <c r="K368" s="190"/>
      <c r="L368" s="190"/>
    </row>
    <row r="369">
      <c r="A369" s="190"/>
      <c r="B369" s="190"/>
      <c r="C369" s="190"/>
      <c r="D369" s="190"/>
      <c r="E369" s="190"/>
      <c r="F369" s="190"/>
      <c r="G369" s="190"/>
      <c r="H369" s="190"/>
      <c r="I369" s="190"/>
      <c r="J369" s="190"/>
      <c r="K369" s="190"/>
      <c r="L369" s="190"/>
    </row>
    <row r="370">
      <c r="A370" s="190"/>
      <c r="B370" s="190"/>
      <c r="C370" s="190"/>
      <c r="D370" s="190"/>
      <c r="E370" s="190"/>
      <c r="F370" s="190"/>
      <c r="G370" s="190"/>
      <c r="H370" s="190"/>
      <c r="I370" s="190"/>
      <c r="J370" s="190"/>
      <c r="K370" s="190"/>
      <c r="L370" s="190"/>
    </row>
    <row r="371">
      <c r="A371" s="190"/>
      <c r="B371" s="190"/>
      <c r="C371" s="190"/>
      <c r="D371" s="190"/>
      <c r="E371" s="190"/>
      <c r="F371" s="190"/>
      <c r="G371" s="190"/>
      <c r="H371" s="190"/>
      <c r="I371" s="190"/>
      <c r="J371" s="190"/>
      <c r="K371" s="190"/>
      <c r="L371" s="190"/>
    </row>
    <row r="372">
      <c r="A372" s="190"/>
      <c r="B372" s="190"/>
      <c r="C372" s="190"/>
      <c r="D372" s="190"/>
      <c r="E372" s="190"/>
      <c r="F372" s="190"/>
      <c r="G372" s="190"/>
      <c r="H372" s="190"/>
      <c r="I372" s="190"/>
      <c r="J372" s="190"/>
      <c r="K372" s="190"/>
      <c r="L372" s="190"/>
    </row>
    <row r="373">
      <c r="A373" s="190"/>
      <c r="B373" s="190"/>
      <c r="C373" s="190"/>
      <c r="D373" s="190"/>
      <c r="E373" s="190"/>
      <c r="F373" s="190"/>
      <c r="G373" s="190"/>
      <c r="H373" s="190"/>
      <c r="I373" s="190"/>
      <c r="J373" s="190"/>
      <c r="K373" s="190"/>
      <c r="L373" s="190"/>
    </row>
    <row r="374">
      <c r="A374" s="190"/>
      <c r="B374" s="190"/>
      <c r="C374" s="190"/>
      <c r="D374" s="190"/>
      <c r="E374" s="190"/>
      <c r="F374" s="190"/>
      <c r="G374" s="190"/>
      <c r="H374" s="190"/>
      <c r="I374" s="190"/>
      <c r="J374" s="190"/>
      <c r="K374" s="190"/>
      <c r="L374" s="190"/>
    </row>
    <row r="375">
      <c r="A375" s="190"/>
      <c r="B375" s="190"/>
      <c r="C375" s="190"/>
      <c r="D375" s="190"/>
      <c r="E375" s="190"/>
      <c r="F375" s="190"/>
      <c r="G375" s="190"/>
      <c r="H375" s="190"/>
      <c r="I375" s="190"/>
      <c r="J375" s="190"/>
      <c r="K375" s="190"/>
      <c r="L375" s="190"/>
    </row>
    <row r="376">
      <c r="A376" s="190"/>
      <c r="B376" s="190"/>
      <c r="C376" s="190"/>
      <c r="D376" s="190"/>
      <c r="E376" s="190"/>
      <c r="F376" s="190"/>
      <c r="G376" s="190"/>
      <c r="H376" s="190"/>
      <c r="I376" s="190"/>
      <c r="J376" s="190"/>
      <c r="K376" s="190"/>
      <c r="L376" s="190"/>
    </row>
    <row r="377">
      <c r="A377" s="190"/>
      <c r="B377" s="190"/>
      <c r="C377" s="190"/>
      <c r="D377" s="190"/>
      <c r="E377" s="190"/>
      <c r="F377" s="190"/>
      <c r="G377" s="190"/>
      <c r="H377" s="190"/>
      <c r="I377" s="190"/>
      <c r="J377" s="190"/>
      <c r="K377" s="190"/>
      <c r="L377" s="190"/>
    </row>
    <row r="378">
      <c r="A378" s="190"/>
      <c r="B378" s="190"/>
      <c r="C378" s="190"/>
      <c r="D378" s="190"/>
      <c r="E378" s="190"/>
      <c r="F378" s="190"/>
      <c r="G378" s="190"/>
      <c r="H378" s="190"/>
      <c r="I378" s="190"/>
      <c r="J378" s="190"/>
      <c r="K378" s="190"/>
      <c r="L378" s="190"/>
    </row>
    <row r="379">
      <c r="A379" s="190"/>
      <c r="B379" s="190"/>
      <c r="C379" s="190"/>
      <c r="D379" s="190"/>
      <c r="E379" s="190"/>
      <c r="F379" s="190"/>
      <c r="G379" s="190"/>
      <c r="H379" s="190"/>
      <c r="I379" s="190"/>
      <c r="J379" s="190"/>
      <c r="K379" s="190"/>
      <c r="L379" s="190"/>
    </row>
    <row r="380">
      <c r="A380" s="190"/>
      <c r="B380" s="190"/>
      <c r="C380" s="190"/>
      <c r="D380" s="190"/>
      <c r="E380" s="190"/>
      <c r="F380" s="190"/>
      <c r="G380" s="190"/>
      <c r="H380" s="190"/>
      <c r="I380" s="190"/>
      <c r="J380" s="190"/>
      <c r="K380" s="190"/>
      <c r="L380" s="190"/>
    </row>
    <row r="381">
      <c r="A381" s="190"/>
      <c r="B381" s="190"/>
      <c r="C381" s="190"/>
      <c r="D381" s="190"/>
      <c r="E381" s="190"/>
      <c r="F381" s="190"/>
      <c r="G381" s="190"/>
      <c r="H381" s="190"/>
      <c r="I381" s="190"/>
      <c r="J381" s="190"/>
      <c r="K381" s="190"/>
      <c r="L381" s="190"/>
    </row>
    <row r="382">
      <c r="A382" s="190"/>
      <c r="B382" s="190"/>
      <c r="C382" s="190"/>
      <c r="D382" s="190"/>
      <c r="E382" s="190"/>
      <c r="F382" s="190"/>
      <c r="G382" s="190"/>
      <c r="H382" s="190"/>
      <c r="I382" s="190"/>
      <c r="J382" s="190"/>
      <c r="K382" s="190"/>
      <c r="L382" s="190"/>
    </row>
    <row r="383">
      <c r="A383" s="190"/>
      <c r="B383" s="190"/>
      <c r="C383" s="190"/>
      <c r="D383" s="190"/>
      <c r="E383" s="190"/>
      <c r="F383" s="190"/>
      <c r="G383" s="190"/>
      <c r="H383" s="190"/>
      <c r="I383" s="190"/>
      <c r="J383" s="190"/>
      <c r="K383" s="190"/>
      <c r="L383" s="190"/>
    </row>
    <row r="384">
      <c r="A384" s="190"/>
      <c r="B384" s="190"/>
      <c r="C384" s="190"/>
      <c r="D384" s="190"/>
      <c r="E384" s="190"/>
      <c r="F384" s="190"/>
      <c r="G384" s="190"/>
      <c r="H384" s="190"/>
      <c r="I384" s="190"/>
      <c r="J384" s="190"/>
      <c r="K384" s="190"/>
      <c r="L384" s="190"/>
    </row>
    <row r="385">
      <c r="A385" s="190"/>
      <c r="B385" s="190"/>
      <c r="C385" s="190"/>
      <c r="D385" s="190"/>
      <c r="E385" s="190"/>
      <c r="F385" s="190"/>
      <c r="G385" s="190"/>
      <c r="H385" s="190"/>
      <c r="I385" s="190"/>
      <c r="J385" s="190"/>
      <c r="K385" s="190"/>
      <c r="L385" s="190"/>
    </row>
    <row r="386">
      <c r="A386" s="190"/>
      <c r="B386" s="190"/>
      <c r="C386" s="190"/>
      <c r="D386" s="190"/>
      <c r="E386" s="190"/>
      <c r="F386" s="190"/>
      <c r="G386" s="190"/>
      <c r="H386" s="190"/>
      <c r="I386" s="190"/>
      <c r="J386" s="190"/>
      <c r="K386" s="190"/>
      <c r="L386" s="190"/>
    </row>
    <row r="387">
      <c r="A387" s="190"/>
      <c r="B387" s="190"/>
      <c r="C387" s="190"/>
      <c r="D387" s="190"/>
      <c r="E387" s="190"/>
      <c r="F387" s="190"/>
      <c r="G387" s="190"/>
      <c r="H387" s="190"/>
      <c r="I387" s="190"/>
      <c r="J387" s="190"/>
      <c r="K387" s="190"/>
      <c r="L387" s="190"/>
    </row>
    <row r="388">
      <c r="A388" s="190"/>
      <c r="B388" s="190"/>
      <c r="C388" s="190"/>
      <c r="D388" s="190"/>
      <c r="E388" s="190"/>
      <c r="F388" s="190"/>
      <c r="G388" s="190"/>
      <c r="H388" s="190"/>
      <c r="I388" s="190"/>
      <c r="J388" s="190"/>
      <c r="K388" s="190"/>
      <c r="L388" s="190"/>
    </row>
    <row r="389">
      <c r="A389" s="190"/>
      <c r="B389" s="190"/>
      <c r="C389" s="190"/>
      <c r="D389" s="190"/>
      <c r="E389" s="190"/>
      <c r="F389" s="190"/>
      <c r="G389" s="190"/>
      <c r="H389" s="190"/>
      <c r="I389" s="190"/>
      <c r="J389" s="190"/>
      <c r="K389" s="190"/>
      <c r="L389" s="190"/>
    </row>
    <row r="390">
      <c r="A390" s="190"/>
      <c r="B390" s="190"/>
      <c r="C390" s="190"/>
      <c r="D390" s="190"/>
      <c r="E390" s="190"/>
      <c r="F390" s="190"/>
      <c r="G390" s="190"/>
      <c r="H390" s="190"/>
      <c r="I390" s="190"/>
      <c r="J390" s="190"/>
      <c r="K390" s="190"/>
      <c r="L390" s="190"/>
    </row>
    <row r="391">
      <c r="A391" s="190"/>
      <c r="B391" s="190"/>
      <c r="C391" s="190"/>
      <c r="D391" s="190"/>
      <c r="E391" s="190"/>
      <c r="F391" s="190"/>
      <c r="G391" s="190"/>
      <c r="H391" s="190"/>
      <c r="I391" s="190"/>
      <c r="J391" s="190"/>
      <c r="K391" s="190"/>
      <c r="L391" s="190"/>
    </row>
    <row r="392">
      <c r="A392" s="190"/>
      <c r="B392" s="190"/>
      <c r="C392" s="190"/>
      <c r="D392" s="190"/>
      <c r="E392" s="190"/>
      <c r="F392" s="190"/>
      <c r="G392" s="190"/>
      <c r="H392" s="190"/>
      <c r="I392" s="190"/>
      <c r="J392" s="190"/>
      <c r="K392" s="190"/>
      <c r="L392" s="190"/>
    </row>
    <row r="393">
      <c r="A393" s="190"/>
      <c r="B393" s="190"/>
      <c r="C393" s="190"/>
      <c r="D393" s="190"/>
      <c r="E393" s="190"/>
      <c r="F393" s="190"/>
      <c r="G393" s="190"/>
      <c r="H393" s="190"/>
      <c r="I393" s="190"/>
      <c r="J393" s="190"/>
      <c r="K393" s="190"/>
      <c r="L393" s="190"/>
    </row>
    <row r="394">
      <c r="A394" s="190"/>
      <c r="B394" s="190"/>
      <c r="C394" s="190"/>
      <c r="D394" s="190"/>
      <c r="E394" s="190"/>
      <c r="F394" s="190"/>
      <c r="G394" s="190"/>
      <c r="H394" s="190"/>
      <c r="I394" s="190"/>
      <c r="J394" s="190"/>
      <c r="K394" s="190"/>
      <c r="L394" s="190"/>
    </row>
    <row r="395">
      <c r="A395" s="190"/>
      <c r="B395" s="190"/>
      <c r="C395" s="190"/>
      <c r="D395" s="190"/>
      <c r="E395" s="190"/>
      <c r="F395" s="190"/>
      <c r="G395" s="190"/>
      <c r="H395" s="190"/>
      <c r="I395" s="190"/>
      <c r="J395" s="190"/>
      <c r="K395" s="190"/>
      <c r="L395" s="190"/>
    </row>
    <row r="396">
      <c r="A396" s="190"/>
      <c r="B396" s="190"/>
      <c r="C396" s="190"/>
      <c r="D396" s="190"/>
      <c r="E396" s="190"/>
      <c r="F396" s="190"/>
      <c r="G396" s="190"/>
      <c r="H396" s="190"/>
      <c r="I396" s="190"/>
      <c r="J396" s="190"/>
      <c r="K396" s="190"/>
      <c r="L396" s="190"/>
    </row>
    <row r="397">
      <c r="A397" s="190"/>
      <c r="B397" s="190"/>
      <c r="C397" s="190"/>
      <c r="D397" s="190"/>
      <c r="E397" s="190"/>
      <c r="F397" s="190"/>
      <c r="G397" s="190"/>
      <c r="H397" s="190"/>
      <c r="I397" s="190"/>
      <c r="J397" s="190"/>
      <c r="K397" s="190"/>
      <c r="L397" s="190"/>
    </row>
    <row r="398">
      <c r="A398" s="190"/>
      <c r="B398" s="190"/>
      <c r="C398" s="190"/>
      <c r="D398" s="190"/>
      <c r="E398" s="190"/>
      <c r="F398" s="190"/>
      <c r="G398" s="190"/>
      <c r="H398" s="190"/>
      <c r="I398" s="190"/>
      <c r="J398" s="190"/>
      <c r="K398" s="190"/>
      <c r="L398" s="190"/>
    </row>
    <row r="399">
      <c r="A399" s="190"/>
      <c r="B399" s="190"/>
      <c r="C399" s="190"/>
      <c r="D399" s="190"/>
      <c r="E399" s="190"/>
      <c r="F399" s="190"/>
      <c r="G399" s="190"/>
      <c r="H399" s="190"/>
      <c r="I399" s="190"/>
      <c r="J399" s="190"/>
      <c r="K399" s="190"/>
      <c r="L399" s="190"/>
    </row>
    <row r="400">
      <c r="A400" s="190"/>
      <c r="B400" s="190"/>
      <c r="C400" s="190"/>
      <c r="D400" s="190"/>
      <c r="E400" s="190"/>
      <c r="F400" s="190"/>
      <c r="G400" s="190"/>
      <c r="H400" s="190"/>
      <c r="I400" s="190"/>
      <c r="J400" s="190"/>
      <c r="K400" s="190"/>
      <c r="L400" s="190"/>
    </row>
    <row r="401">
      <c r="A401" s="190"/>
      <c r="B401" s="190"/>
      <c r="C401" s="190"/>
      <c r="D401" s="190"/>
      <c r="E401" s="190"/>
      <c r="F401" s="190"/>
      <c r="G401" s="190"/>
      <c r="H401" s="190"/>
      <c r="I401" s="190"/>
      <c r="J401" s="190"/>
      <c r="K401" s="190"/>
      <c r="L401" s="190"/>
    </row>
    <row r="402">
      <c r="A402" s="190"/>
      <c r="B402" s="190"/>
      <c r="C402" s="190"/>
      <c r="D402" s="190"/>
      <c r="E402" s="190"/>
      <c r="F402" s="190"/>
      <c r="G402" s="190"/>
      <c r="H402" s="190"/>
      <c r="I402" s="190"/>
      <c r="J402" s="190"/>
      <c r="K402" s="190"/>
      <c r="L402" s="190"/>
    </row>
    <row r="403">
      <c r="A403" s="190"/>
      <c r="B403" s="190"/>
      <c r="C403" s="190"/>
      <c r="D403" s="190"/>
      <c r="E403" s="190"/>
      <c r="F403" s="190"/>
      <c r="G403" s="190"/>
      <c r="H403" s="190"/>
      <c r="I403" s="190"/>
      <c r="J403" s="190"/>
      <c r="K403" s="190"/>
      <c r="L403" s="190"/>
    </row>
    <row r="404">
      <c r="A404" s="190"/>
      <c r="B404" s="190"/>
      <c r="C404" s="190"/>
      <c r="D404" s="190"/>
      <c r="E404" s="190"/>
      <c r="F404" s="190"/>
      <c r="G404" s="190"/>
      <c r="H404" s="190"/>
      <c r="I404" s="190"/>
      <c r="J404" s="190"/>
      <c r="K404" s="190"/>
      <c r="L404" s="190"/>
    </row>
    <row r="405">
      <c r="A405" s="190"/>
      <c r="B405" s="190"/>
      <c r="C405" s="190"/>
      <c r="D405" s="190"/>
      <c r="E405" s="190"/>
      <c r="F405" s="190"/>
      <c r="G405" s="190"/>
      <c r="H405" s="190"/>
      <c r="I405" s="190"/>
      <c r="J405" s="190"/>
      <c r="K405" s="190"/>
      <c r="L405" s="190"/>
    </row>
    <row r="406">
      <c r="A406" s="190"/>
      <c r="B406" s="190"/>
      <c r="C406" s="190"/>
      <c r="D406" s="190"/>
      <c r="E406" s="190"/>
      <c r="F406" s="190"/>
      <c r="G406" s="190"/>
      <c r="H406" s="190"/>
      <c r="I406" s="190"/>
      <c r="J406" s="190"/>
      <c r="K406" s="190"/>
      <c r="L406" s="190"/>
    </row>
    <row r="407">
      <c r="A407" s="190"/>
      <c r="B407" s="190"/>
      <c r="C407" s="190"/>
      <c r="D407" s="190"/>
      <c r="E407" s="190"/>
      <c r="F407" s="190"/>
      <c r="G407" s="190"/>
      <c r="H407" s="190"/>
      <c r="I407" s="190"/>
      <c r="J407" s="190"/>
      <c r="K407" s="190"/>
      <c r="L407" s="190"/>
    </row>
    <row r="408">
      <c r="A408" s="190"/>
      <c r="B408" s="190"/>
      <c r="C408" s="190"/>
      <c r="D408" s="190"/>
      <c r="E408" s="190"/>
      <c r="F408" s="190"/>
      <c r="G408" s="190"/>
      <c r="H408" s="190"/>
      <c r="I408" s="190"/>
      <c r="J408" s="190"/>
      <c r="K408" s="190"/>
      <c r="L408" s="190"/>
    </row>
    <row r="409">
      <c r="A409" s="190"/>
      <c r="B409" s="190"/>
      <c r="C409" s="190"/>
      <c r="D409" s="190"/>
      <c r="E409" s="190"/>
      <c r="F409" s="190"/>
      <c r="G409" s="190"/>
      <c r="H409" s="190"/>
      <c r="I409" s="190"/>
      <c r="J409" s="190"/>
      <c r="K409" s="190"/>
      <c r="L409" s="190"/>
    </row>
    <row r="410">
      <c r="A410" s="190"/>
      <c r="B410" s="190"/>
      <c r="C410" s="190"/>
      <c r="D410" s="190"/>
      <c r="E410" s="190"/>
      <c r="F410" s="190"/>
      <c r="G410" s="190"/>
      <c r="H410" s="190"/>
      <c r="I410" s="190"/>
      <c r="J410" s="190"/>
      <c r="K410" s="190"/>
      <c r="L410" s="190"/>
    </row>
    <row r="411">
      <c r="A411" s="190"/>
      <c r="B411" s="190"/>
      <c r="C411" s="190"/>
      <c r="D411" s="190"/>
      <c r="E411" s="190"/>
      <c r="F411" s="190"/>
      <c r="G411" s="190"/>
      <c r="H411" s="190"/>
      <c r="I411" s="190"/>
      <c r="J411" s="190"/>
      <c r="K411" s="190"/>
      <c r="L411" s="190"/>
    </row>
    <row r="412">
      <c r="A412" s="190"/>
      <c r="B412" s="190"/>
      <c r="C412" s="190"/>
      <c r="D412" s="190"/>
      <c r="E412" s="190"/>
      <c r="F412" s="190"/>
      <c r="G412" s="190"/>
      <c r="H412" s="190"/>
      <c r="I412" s="190"/>
      <c r="J412" s="190"/>
      <c r="K412" s="190"/>
      <c r="L412" s="190"/>
    </row>
    <row r="413">
      <c r="A413" s="190"/>
      <c r="B413" s="190"/>
      <c r="C413" s="190"/>
      <c r="D413" s="190"/>
      <c r="E413" s="190"/>
      <c r="F413" s="190"/>
      <c r="G413" s="190"/>
      <c r="H413" s="190"/>
      <c r="I413" s="190"/>
      <c r="J413" s="190"/>
      <c r="K413" s="190"/>
      <c r="L413" s="190"/>
    </row>
    <row r="414">
      <c r="A414" s="190"/>
      <c r="B414" s="190"/>
      <c r="C414" s="190"/>
      <c r="D414" s="190"/>
      <c r="E414" s="190"/>
      <c r="F414" s="190"/>
      <c r="G414" s="190"/>
      <c r="H414" s="190"/>
      <c r="I414" s="190"/>
      <c r="J414" s="190"/>
      <c r="K414" s="190"/>
      <c r="L414" s="190"/>
    </row>
    <row r="415">
      <c r="A415" s="190"/>
      <c r="B415" s="190"/>
      <c r="C415" s="190"/>
      <c r="D415" s="190"/>
      <c r="E415" s="190"/>
      <c r="F415" s="190"/>
      <c r="G415" s="190"/>
      <c r="H415" s="190"/>
      <c r="I415" s="190"/>
      <c r="J415" s="190"/>
      <c r="K415" s="190"/>
      <c r="L415" s="190"/>
    </row>
    <row r="416">
      <c r="A416" s="190"/>
      <c r="B416" s="190"/>
      <c r="C416" s="190"/>
      <c r="D416" s="190"/>
      <c r="E416" s="190"/>
      <c r="F416" s="190"/>
      <c r="G416" s="190"/>
      <c r="H416" s="190"/>
      <c r="I416" s="190"/>
      <c r="J416" s="190"/>
      <c r="K416" s="190"/>
      <c r="L416" s="190"/>
    </row>
    <row r="417">
      <c r="A417" s="190"/>
      <c r="B417" s="190"/>
      <c r="C417" s="190"/>
      <c r="D417" s="190"/>
      <c r="E417" s="190"/>
      <c r="F417" s="190"/>
      <c r="G417" s="190"/>
      <c r="H417" s="190"/>
      <c r="I417" s="190"/>
      <c r="J417" s="190"/>
      <c r="K417" s="190"/>
      <c r="L417" s="190"/>
    </row>
    <row r="418">
      <c r="A418" s="190"/>
      <c r="B418" s="190"/>
      <c r="C418" s="190"/>
      <c r="D418" s="190"/>
      <c r="E418" s="190"/>
      <c r="F418" s="190"/>
      <c r="G418" s="190"/>
      <c r="H418" s="190"/>
      <c r="I418" s="190"/>
      <c r="J418" s="190"/>
      <c r="K418" s="190"/>
      <c r="L418" s="190"/>
    </row>
    <row r="419">
      <c r="A419" s="190"/>
      <c r="B419" s="190"/>
      <c r="C419" s="190"/>
      <c r="D419" s="190"/>
      <c r="E419" s="190"/>
      <c r="F419" s="190"/>
      <c r="G419" s="190"/>
      <c r="H419" s="190"/>
      <c r="I419" s="190"/>
      <c r="J419" s="190"/>
      <c r="K419" s="190"/>
      <c r="L419" s="190"/>
    </row>
    <row r="420">
      <c r="A420" s="190"/>
      <c r="B420" s="190"/>
      <c r="C420" s="190"/>
      <c r="D420" s="190"/>
      <c r="E420" s="190"/>
      <c r="F420" s="190"/>
      <c r="G420" s="190"/>
      <c r="H420" s="190"/>
      <c r="I420" s="190"/>
      <c r="J420" s="190"/>
      <c r="K420" s="190"/>
      <c r="L420" s="190"/>
    </row>
    <row r="421">
      <c r="A421" s="190"/>
      <c r="B421" s="190"/>
      <c r="C421" s="190"/>
      <c r="D421" s="190"/>
      <c r="E421" s="190"/>
      <c r="F421" s="190"/>
      <c r="G421" s="190"/>
      <c r="H421" s="190"/>
      <c r="I421" s="190"/>
      <c r="J421" s="190"/>
      <c r="K421" s="190"/>
      <c r="L421" s="190"/>
    </row>
    <row r="422">
      <c r="A422" s="190"/>
      <c r="B422" s="190"/>
      <c r="C422" s="190"/>
      <c r="D422" s="190"/>
      <c r="E422" s="190"/>
      <c r="F422" s="190"/>
      <c r="G422" s="190"/>
      <c r="H422" s="190"/>
      <c r="I422" s="190"/>
      <c r="J422" s="190"/>
      <c r="K422" s="190"/>
      <c r="L422" s="190"/>
    </row>
    <row r="423">
      <c r="A423" s="190"/>
      <c r="B423" s="190"/>
      <c r="C423" s="190"/>
      <c r="D423" s="190"/>
      <c r="E423" s="190"/>
      <c r="F423" s="190"/>
      <c r="G423" s="190"/>
      <c r="H423" s="190"/>
      <c r="I423" s="190"/>
      <c r="J423" s="190"/>
      <c r="K423" s="190"/>
      <c r="L423" s="190"/>
    </row>
    <row r="424">
      <c r="A424" s="190"/>
      <c r="B424" s="190"/>
      <c r="C424" s="190"/>
      <c r="D424" s="190"/>
      <c r="E424" s="190"/>
      <c r="F424" s="190"/>
      <c r="G424" s="190"/>
      <c r="H424" s="190"/>
      <c r="I424" s="190"/>
      <c r="J424" s="190"/>
      <c r="K424" s="190"/>
      <c r="L424" s="190"/>
    </row>
    <row r="425">
      <c r="A425" s="190"/>
      <c r="B425" s="190"/>
      <c r="C425" s="190"/>
      <c r="D425" s="190"/>
      <c r="E425" s="190"/>
      <c r="F425" s="190"/>
      <c r="G425" s="190"/>
      <c r="H425" s="190"/>
      <c r="I425" s="190"/>
      <c r="J425" s="190"/>
      <c r="K425" s="190"/>
      <c r="L425" s="190"/>
    </row>
    <row r="426">
      <c r="A426" s="190"/>
      <c r="B426" s="190"/>
      <c r="C426" s="190"/>
      <c r="D426" s="190"/>
      <c r="E426" s="190"/>
      <c r="F426" s="190"/>
      <c r="G426" s="190"/>
      <c r="H426" s="190"/>
      <c r="I426" s="190"/>
      <c r="J426" s="190"/>
      <c r="K426" s="190"/>
      <c r="L426" s="190"/>
    </row>
    <row r="427">
      <c r="A427" s="190"/>
      <c r="B427" s="190"/>
      <c r="C427" s="190"/>
      <c r="D427" s="190"/>
      <c r="E427" s="190"/>
      <c r="F427" s="190"/>
      <c r="G427" s="190"/>
      <c r="H427" s="190"/>
      <c r="I427" s="190"/>
      <c r="J427" s="190"/>
      <c r="K427" s="190"/>
      <c r="L427" s="190"/>
    </row>
    <row r="428">
      <c r="A428" s="190"/>
      <c r="B428" s="190"/>
      <c r="C428" s="190"/>
      <c r="D428" s="190"/>
      <c r="E428" s="190"/>
      <c r="F428" s="190"/>
      <c r="G428" s="190"/>
      <c r="H428" s="190"/>
      <c r="I428" s="190"/>
      <c r="J428" s="190"/>
      <c r="K428" s="190"/>
      <c r="L428" s="190"/>
    </row>
    <row r="429">
      <c r="A429" s="190"/>
      <c r="B429" s="190"/>
      <c r="C429" s="190"/>
      <c r="D429" s="190"/>
      <c r="E429" s="190"/>
      <c r="F429" s="190"/>
      <c r="G429" s="190"/>
      <c r="H429" s="190"/>
      <c r="I429" s="190"/>
      <c r="J429" s="190"/>
      <c r="K429" s="190"/>
      <c r="L429" s="190"/>
    </row>
    <row r="430">
      <c r="A430" s="190"/>
      <c r="B430" s="190"/>
      <c r="C430" s="190"/>
      <c r="D430" s="190"/>
      <c r="E430" s="190"/>
      <c r="F430" s="190"/>
      <c r="G430" s="190"/>
      <c r="H430" s="190"/>
      <c r="I430" s="190"/>
      <c r="J430" s="190"/>
      <c r="K430" s="190"/>
      <c r="L430" s="190"/>
    </row>
    <row r="431">
      <c r="A431" s="190"/>
      <c r="B431" s="190"/>
      <c r="C431" s="190"/>
      <c r="D431" s="190"/>
      <c r="E431" s="190"/>
      <c r="F431" s="190"/>
      <c r="G431" s="190"/>
      <c r="H431" s="190"/>
      <c r="I431" s="190"/>
      <c r="J431" s="190"/>
      <c r="K431" s="190"/>
      <c r="L431" s="190"/>
    </row>
    <row r="432">
      <c r="A432" s="190"/>
      <c r="B432" s="190"/>
      <c r="C432" s="190"/>
      <c r="D432" s="190"/>
      <c r="E432" s="190"/>
      <c r="F432" s="190"/>
      <c r="G432" s="190"/>
      <c r="H432" s="190"/>
      <c r="I432" s="190"/>
      <c r="J432" s="190"/>
      <c r="K432" s="190"/>
      <c r="L432" s="190"/>
    </row>
    <row r="433">
      <c r="A433" s="190"/>
      <c r="B433" s="190"/>
      <c r="C433" s="190"/>
      <c r="D433" s="190"/>
      <c r="E433" s="190"/>
      <c r="F433" s="190"/>
      <c r="G433" s="190"/>
      <c r="H433" s="190"/>
      <c r="I433" s="190"/>
      <c r="J433" s="190"/>
      <c r="K433" s="190"/>
      <c r="L433" s="190"/>
    </row>
    <row r="434">
      <c r="A434" s="190"/>
      <c r="B434" s="190"/>
      <c r="C434" s="190"/>
      <c r="D434" s="190"/>
      <c r="E434" s="190"/>
      <c r="F434" s="190"/>
      <c r="G434" s="190"/>
      <c r="H434" s="190"/>
      <c r="I434" s="190"/>
      <c r="J434" s="190"/>
      <c r="K434" s="190"/>
      <c r="L434" s="190"/>
    </row>
    <row r="435">
      <c r="A435" s="190"/>
      <c r="B435" s="190"/>
      <c r="C435" s="190"/>
      <c r="D435" s="190"/>
      <c r="E435" s="190"/>
      <c r="F435" s="190"/>
      <c r="G435" s="190"/>
      <c r="H435" s="190"/>
      <c r="I435" s="190"/>
      <c r="J435" s="190"/>
      <c r="K435" s="190"/>
      <c r="L435" s="190"/>
    </row>
    <row r="436">
      <c r="A436" s="190"/>
      <c r="B436" s="190"/>
      <c r="C436" s="190"/>
      <c r="D436" s="190"/>
      <c r="E436" s="190"/>
      <c r="F436" s="190"/>
      <c r="G436" s="190"/>
      <c r="H436" s="190"/>
      <c r="I436" s="190"/>
      <c r="J436" s="190"/>
      <c r="K436" s="190"/>
      <c r="L436" s="190"/>
    </row>
    <row r="437">
      <c r="A437" s="190"/>
      <c r="B437" s="190"/>
      <c r="C437" s="190"/>
      <c r="D437" s="190"/>
      <c r="E437" s="190"/>
      <c r="F437" s="190"/>
      <c r="G437" s="190"/>
      <c r="H437" s="190"/>
      <c r="I437" s="190"/>
      <c r="J437" s="190"/>
      <c r="K437" s="190"/>
      <c r="L437" s="190"/>
    </row>
    <row r="438">
      <c r="A438" s="190"/>
      <c r="B438" s="190"/>
      <c r="C438" s="190"/>
      <c r="D438" s="190"/>
      <c r="E438" s="190"/>
      <c r="F438" s="190"/>
      <c r="G438" s="190"/>
      <c r="H438" s="190"/>
      <c r="I438" s="190"/>
      <c r="J438" s="190"/>
      <c r="K438" s="190"/>
      <c r="L438" s="190"/>
    </row>
    <row r="439">
      <c r="A439" s="190"/>
      <c r="B439" s="190"/>
      <c r="C439" s="190"/>
      <c r="D439" s="190"/>
      <c r="E439" s="190"/>
      <c r="F439" s="190"/>
      <c r="G439" s="190"/>
      <c r="H439" s="190"/>
      <c r="I439" s="190"/>
      <c r="J439" s="190"/>
      <c r="K439" s="190"/>
      <c r="L439" s="190"/>
    </row>
    <row r="440">
      <c r="A440" s="190"/>
      <c r="B440" s="190"/>
      <c r="C440" s="190"/>
      <c r="D440" s="190"/>
      <c r="E440" s="190"/>
      <c r="F440" s="190"/>
      <c r="G440" s="190"/>
      <c r="H440" s="190"/>
      <c r="I440" s="190"/>
      <c r="J440" s="190"/>
      <c r="K440" s="190"/>
      <c r="L440" s="190"/>
    </row>
    <row r="441">
      <c r="A441" s="190"/>
      <c r="B441" s="190"/>
      <c r="C441" s="190"/>
      <c r="D441" s="190"/>
      <c r="E441" s="190"/>
      <c r="F441" s="190"/>
      <c r="G441" s="190"/>
      <c r="H441" s="190"/>
      <c r="I441" s="190"/>
      <c r="J441" s="190"/>
      <c r="K441" s="190"/>
      <c r="L441" s="190"/>
    </row>
    <row r="442">
      <c r="A442" s="190"/>
      <c r="B442" s="190"/>
      <c r="C442" s="190"/>
      <c r="D442" s="190"/>
      <c r="E442" s="190"/>
      <c r="F442" s="190"/>
      <c r="G442" s="190"/>
      <c r="H442" s="190"/>
      <c r="I442" s="190"/>
      <c r="J442" s="190"/>
      <c r="K442" s="190"/>
      <c r="L442" s="190"/>
    </row>
    <row r="443">
      <c r="A443" s="190"/>
      <c r="B443" s="190"/>
      <c r="C443" s="190"/>
      <c r="D443" s="190"/>
      <c r="E443" s="190"/>
      <c r="F443" s="190"/>
      <c r="G443" s="190"/>
      <c r="H443" s="190"/>
      <c r="I443" s="190"/>
      <c r="J443" s="190"/>
      <c r="K443" s="190"/>
      <c r="L443" s="190"/>
    </row>
    <row r="444">
      <c r="A444" s="190"/>
      <c r="B444" s="190"/>
      <c r="C444" s="190"/>
      <c r="D444" s="190"/>
      <c r="E444" s="190"/>
      <c r="F444" s="190"/>
      <c r="G444" s="190"/>
      <c r="H444" s="190"/>
      <c r="I444" s="190"/>
      <c r="J444" s="190"/>
      <c r="K444" s="190"/>
      <c r="L444" s="190"/>
    </row>
    <row r="445">
      <c r="A445" s="190"/>
      <c r="B445" s="190"/>
      <c r="C445" s="190"/>
      <c r="D445" s="190"/>
      <c r="E445" s="190"/>
      <c r="F445" s="190"/>
      <c r="G445" s="190"/>
      <c r="H445" s="190"/>
      <c r="I445" s="190"/>
      <c r="J445" s="190"/>
      <c r="K445" s="190"/>
      <c r="L445" s="190"/>
    </row>
    <row r="446">
      <c r="A446" s="190"/>
      <c r="B446" s="190"/>
      <c r="C446" s="190"/>
      <c r="D446" s="190"/>
      <c r="E446" s="190"/>
      <c r="F446" s="190"/>
      <c r="G446" s="190"/>
      <c r="H446" s="190"/>
      <c r="I446" s="190"/>
      <c r="J446" s="190"/>
      <c r="K446" s="190"/>
      <c r="L446" s="190"/>
    </row>
    <row r="447">
      <c r="A447" s="190"/>
      <c r="B447" s="190"/>
      <c r="C447" s="190"/>
      <c r="D447" s="190"/>
      <c r="E447" s="190"/>
      <c r="F447" s="190"/>
      <c r="G447" s="190"/>
      <c r="H447" s="190"/>
      <c r="I447" s="190"/>
      <c r="J447" s="190"/>
      <c r="K447" s="190"/>
      <c r="L447" s="190"/>
    </row>
    <row r="448">
      <c r="A448" s="190"/>
      <c r="B448" s="190"/>
      <c r="C448" s="190"/>
      <c r="D448" s="190"/>
      <c r="E448" s="190"/>
      <c r="F448" s="190"/>
      <c r="G448" s="190"/>
      <c r="H448" s="190"/>
      <c r="I448" s="190"/>
      <c r="J448" s="190"/>
      <c r="K448" s="190"/>
      <c r="L448" s="190"/>
    </row>
    <row r="449">
      <c r="A449" s="190"/>
      <c r="B449" s="190"/>
      <c r="C449" s="190"/>
      <c r="D449" s="190"/>
      <c r="E449" s="190"/>
      <c r="F449" s="190"/>
      <c r="G449" s="190"/>
      <c r="H449" s="190"/>
      <c r="I449" s="190"/>
      <c r="J449" s="190"/>
      <c r="K449" s="190"/>
      <c r="L449" s="190"/>
    </row>
    <row r="450">
      <c r="A450" s="190"/>
      <c r="B450" s="190"/>
      <c r="C450" s="190"/>
      <c r="D450" s="190"/>
      <c r="E450" s="190"/>
      <c r="F450" s="190"/>
      <c r="G450" s="190"/>
      <c r="H450" s="190"/>
      <c r="I450" s="190"/>
      <c r="J450" s="190"/>
      <c r="K450" s="190"/>
      <c r="L450" s="190"/>
    </row>
    <row r="451">
      <c r="A451" s="190"/>
      <c r="B451" s="190"/>
      <c r="C451" s="190"/>
      <c r="D451" s="190"/>
      <c r="E451" s="190"/>
      <c r="F451" s="190"/>
      <c r="G451" s="190"/>
      <c r="H451" s="190"/>
      <c r="I451" s="190"/>
      <c r="J451" s="190"/>
      <c r="K451" s="190"/>
      <c r="L451" s="190"/>
    </row>
    <row r="452">
      <c r="A452" s="190"/>
      <c r="B452" s="190"/>
      <c r="C452" s="190"/>
      <c r="D452" s="190"/>
      <c r="E452" s="190"/>
      <c r="F452" s="190"/>
      <c r="G452" s="190"/>
      <c r="H452" s="190"/>
      <c r="I452" s="190"/>
      <c r="J452" s="190"/>
      <c r="K452" s="190"/>
      <c r="L452" s="190"/>
    </row>
    <row r="453">
      <c r="A453" s="190"/>
      <c r="B453" s="190"/>
      <c r="C453" s="190"/>
      <c r="D453" s="190"/>
      <c r="E453" s="190"/>
      <c r="F453" s="190"/>
      <c r="G453" s="190"/>
      <c r="H453" s="190"/>
      <c r="I453" s="190"/>
      <c r="J453" s="190"/>
      <c r="K453" s="190"/>
      <c r="L453" s="190"/>
    </row>
    <row r="454">
      <c r="A454" s="190"/>
      <c r="B454" s="190"/>
      <c r="C454" s="190"/>
      <c r="D454" s="190"/>
      <c r="E454" s="190"/>
      <c r="F454" s="190"/>
      <c r="G454" s="190"/>
      <c r="H454" s="190"/>
      <c r="I454" s="190"/>
      <c r="J454" s="190"/>
      <c r="K454" s="190"/>
      <c r="L454" s="190"/>
    </row>
    <row r="455">
      <c r="A455" s="190"/>
      <c r="B455" s="190"/>
      <c r="C455" s="190"/>
      <c r="D455" s="190"/>
      <c r="E455" s="190"/>
      <c r="F455" s="190"/>
      <c r="G455" s="190"/>
      <c r="H455" s="190"/>
      <c r="I455" s="190"/>
      <c r="J455" s="190"/>
      <c r="K455" s="190"/>
      <c r="L455" s="190"/>
    </row>
    <row r="456">
      <c r="A456" s="190"/>
      <c r="B456" s="190"/>
      <c r="C456" s="190"/>
      <c r="D456" s="190"/>
      <c r="E456" s="190"/>
      <c r="F456" s="190"/>
      <c r="G456" s="190"/>
      <c r="H456" s="190"/>
      <c r="I456" s="190"/>
      <c r="J456" s="190"/>
      <c r="K456" s="190"/>
      <c r="L456" s="190"/>
    </row>
    <row r="457">
      <c r="A457" s="190"/>
      <c r="B457" s="190"/>
      <c r="C457" s="190"/>
      <c r="D457" s="190"/>
      <c r="E457" s="190"/>
      <c r="F457" s="190"/>
      <c r="G457" s="190"/>
      <c r="H457" s="190"/>
      <c r="I457" s="190"/>
      <c r="J457" s="190"/>
      <c r="K457" s="190"/>
      <c r="L457" s="190"/>
    </row>
    <row r="458">
      <c r="A458" s="190"/>
      <c r="B458" s="190"/>
      <c r="C458" s="190"/>
      <c r="D458" s="190"/>
      <c r="E458" s="190"/>
      <c r="F458" s="190"/>
      <c r="G458" s="190"/>
      <c r="H458" s="190"/>
      <c r="I458" s="190"/>
      <c r="J458" s="190"/>
      <c r="K458" s="190"/>
      <c r="L458" s="190"/>
    </row>
    <row r="459">
      <c r="A459" s="190"/>
      <c r="B459" s="190"/>
      <c r="C459" s="190"/>
      <c r="D459" s="190"/>
      <c r="E459" s="190"/>
      <c r="F459" s="190"/>
      <c r="G459" s="190"/>
      <c r="H459" s="190"/>
      <c r="I459" s="190"/>
      <c r="J459" s="190"/>
      <c r="K459" s="190"/>
      <c r="L459" s="190"/>
    </row>
    <row r="460">
      <c r="A460" s="190"/>
      <c r="B460" s="190"/>
      <c r="C460" s="190"/>
      <c r="D460" s="190"/>
      <c r="E460" s="190"/>
      <c r="F460" s="190"/>
      <c r="G460" s="190"/>
      <c r="H460" s="190"/>
      <c r="I460" s="190"/>
      <c r="J460" s="190"/>
      <c r="K460" s="190"/>
      <c r="L460" s="190"/>
    </row>
    <row r="461">
      <c r="A461" s="190"/>
      <c r="B461" s="190"/>
      <c r="C461" s="190"/>
      <c r="D461" s="190"/>
      <c r="E461" s="190"/>
      <c r="F461" s="190"/>
      <c r="G461" s="190"/>
      <c r="H461" s="190"/>
      <c r="I461" s="190"/>
      <c r="J461" s="190"/>
      <c r="K461" s="190"/>
      <c r="L461" s="190"/>
    </row>
    <row r="462">
      <c r="A462" s="190"/>
      <c r="B462" s="190"/>
      <c r="C462" s="190"/>
      <c r="D462" s="190"/>
      <c r="E462" s="190"/>
      <c r="F462" s="190"/>
      <c r="G462" s="190"/>
      <c r="H462" s="190"/>
      <c r="I462" s="190"/>
      <c r="J462" s="190"/>
      <c r="K462" s="190"/>
      <c r="L462" s="190"/>
    </row>
    <row r="463">
      <c r="A463" s="190"/>
      <c r="B463" s="190"/>
      <c r="C463" s="190"/>
      <c r="D463" s="190"/>
      <c r="E463" s="190"/>
      <c r="F463" s="190"/>
      <c r="G463" s="190"/>
      <c r="H463" s="190"/>
      <c r="I463" s="190"/>
      <c r="J463" s="190"/>
      <c r="K463" s="190"/>
      <c r="L463" s="190"/>
    </row>
    <row r="464">
      <c r="A464" s="190"/>
      <c r="B464" s="190"/>
      <c r="C464" s="190"/>
      <c r="D464" s="190"/>
      <c r="E464" s="190"/>
      <c r="F464" s="190"/>
      <c r="G464" s="190"/>
      <c r="H464" s="190"/>
      <c r="I464" s="190"/>
      <c r="J464" s="190"/>
      <c r="K464" s="190"/>
      <c r="L464" s="190"/>
    </row>
    <row r="465">
      <c r="A465" s="190"/>
      <c r="B465" s="190"/>
      <c r="C465" s="190"/>
      <c r="D465" s="190"/>
      <c r="E465" s="190"/>
      <c r="F465" s="190"/>
      <c r="G465" s="190"/>
      <c r="H465" s="190"/>
      <c r="I465" s="190"/>
      <c r="J465" s="190"/>
      <c r="K465" s="190"/>
      <c r="L465" s="190"/>
    </row>
    <row r="466">
      <c r="A466" s="190"/>
      <c r="B466" s="190"/>
      <c r="C466" s="190"/>
      <c r="D466" s="190"/>
      <c r="E466" s="190"/>
      <c r="F466" s="190"/>
      <c r="G466" s="190"/>
      <c r="H466" s="190"/>
      <c r="I466" s="190"/>
      <c r="J466" s="190"/>
      <c r="K466" s="190"/>
      <c r="L466" s="190"/>
    </row>
    <row r="467">
      <c r="A467" s="190"/>
      <c r="B467" s="190"/>
      <c r="C467" s="190"/>
      <c r="D467" s="190"/>
      <c r="E467" s="190"/>
      <c r="F467" s="190"/>
      <c r="G467" s="190"/>
      <c r="H467" s="190"/>
      <c r="I467" s="190"/>
      <c r="J467" s="190"/>
      <c r="K467" s="190"/>
      <c r="L467" s="190"/>
    </row>
    <row r="468">
      <c r="A468" s="190"/>
      <c r="B468" s="190"/>
      <c r="C468" s="190"/>
      <c r="D468" s="190"/>
      <c r="E468" s="190"/>
      <c r="F468" s="190"/>
      <c r="G468" s="190"/>
      <c r="H468" s="190"/>
      <c r="I468" s="190"/>
      <c r="J468" s="190"/>
      <c r="K468" s="190"/>
      <c r="L468" s="190"/>
    </row>
    <row r="469">
      <c r="A469" s="190"/>
      <c r="B469" s="190"/>
      <c r="C469" s="190"/>
      <c r="D469" s="190"/>
      <c r="E469" s="190"/>
      <c r="F469" s="190"/>
      <c r="G469" s="190"/>
      <c r="H469" s="190"/>
      <c r="I469" s="190"/>
      <c r="J469" s="190"/>
      <c r="K469" s="190"/>
      <c r="L469" s="190"/>
    </row>
    <row r="470">
      <c r="A470" s="190"/>
      <c r="B470" s="190"/>
      <c r="C470" s="190"/>
      <c r="D470" s="190"/>
      <c r="E470" s="190"/>
      <c r="F470" s="190"/>
      <c r="G470" s="190"/>
      <c r="H470" s="190"/>
      <c r="I470" s="190"/>
      <c r="J470" s="190"/>
      <c r="K470" s="190"/>
      <c r="L470" s="190"/>
    </row>
    <row r="471">
      <c r="A471" s="190"/>
      <c r="B471" s="190"/>
      <c r="C471" s="190"/>
      <c r="D471" s="190"/>
      <c r="E471" s="190"/>
      <c r="F471" s="190"/>
      <c r="G471" s="190"/>
      <c r="H471" s="190"/>
      <c r="I471" s="190"/>
      <c r="J471" s="190"/>
      <c r="K471" s="190"/>
      <c r="L471" s="190"/>
    </row>
    <row r="472">
      <c r="A472" s="190"/>
      <c r="B472" s="190"/>
      <c r="C472" s="190"/>
      <c r="D472" s="190"/>
      <c r="E472" s="190"/>
      <c r="F472" s="190"/>
      <c r="G472" s="190"/>
      <c r="H472" s="190"/>
      <c r="I472" s="190"/>
      <c r="J472" s="190"/>
      <c r="K472" s="190"/>
      <c r="L472" s="190"/>
    </row>
    <row r="473">
      <c r="A473" s="190"/>
      <c r="B473" s="190"/>
      <c r="C473" s="190"/>
      <c r="D473" s="190"/>
      <c r="E473" s="190"/>
      <c r="F473" s="190"/>
      <c r="G473" s="190"/>
      <c r="H473" s="190"/>
      <c r="I473" s="190"/>
      <c r="J473" s="190"/>
      <c r="K473" s="190"/>
      <c r="L473" s="190"/>
    </row>
    <row r="474">
      <c r="A474" s="190"/>
      <c r="B474" s="190"/>
      <c r="C474" s="190"/>
      <c r="D474" s="190"/>
      <c r="E474" s="190"/>
      <c r="F474" s="190"/>
      <c r="G474" s="190"/>
      <c r="H474" s="190"/>
      <c r="I474" s="190"/>
      <c r="J474" s="190"/>
      <c r="K474" s="190"/>
      <c r="L474" s="190"/>
    </row>
    <row r="475">
      <c r="A475" s="190"/>
      <c r="B475" s="190"/>
      <c r="C475" s="190"/>
      <c r="D475" s="190"/>
      <c r="E475" s="190"/>
      <c r="F475" s="190"/>
      <c r="G475" s="190"/>
      <c r="H475" s="190"/>
      <c r="I475" s="190"/>
      <c r="J475" s="190"/>
      <c r="K475" s="190"/>
      <c r="L475" s="190"/>
    </row>
    <row r="476">
      <c r="A476" s="190"/>
      <c r="B476" s="190"/>
      <c r="C476" s="190"/>
      <c r="D476" s="190"/>
      <c r="E476" s="190"/>
      <c r="F476" s="190"/>
      <c r="G476" s="190"/>
      <c r="H476" s="190"/>
      <c r="I476" s="190"/>
      <c r="J476" s="190"/>
      <c r="K476" s="190"/>
      <c r="L476" s="190"/>
    </row>
    <row r="477">
      <c r="A477" s="190"/>
      <c r="B477" s="190"/>
      <c r="C477" s="190"/>
      <c r="D477" s="190"/>
      <c r="E477" s="190"/>
      <c r="F477" s="190"/>
      <c r="G477" s="190"/>
      <c r="H477" s="190"/>
      <c r="I477" s="190"/>
      <c r="J477" s="190"/>
      <c r="K477" s="190"/>
      <c r="L477" s="190"/>
    </row>
    <row r="478">
      <c r="A478" s="190"/>
      <c r="B478" s="190"/>
      <c r="C478" s="190"/>
      <c r="D478" s="190"/>
      <c r="E478" s="190"/>
      <c r="F478" s="190"/>
      <c r="G478" s="190"/>
      <c r="H478" s="190"/>
      <c r="I478" s="190"/>
      <c r="J478" s="190"/>
      <c r="K478" s="190"/>
      <c r="L478" s="190"/>
    </row>
    <row r="479">
      <c r="A479" s="190"/>
      <c r="B479" s="190"/>
      <c r="C479" s="190"/>
      <c r="D479" s="190"/>
      <c r="E479" s="190"/>
      <c r="F479" s="190"/>
      <c r="G479" s="190"/>
      <c r="H479" s="190"/>
      <c r="I479" s="190"/>
      <c r="J479" s="190"/>
      <c r="K479" s="190"/>
      <c r="L479" s="190"/>
    </row>
    <row r="480">
      <c r="A480" s="190"/>
      <c r="B480" s="190"/>
      <c r="C480" s="190"/>
      <c r="D480" s="190"/>
      <c r="E480" s="190"/>
      <c r="F480" s="190"/>
      <c r="G480" s="190"/>
      <c r="H480" s="190"/>
      <c r="I480" s="190"/>
      <c r="J480" s="190"/>
      <c r="K480" s="190"/>
      <c r="L480" s="190"/>
    </row>
    <row r="481">
      <c r="A481" s="190"/>
      <c r="B481" s="190"/>
      <c r="C481" s="190"/>
      <c r="D481" s="190"/>
      <c r="E481" s="190"/>
      <c r="F481" s="190"/>
      <c r="G481" s="190"/>
      <c r="H481" s="190"/>
      <c r="I481" s="190"/>
      <c r="J481" s="190"/>
      <c r="K481" s="190"/>
      <c r="L481" s="190"/>
    </row>
    <row r="482">
      <c r="A482" s="190"/>
      <c r="B482" s="190"/>
      <c r="C482" s="190"/>
      <c r="D482" s="190"/>
      <c r="E482" s="190"/>
      <c r="F482" s="190"/>
      <c r="G482" s="190"/>
      <c r="H482" s="190"/>
      <c r="I482" s="190"/>
      <c r="J482" s="190"/>
      <c r="K482" s="190"/>
      <c r="L482" s="190"/>
    </row>
    <row r="483">
      <c r="A483" s="190"/>
      <c r="B483" s="190"/>
      <c r="C483" s="190"/>
      <c r="D483" s="190"/>
      <c r="E483" s="190"/>
      <c r="F483" s="190"/>
      <c r="G483" s="190"/>
      <c r="H483" s="190"/>
      <c r="I483" s="190"/>
      <c r="J483" s="190"/>
      <c r="K483" s="190"/>
      <c r="L483" s="190"/>
    </row>
    <row r="484">
      <c r="A484" s="190"/>
      <c r="B484" s="190"/>
      <c r="C484" s="190"/>
      <c r="D484" s="190"/>
      <c r="E484" s="190"/>
      <c r="F484" s="190"/>
      <c r="G484" s="190"/>
      <c r="H484" s="190"/>
      <c r="I484" s="190"/>
      <c r="J484" s="190"/>
      <c r="K484" s="190"/>
      <c r="L484" s="190"/>
    </row>
    <row r="485">
      <c r="A485" s="190"/>
      <c r="B485" s="190"/>
      <c r="C485" s="190"/>
      <c r="D485" s="190"/>
      <c r="E485" s="190"/>
      <c r="F485" s="190"/>
      <c r="G485" s="190"/>
      <c r="H485" s="190"/>
      <c r="I485" s="190"/>
      <c r="J485" s="190"/>
      <c r="K485" s="190"/>
      <c r="L485" s="190"/>
    </row>
    <row r="486">
      <c r="A486" s="190"/>
      <c r="B486" s="190"/>
      <c r="C486" s="190"/>
      <c r="D486" s="190"/>
      <c r="E486" s="190"/>
      <c r="F486" s="190"/>
      <c r="G486" s="190"/>
      <c r="H486" s="190"/>
      <c r="I486" s="190"/>
      <c r="J486" s="190"/>
      <c r="K486" s="190"/>
      <c r="L486" s="190"/>
    </row>
    <row r="487">
      <c r="A487" s="190"/>
      <c r="B487" s="190"/>
      <c r="C487" s="190"/>
      <c r="D487" s="190"/>
      <c r="E487" s="190"/>
      <c r="F487" s="190"/>
      <c r="G487" s="190"/>
      <c r="H487" s="190"/>
      <c r="I487" s="190"/>
      <c r="J487" s="190"/>
      <c r="K487" s="190"/>
      <c r="L487" s="190"/>
    </row>
    <row r="488">
      <c r="A488" s="190"/>
      <c r="B488" s="190"/>
      <c r="C488" s="190"/>
      <c r="D488" s="190"/>
      <c r="E488" s="190"/>
      <c r="F488" s="190"/>
      <c r="G488" s="190"/>
      <c r="H488" s="190"/>
      <c r="I488" s="190"/>
      <c r="J488" s="190"/>
      <c r="K488" s="190"/>
      <c r="L488" s="190"/>
    </row>
    <row r="489">
      <c r="A489" s="190"/>
      <c r="B489" s="190"/>
      <c r="C489" s="190"/>
      <c r="D489" s="190"/>
      <c r="E489" s="190"/>
      <c r="F489" s="190"/>
      <c r="G489" s="190"/>
      <c r="H489" s="190"/>
      <c r="I489" s="190"/>
      <c r="J489" s="190"/>
      <c r="K489" s="190"/>
      <c r="L489" s="190"/>
    </row>
    <row r="490">
      <c r="A490" s="190"/>
      <c r="B490" s="190"/>
      <c r="C490" s="190"/>
      <c r="D490" s="190"/>
      <c r="E490" s="190"/>
      <c r="F490" s="190"/>
      <c r="G490" s="190"/>
      <c r="H490" s="190"/>
      <c r="I490" s="190"/>
      <c r="J490" s="190"/>
      <c r="K490" s="190"/>
      <c r="L490" s="190"/>
    </row>
    <row r="491">
      <c r="A491" s="190"/>
      <c r="B491" s="190"/>
      <c r="C491" s="190"/>
      <c r="D491" s="190"/>
      <c r="E491" s="190"/>
      <c r="F491" s="190"/>
      <c r="G491" s="190"/>
      <c r="H491" s="190"/>
      <c r="I491" s="190"/>
      <c r="J491" s="190"/>
      <c r="K491" s="190"/>
      <c r="L491" s="190"/>
    </row>
    <row r="492">
      <c r="A492" s="190"/>
      <c r="B492" s="190"/>
      <c r="C492" s="190"/>
      <c r="D492" s="190"/>
      <c r="E492" s="190"/>
      <c r="F492" s="190"/>
      <c r="G492" s="190"/>
      <c r="H492" s="190"/>
      <c r="I492" s="190"/>
      <c r="J492" s="190"/>
      <c r="K492" s="190"/>
      <c r="L492" s="190"/>
    </row>
    <row r="493">
      <c r="A493" s="190"/>
      <c r="B493" s="190"/>
      <c r="C493" s="190"/>
      <c r="D493" s="190"/>
      <c r="E493" s="190"/>
      <c r="F493" s="190"/>
      <c r="G493" s="190"/>
      <c r="H493" s="190"/>
      <c r="I493" s="190"/>
      <c r="J493" s="190"/>
      <c r="K493" s="190"/>
      <c r="L493" s="190"/>
    </row>
    <row r="494">
      <c r="A494" s="190"/>
      <c r="B494" s="190"/>
      <c r="C494" s="190"/>
      <c r="D494" s="190"/>
      <c r="E494" s="190"/>
      <c r="F494" s="190"/>
      <c r="G494" s="190"/>
      <c r="H494" s="190"/>
      <c r="I494" s="190"/>
      <c r="J494" s="190"/>
      <c r="K494" s="190"/>
      <c r="L494" s="190"/>
    </row>
    <row r="495">
      <c r="A495" s="190"/>
      <c r="B495" s="190"/>
      <c r="C495" s="190"/>
      <c r="D495" s="190"/>
      <c r="E495" s="190"/>
      <c r="F495" s="190"/>
      <c r="G495" s="190"/>
      <c r="H495" s="190"/>
      <c r="I495" s="190"/>
      <c r="J495" s="190"/>
      <c r="K495" s="190"/>
      <c r="L495" s="190"/>
    </row>
    <row r="496">
      <c r="A496" s="190"/>
      <c r="B496" s="190"/>
      <c r="C496" s="190"/>
      <c r="D496" s="190"/>
      <c r="E496" s="190"/>
      <c r="F496" s="190"/>
      <c r="G496" s="190"/>
      <c r="H496" s="190"/>
      <c r="I496" s="190"/>
      <c r="J496" s="190"/>
      <c r="K496" s="190"/>
      <c r="L496" s="190"/>
    </row>
    <row r="497">
      <c r="A497" s="190"/>
      <c r="B497" s="190"/>
      <c r="C497" s="190"/>
      <c r="D497" s="190"/>
      <c r="E497" s="190"/>
      <c r="F497" s="190"/>
      <c r="G497" s="190"/>
      <c r="H497" s="190"/>
      <c r="I497" s="190"/>
      <c r="J497" s="190"/>
      <c r="K497" s="190"/>
      <c r="L497" s="190"/>
    </row>
    <row r="498">
      <c r="A498" s="190"/>
      <c r="B498" s="190"/>
      <c r="C498" s="190"/>
      <c r="D498" s="190"/>
      <c r="E498" s="190"/>
      <c r="F498" s="190"/>
      <c r="G498" s="190"/>
      <c r="H498" s="190"/>
      <c r="I498" s="190"/>
      <c r="J498" s="190"/>
      <c r="K498" s="190"/>
      <c r="L498" s="190"/>
    </row>
    <row r="499">
      <c r="A499" s="190"/>
      <c r="B499" s="190"/>
      <c r="C499" s="190"/>
      <c r="D499" s="190"/>
      <c r="E499" s="190"/>
      <c r="F499" s="190"/>
      <c r="G499" s="190"/>
      <c r="H499" s="190"/>
      <c r="I499" s="190"/>
      <c r="J499" s="190"/>
      <c r="K499" s="190"/>
      <c r="L499" s="190"/>
    </row>
    <row r="500">
      <c r="A500" s="190"/>
      <c r="B500" s="190"/>
      <c r="C500" s="190"/>
      <c r="D500" s="190"/>
      <c r="E500" s="190"/>
      <c r="F500" s="190"/>
      <c r="G500" s="190"/>
      <c r="H500" s="190"/>
      <c r="I500" s="190"/>
      <c r="J500" s="190"/>
      <c r="K500" s="190"/>
      <c r="L500" s="190"/>
    </row>
    <row r="501">
      <c r="A501" s="190"/>
      <c r="B501" s="190"/>
      <c r="C501" s="190"/>
      <c r="D501" s="190"/>
      <c r="E501" s="190"/>
      <c r="F501" s="190"/>
      <c r="G501" s="190"/>
      <c r="H501" s="190"/>
      <c r="I501" s="190"/>
      <c r="J501" s="190"/>
      <c r="K501" s="190"/>
      <c r="L501" s="190"/>
    </row>
    <row r="502">
      <c r="A502" s="190"/>
      <c r="B502" s="190"/>
      <c r="C502" s="190"/>
      <c r="D502" s="190"/>
      <c r="E502" s="190"/>
      <c r="F502" s="190"/>
      <c r="G502" s="190"/>
      <c r="H502" s="190"/>
      <c r="I502" s="190"/>
      <c r="J502" s="190"/>
      <c r="K502" s="190"/>
      <c r="L502" s="190"/>
    </row>
    <row r="503">
      <c r="A503" s="190"/>
      <c r="B503" s="190"/>
      <c r="C503" s="190"/>
      <c r="D503" s="190"/>
      <c r="E503" s="190"/>
      <c r="F503" s="190"/>
      <c r="G503" s="190"/>
      <c r="H503" s="190"/>
      <c r="I503" s="190"/>
      <c r="J503" s="190"/>
      <c r="K503" s="190"/>
      <c r="L503" s="190"/>
    </row>
    <row r="504">
      <c r="A504" s="190"/>
      <c r="B504" s="190"/>
      <c r="C504" s="190"/>
      <c r="D504" s="190"/>
      <c r="E504" s="190"/>
      <c r="F504" s="190"/>
      <c r="G504" s="190"/>
      <c r="H504" s="190"/>
      <c r="I504" s="190"/>
      <c r="J504" s="190"/>
      <c r="K504" s="190"/>
      <c r="L504" s="190"/>
    </row>
    <row r="505">
      <c r="A505" s="190"/>
      <c r="B505" s="190"/>
      <c r="C505" s="190"/>
      <c r="D505" s="190"/>
      <c r="E505" s="190"/>
      <c r="F505" s="190"/>
      <c r="G505" s="190"/>
      <c r="H505" s="190"/>
      <c r="I505" s="190"/>
      <c r="J505" s="190"/>
      <c r="K505" s="190"/>
      <c r="L505" s="190"/>
    </row>
    <row r="506">
      <c r="A506" s="190"/>
      <c r="B506" s="190"/>
      <c r="C506" s="190"/>
      <c r="D506" s="190"/>
      <c r="E506" s="190"/>
      <c r="F506" s="190"/>
      <c r="G506" s="190"/>
      <c r="H506" s="190"/>
      <c r="I506" s="190"/>
      <c r="J506" s="190"/>
      <c r="K506" s="190"/>
      <c r="L506" s="190"/>
    </row>
    <row r="507">
      <c r="A507" s="190"/>
      <c r="B507" s="190"/>
      <c r="C507" s="190"/>
      <c r="D507" s="190"/>
      <c r="E507" s="190"/>
      <c r="F507" s="190"/>
      <c r="G507" s="190"/>
      <c r="H507" s="190"/>
      <c r="I507" s="190"/>
      <c r="J507" s="190"/>
      <c r="K507" s="190"/>
      <c r="L507" s="190"/>
    </row>
    <row r="508">
      <c r="A508" s="190"/>
      <c r="B508" s="190"/>
      <c r="C508" s="190"/>
      <c r="D508" s="190"/>
      <c r="E508" s="190"/>
      <c r="F508" s="190"/>
      <c r="G508" s="190"/>
      <c r="H508" s="190"/>
      <c r="I508" s="190"/>
      <c r="J508" s="190"/>
      <c r="K508" s="190"/>
      <c r="L508" s="190"/>
    </row>
    <row r="509">
      <c r="A509" s="190"/>
      <c r="B509" s="190"/>
      <c r="C509" s="190"/>
      <c r="D509" s="190"/>
      <c r="E509" s="190"/>
      <c r="F509" s="190"/>
      <c r="G509" s="190"/>
      <c r="H509" s="190"/>
      <c r="I509" s="190"/>
      <c r="J509" s="190"/>
      <c r="K509" s="190"/>
      <c r="L509" s="190"/>
    </row>
    <row r="510">
      <c r="A510" s="190"/>
      <c r="B510" s="190"/>
      <c r="C510" s="190"/>
      <c r="D510" s="190"/>
      <c r="E510" s="190"/>
      <c r="F510" s="190"/>
      <c r="G510" s="190"/>
      <c r="H510" s="190"/>
      <c r="I510" s="190"/>
      <c r="J510" s="190"/>
      <c r="K510" s="190"/>
      <c r="L510" s="190"/>
    </row>
    <row r="511">
      <c r="A511" s="190"/>
      <c r="B511" s="190"/>
      <c r="C511" s="190"/>
      <c r="D511" s="190"/>
      <c r="E511" s="190"/>
      <c r="F511" s="190"/>
      <c r="G511" s="190"/>
      <c r="H511" s="190"/>
      <c r="I511" s="190"/>
      <c r="J511" s="190"/>
      <c r="K511" s="190"/>
      <c r="L511" s="190"/>
    </row>
    <row r="512">
      <c r="A512" s="190"/>
      <c r="B512" s="190"/>
      <c r="C512" s="190"/>
      <c r="D512" s="190"/>
      <c r="E512" s="190"/>
      <c r="F512" s="190"/>
      <c r="G512" s="190"/>
      <c r="H512" s="190"/>
      <c r="I512" s="190"/>
      <c r="J512" s="190"/>
      <c r="K512" s="190"/>
      <c r="L512" s="190"/>
    </row>
    <row r="513">
      <c r="A513" s="190"/>
      <c r="B513" s="190"/>
      <c r="C513" s="190"/>
      <c r="D513" s="190"/>
      <c r="E513" s="190"/>
      <c r="F513" s="190"/>
      <c r="G513" s="190"/>
      <c r="H513" s="190"/>
      <c r="I513" s="190"/>
      <c r="J513" s="190"/>
      <c r="K513" s="190"/>
      <c r="L513" s="190"/>
    </row>
    <row r="514">
      <c r="A514" s="190"/>
      <c r="B514" s="190"/>
      <c r="C514" s="190"/>
      <c r="D514" s="190"/>
      <c r="E514" s="190"/>
      <c r="F514" s="190"/>
      <c r="G514" s="190"/>
      <c r="H514" s="190"/>
      <c r="I514" s="190"/>
      <c r="J514" s="190"/>
      <c r="K514" s="190"/>
      <c r="L514" s="190"/>
    </row>
    <row r="515">
      <c r="A515" s="190"/>
      <c r="B515" s="190"/>
      <c r="C515" s="190"/>
      <c r="D515" s="190"/>
      <c r="E515" s="190"/>
      <c r="F515" s="190"/>
      <c r="G515" s="190"/>
      <c r="H515" s="190"/>
      <c r="I515" s="190"/>
      <c r="J515" s="190"/>
      <c r="K515" s="190"/>
      <c r="L515" s="190"/>
    </row>
    <row r="516">
      <c r="A516" s="190"/>
      <c r="B516" s="190"/>
      <c r="C516" s="190"/>
      <c r="D516" s="190"/>
      <c r="E516" s="190"/>
      <c r="F516" s="190"/>
      <c r="G516" s="190"/>
      <c r="H516" s="190"/>
      <c r="I516" s="190"/>
      <c r="J516" s="190"/>
      <c r="K516" s="190"/>
      <c r="L516" s="190"/>
    </row>
    <row r="517">
      <c r="A517" s="190"/>
      <c r="B517" s="190"/>
      <c r="C517" s="190"/>
      <c r="D517" s="190"/>
      <c r="E517" s="190"/>
      <c r="F517" s="190"/>
      <c r="G517" s="190"/>
      <c r="H517" s="190"/>
      <c r="I517" s="190"/>
      <c r="J517" s="190"/>
      <c r="K517" s="190"/>
      <c r="L517" s="190"/>
    </row>
    <row r="518">
      <c r="A518" s="190"/>
      <c r="B518" s="190"/>
      <c r="C518" s="190"/>
      <c r="D518" s="190"/>
      <c r="E518" s="190"/>
      <c r="F518" s="190"/>
      <c r="G518" s="190"/>
      <c r="H518" s="190"/>
      <c r="I518" s="190"/>
      <c r="J518" s="190"/>
      <c r="K518" s="190"/>
      <c r="L518" s="190"/>
    </row>
    <row r="519">
      <c r="A519" s="190"/>
      <c r="B519" s="190"/>
      <c r="C519" s="190"/>
      <c r="D519" s="190"/>
      <c r="E519" s="190"/>
      <c r="F519" s="190"/>
      <c r="G519" s="190"/>
      <c r="H519" s="190"/>
      <c r="I519" s="190"/>
      <c r="J519" s="190"/>
      <c r="K519" s="190"/>
      <c r="L519" s="190"/>
    </row>
    <row r="520">
      <c r="A520" s="190"/>
      <c r="B520" s="190"/>
      <c r="C520" s="190"/>
      <c r="D520" s="190"/>
      <c r="E520" s="190"/>
      <c r="F520" s="190"/>
      <c r="G520" s="190"/>
      <c r="H520" s="190"/>
      <c r="I520" s="190"/>
      <c r="J520" s="190"/>
      <c r="K520" s="190"/>
      <c r="L520" s="190"/>
    </row>
    <row r="521">
      <c r="A521" s="190"/>
      <c r="B521" s="190"/>
      <c r="C521" s="190"/>
      <c r="D521" s="190"/>
      <c r="E521" s="190"/>
      <c r="F521" s="190"/>
      <c r="G521" s="190"/>
      <c r="H521" s="190"/>
      <c r="I521" s="190"/>
      <c r="J521" s="190"/>
      <c r="K521" s="190"/>
      <c r="L521" s="190"/>
    </row>
    <row r="522">
      <c r="A522" s="190"/>
      <c r="B522" s="190"/>
      <c r="C522" s="190"/>
      <c r="D522" s="190"/>
      <c r="E522" s="190"/>
      <c r="F522" s="190"/>
      <c r="G522" s="190"/>
      <c r="H522" s="190"/>
      <c r="I522" s="190"/>
      <c r="J522" s="190"/>
      <c r="K522" s="190"/>
      <c r="L522" s="190"/>
    </row>
    <row r="523">
      <c r="A523" s="190"/>
      <c r="B523" s="190"/>
      <c r="C523" s="190"/>
      <c r="D523" s="190"/>
      <c r="E523" s="190"/>
      <c r="F523" s="190"/>
      <c r="G523" s="190"/>
      <c r="H523" s="190"/>
      <c r="I523" s="190"/>
      <c r="J523" s="190"/>
      <c r="K523" s="190"/>
      <c r="L523" s="190"/>
    </row>
    <row r="524">
      <c r="A524" s="190"/>
      <c r="B524" s="190"/>
      <c r="C524" s="190"/>
      <c r="D524" s="190"/>
      <c r="E524" s="190"/>
      <c r="F524" s="190"/>
      <c r="G524" s="190"/>
      <c r="H524" s="190"/>
      <c r="I524" s="190"/>
      <c r="J524" s="190"/>
      <c r="K524" s="190"/>
      <c r="L524" s="190"/>
    </row>
    <row r="525">
      <c r="A525" s="190"/>
      <c r="B525" s="190"/>
      <c r="C525" s="190"/>
      <c r="D525" s="190"/>
      <c r="E525" s="190"/>
      <c r="F525" s="190"/>
      <c r="G525" s="190"/>
      <c r="H525" s="190"/>
      <c r="I525" s="190"/>
      <c r="J525" s="190"/>
      <c r="K525" s="190"/>
      <c r="L525" s="190"/>
    </row>
    <row r="526">
      <c r="A526" s="190"/>
      <c r="B526" s="190"/>
      <c r="C526" s="190"/>
      <c r="D526" s="190"/>
      <c r="E526" s="190"/>
      <c r="F526" s="190"/>
      <c r="G526" s="190"/>
      <c r="H526" s="190"/>
      <c r="I526" s="190"/>
      <c r="J526" s="190"/>
      <c r="K526" s="190"/>
      <c r="L526" s="190"/>
    </row>
    <row r="527">
      <c r="A527" s="190"/>
      <c r="B527" s="190"/>
      <c r="C527" s="190"/>
      <c r="D527" s="190"/>
      <c r="E527" s="190"/>
      <c r="F527" s="190"/>
      <c r="G527" s="190"/>
      <c r="H527" s="190"/>
      <c r="I527" s="190"/>
      <c r="J527" s="190"/>
      <c r="K527" s="190"/>
      <c r="L527" s="190"/>
    </row>
    <row r="528">
      <c r="A528" s="190"/>
      <c r="B528" s="190"/>
      <c r="C528" s="190"/>
      <c r="D528" s="190"/>
      <c r="E528" s="190"/>
      <c r="F528" s="190"/>
      <c r="G528" s="190"/>
      <c r="H528" s="190"/>
      <c r="I528" s="190"/>
      <c r="J528" s="190"/>
      <c r="K528" s="190"/>
      <c r="L528" s="190"/>
    </row>
    <row r="529">
      <c r="A529" s="190"/>
      <c r="B529" s="190"/>
      <c r="C529" s="190"/>
      <c r="D529" s="190"/>
      <c r="E529" s="190"/>
      <c r="F529" s="190"/>
      <c r="G529" s="190"/>
      <c r="H529" s="190"/>
      <c r="I529" s="190"/>
      <c r="J529" s="190"/>
      <c r="K529" s="190"/>
      <c r="L529" s="190"/>
    </row>
    <row r="530">
      <c r="A530" s="190"/>
      <c r="B530" s="190"/>
      <c r="C530" s="190"/>
      <c r="D530" s="190"/>
      <c r="E530" s="190"/>
      <c r="F530" s="190"/>
      <c r="G530" s="190"/>
      <c r="H530" s="190"/>
      <c r="I530" s="190"/>
      <c r="J530" s="190"/>
      <c r="K530" s="190"/>
      <c r="L530" s="190"/>
    </row>
    <row r="531">
      <c r="A531" s="190"/>
      <c r="B531" s="190"/>
      <c r="C531" s="190"/>
      <c r="D531" s="190"/>
      <c r="E531" s="190"/>
      <c r="F531" s="190"/>
      <c r="G531" s="190"/>
      <c r="H531" s="190"/>
      <c r="I531" s="190"/>
      <c r="J531" s="190"/>
      <c r="K531" s="190"/>
      <c r="L531" s="190"/>
    </row>
    <row r="532">
      <c r="A532" s="190"/>
      <c r="B532" s="190"/>
      <c r="C532" s="190"/>
      <c r="D532" s="190"/>
      <c r="E532" s="190"/>
      <c r="F532" s="190"/>
      <c r="G532" s="190"/>
      <c r="H532" s="190"/>
      <c r="I532" s="190"/>
      <c r="J532" s="190"/>
      <c r="K532" s="190"/>
      <c r="L532" s="190"/>
    </row>
    <row r="533">
      <c r="A533" s="190"/>
      <c r="B533" s="190"/>
      <c r="C533" s="190"/>
      <c r="D533" s="190"/>
      <c r="E533" s="190"/>
      <c r="F533" s="190"/>
      <c r="G533" s="190"/>
      <c r="H533" s="190"/>
      <c r="I533" s="190"/>
      <c r="J533" s="190"/>
      <c r="K533" s="190"/>
      <c r="L533" s="190"/>
    </row>
    <row r="534">
      <c r="A534" s="190"/>
      <c r="B534" s="190"/>
      <c r="C534" s="190"/>
      <c r="D534" s="190"/>
      <c r="E534" s="190"/>
      <c r="F534" s="190"/>
      <c r="G534" s="190"/>
      <c r="H534" s="190"/>
      <c r="I534" s="190"/>
      <c r="J534" s="190"/>
      <c r="K534" s="190"/>
      <c r="L534" s="190"/>
    </row>
    <row r="535">
      <c r="A535" s="190"/>
      <c r="B535" s="190"/>
      <c r="C535" s="190"/>
      <c r="D535" s="190"/>
      <c r="E535" s="190"/>
      <c r="F535" s="190"/>
      <c r="G535" s="190"/>
      <c r="H535" s="190"/>
      <c r="I535" s="190"/>
      <c r="J535" s="190"/>
      <c r="K535" s="190"/>
      <c r="L535" s="190"/>
    </row>
    <row r="536">
      <c r="A536" s="190"/>
      <c r="B536" s="190"/>
      <c r="C536" s="190"/>
      <c r="D536" s="190"/>
      <c r="E536" s="190"/>
      <c r="F536" s="190"/>
      <c r="G536" s="190"/>
      <c r="H536" s="190"/>
      <c r="I536" s="190"/>
      <c r="J536" s="190"/>
      <c r="K536" s="190"/>
      <c r="L536" s="190"/>
    </row>
    <row r="537">
      <c r="A537" s="190"/>
      <c r="B537" s="190"/>
      <c r="C537" s="190"/>
      <c r="D537" s="190"/>
      <c r="E537" s="190"/>
      <c r="F537" s="190"/>
      <c r="G537" s="190"/>
      <c r="H537" s="190"/>
      <c r="I537" s="190"/>
      <c r="J537" s="190"/>
      <c r="K537" s="190"/>
      <c r="L537" s="190"/>
    </row>
    <row r="538">
      <c r="A538" s="190"/>
      <c r="B538" s="190"/>
      <c r="C538" s="190"/>
      <c r="D538" s="190"/>
      <c r="E538" s="190"/>
      <c r="F538" s="190"/>
      <c r="G538" s="190"/>
      <c r="H538" s="190"/>
      <c r="I538" s="190"/>
      <c r="J538" s="190"/>
      <c r="K538" s="190"/>
      <c r="L538" s="190"/>
    </row>
    <row r="539">
      <c r="A539" s="190"/>
      <c r="B539" s="190"/>
      <c r="C539" s="190"/>
      <c r="D539" s="190"/>
      <c r="E539" s="190"/>
      <c r="F539" s="190"/>
      <c r="G539" s="190"/>
      <c r="H539" s="190"/>
      <c r="I539" s="190"/>
      <c r="J539" s="190"/>
      <c r="K539" s="190"/>
      <c r="L539" s="190"/>
    </row>
    <row r="540">
      <c r="A540" s="190"/>
      <c r="B540" s="190"/>
      <c r="C540" s="190"/>
      <c r="D540" s="190"/>
      <c r="E540" s="190"/>
      <c r="F540" s="190"/>
      <c r="G540" s="190"/>
      <c r="H540" s="190"/>
      <c r="I540" s="190"/>
      <c r="J540" s="190"/>
      <c r="K540" s="190"/>
      <c r="L540" s="190"/>
    </row>
    <row r="541">
      <c r="A541" s="190"/>
      <c r="B541" s="190"/>
      <c r="C541" s="190"/>
      <c r="D541" s="190"/>
      <c r="E541" s="190"/>
      <c r="F541" s="190"/>
      <c r="G541" s="190"/>
      <c r="H541" s="190"/>
      <c r="I541" s="190"/>
      <c r="J541" s="190"/>
      <c r="K541" s="190"/>
      <c r="L541" s="190"/>
    </row>
    <row r="542">
      <c r="A542" s="190"/>
      <c r="B542" s="190"/>
      <c r="C542" s="190"/>
      <c r="D542" s="190"/>
      <c r="E542" s="190"/>
      <c r="F542" s="190"/>
      <c r="G542" s="190"/>
      <c r="H542" s="190"/>
      <c r="I542" s="190"/>
      <c r="J542" s="190"/>
      <c r="K542" s="190"/>
      <c r="L542" s="190"/>
    </row>
    <row r="543">
      <c r="A543" s="190"/>
      <c r="B543" s="190"/>
      <c r="C543" s="190"/>
      <c r="D543" s="190"/>
      <c r="E543" s="190"/>
      <c r="F543" s="190"/>
      <c r="G543" s="190"/>
      <c r="H543" s="190"/>
      <c r="I543" s="190"/>
      <c r="J543" s="190"/>
      <c r="K543" s="190"/>
      <c r="L543" s="190"/>
    </row>
    <row r="544">
      <c r="A544" s="190"/>
      <c r="B544" s="190"/>
      <c r="C544" s="190"/>
      <c r="D544" s="190"/>
      <c r="E544" s="190"/>
      <c r="F544" s="190"/>
      <c r="G544" s="190"/>
      <c r="H544" s="190"/>
      <c r="I544" s="190"/>
      <c r="J544" s="190"/>
      <c r="K544" s="190"/>
      <c r="L544" s="190"/>
    </row>
    <row r="545">
      <c r="A545" s="190"/>
      <c r="B545" s="190"/>
      <c r="C545" s="190"/>
      <c r="D545" s="190"/>
      <c r="E545" s="190"/>
      <c r="F545" s="190"/>
      <c r="G545" s="190"/>
      <c r="H545" s="190"/>
      <c r="I545" s="190"/>
      <c r="J545" s="190"/>
      <c r="K545" s="190"/>
      <c r="L545" s="190"/>
    </row>
    <row r="546">
      <c r="A546" s="190"/>
      <c r="B546" s="190"/>
      <c r="C546" s="190"/>
      <c r="D546" s="190"/>
      <c r="E546" s="190"/>
      <c r="F546" s="190"/>
      <c r="G546" s="190"/>
      <c r="H546" s="190"/>
      <c r="I546" s="190"/>
      <c r="J546" s="190"/>
      <c r="K546" s="190"/>
      <c r="L546" s="190"/>
    </row>
    <row r="547">
      <c r="A547" s="190"/>
      <c r="B547" s="190"/>
      <c r="C547" s="190"/>
      <c r="D547" s="190"/>
      <c r="E547" s="190"/>
      <c r="F547" s="190"/>
      <c r="G547" s="190"/>
      <c r="H547" s="190"/>
      <c r="I547" s="190"/>
      <c r="J547" s="190"/>
      <c r="K547" s="190"/>
      <c r="L547" s="190"/>
    </row>
    <row r="548">
      <c r="A548" s="190"/>
      <c r="B548" s="190"/>
      <c r="C548" s="190"/>
      <c r="D548" s="190"/>
      <c r="E548" s="190"/>
      <c r="F548" s="190"/>
      <c r="G548" s="190"/>
      <c r="H548" s="190"/>
      <c r="I548" s="190"/>
      <c r="J548" s="190"/>
      <c r="K548" s="190"/>
      <c r="L548" s="190"/>
    </row>
    <row r="549">
      <c r="A549" s="190"/>
      <c r="B549" s="190"/>
      <c r="C549" s="190"/>
      <c r="D549" s="190"/>
      <c r="E549" s="190"/>
      <c r="F549" s="190"/>
      <c r="G549" s="190"/>
      <c r="H549" s="190"/>
      <c r="I549" s="190"/>
      <c r="J549" s="190"/>
      <c r="K549" s="190"/>
      <c r="L549" s="190"/>
    </row>
    <row r="550">
      <c r="A550" s="190"/>
      <c r="B550" s="190"/>
      <c r="C550" s="190"/>
      <c r="D550" s="190"/>
      <c r="E550" s="190"/>
      <c r="F550" s="190"/>
      <c r="G550" s="190"/>
      <c r="H550" s="190"/>
      <c r="I550" s="190"/>
      <c r="J550" s="190"/>
      <c r="K550" s="190"/>
      <c r="L550" s="190"/>
    </row>
    <row r="551">
      <c r="A551" s="190"/>
      <c r="B551" s="190"/>
      <c r="C551" s="190"/>
      <c r="D551" s="190"/>
      <c r="E551" s="190"/>
      <c r="F551" s="190"/>
      <c r="G551" s="190"/>
      <c r="H551" s="190"/>
      <c r="I551" s="190"/>
      <c r="J551" s="190"/>
      <c r="K551" s="190"/>
      <c r="L551" s="190"/>
    </row>
    <row r="552">
      <c r="A552" s="190"/>
      <c r="B552" s="190"/>
      <c r="C552" s="190"/>
      <c r="D552" s="190"/>
      <c r="E552" s="190"/>
      <c r="F552" s="190"/>
      <c r="G552" s="190"/>
      <c r="H552" s="190"/>
      <c r="I552" s="190"/>
      <c r="J552" s="190"/>
      <c r="K552" s="190"/>
      <c r="L552" s="190"/>
    </row>
    <row r="553">
      <c r="A553" s="190"/>
      <c r="B553" s="190"/>
      <c r="C553" s="190"/>
      <c r="D553" s="190"/>
      <c r="E553" s="190"/>
      <c r="F553" s="190"/>
      <c r="G553" s="190"/>
      <c r="H553" s="190"/>
      <c r="I553" s="190"/>
      <c r="J553" s="190"/>
      <c r="K553" s="190"/>
      <c r="L553" s="190"/>
    </row>
    <row r="554">
      <c r="A554" s="190"/>
      <c r="B554" s="190"/>
      <c r="C554" s="190"/>
      <c r="D554" s="190"/>
      <c r="E554" s="190"/>
      <c r="F554" s="190"/>
      <c r="G554" s="190"/>
      <c r="H554" s="190"/>
      <c r="I554" s="190"/>
      <c r="J554" s="190"/>
      <c r="K554" s="190"/>
      <c r="L554" s="190"/>
    </row>
    <row r="555">
      <c r="A555" s="190"/>
      <c r="B555" s="190"/>
      <c r="C555" s="190"/>
      <c r="D555" s="190"/>
      <c r="E555" s="190"/>
      <c r="F555" s="190"/>
      <c r="G555" s="190"/>
      <c r="H555" s="190"/>
      <c r="I555" s="190"/>
      <c r="J555" s="190"/>
      <c r="K555" s="190"/>
      <c r="L555" s="190"/>
    </row>
    <row r="556">
      <c r="A556" s="190"/>
      <c r="B556" s="190"/>
      <c r="C556" s="190"/>
      <c r="D556" s="190"/>
      <c r="E556" s="190"/>
      <c r="F556" s="190"/>
      <c r="G556" s="190"/>
      <c r="H556" s="190"/>
      <c r="I556" s="190"/>
      <c r="J556" s="190"/>
      <c r="K556" s="190"/>
      <c r="L556" s="190"/>
    </row>
    <row r="557">
      <c r="A557" s="190"/>
      <c r="B557" s="190"/>
      <c r="C557" s="190"/>
      <c r="D557" s="190"/>
      <c r="E557" s="190"/>
      <c r="F557" s="190"/>
      <c r="G557" s="190"/>
      <c r="H557" s="190"/>
      <c r="I557" s="190"/>
      <c r="J557" s="190"/>
      <c r="K557" s="190"/>
      <c r="L557" s="190"/>
    </row>
    <row r="558">
      <c r="A558" s="190"/>
      <c r="B558" s="190"/>
      <c r="C558" s="190"/>
      <c r="D558" s="190"/>
      <c r="E558" s="190"/>
      <c r="F558" s="190"/>
      <c r="G558" s="190"/>
      <c r="H558" s="190"/>
      <c r="I558" s="190"/>
      <c r="J558" s="190"/>
      <c r="K558" s="190"/>
      <c r="L558" s="190"/>
    </row>
    <row r="559">
      <c r="A559" s="190"/>
      <c r="B559" s="190"/>
      <c r="C559" s="190"/>
      <c r="D559" s="190"/>
      <c r="E559" s="190"/>
      <c r="F559" s="190"/>
      <c r="G559" s="190"/>
      <c r="H559" s="190"/>
      <c r="I559" s="190"/>
      <c r="J559" s="190"/>
      <c r="K559" s="190"/>
      <c r="L559" s="190"/>
    </row>
    <row r="560">
      <c r="A560" s="190"/>
      <c r="B560" s="190"/>
      <c r="C560" s="190"/>
      <c r="D560" s="190"/>
      <c r="E560" s="190"/>
      <c r="F560" s="190"/>
      <c r="G560" s="190"/>
      <c r="H560" s="190"/>
      <c r="I560" s="190"/>
      <c r="J560" s="190"/>
      <c r="K560" s="190"/>
      <c r="L560" s="190"/>
    </row>
    <row r="561">
      <c r="A561" s="190"/>
      <c r="B561" s="190"/>
      <c r="C561" s="190"/>
      <c r="D561" s="190"/>
      <c r="E561" s="190"/>
      <c r="F561" s="190"/>
      <c r="G561" s="190"/>
      <c r="H561" s="190"/>
      <c r="I561" s="190"/>
      <c r="J561" s="190"/>
      <c r="K561" s="190"/>
      <c r="L561" s="190"/>
    </row>
    <row r="562">
      <c r="A562" s="190"/>
      <c r="B562" s="190"/>
      <c r="C562" s="190"/>
      <c r="D562" s="190"/>
      <c r="E562" s="190"/>
      <c r="F562" s="190"/>
      <c r="G562" s="190"/>
      <c r="H562" s="190"/>
      <c r="I562" s="190"/>
      <c r="J562" s="190"/>
      <c r="K562" s="190"/>
      <c r="L562" s="190"/>
    </row>
    <row r="563">
      <c r="A563" s="190"/>
      <c r="B563" s="190"/>
      <c r="C563" s="190"/>
      <c r="D563" s="190"/>
      <c r="E563" s="190"/>
      <c r="F563" s="190"/>
      <c r="G563" s="190"/>
      <c r="H563" s="190"/>
      <c r="I563" s="190"/>
      <c r="J563" s="190"/>
      <c r="K563" s="190"/>
      <c r="L563" s="190"/>
    </row>
    <row r="564">
      <c r="A564" s="190"/>
      <c r="B564" s="190"/>
      <c r="C564" s="190"/>
      <c r="D564" s="190"/>
      <c r="E564" s="190"/>
      <c r="F564" s="190"/>
      <c r="G564" s="190"/>
      <c r="H564" s="190"/>
      <c r="I564" s="190"/>
      <c r="J564" s="190"/>
      <c r="K564" s="190"/>
      <c r="L564" s="190"/>
    </row>
    <row r="565">
      <c r="A565" s="190"/>
      <c r="B565" s="190"/>
      <c r="C565" s="190"/>
      <c r="D565" s="190"/>
      <c r="E565" s="190"/>
      <c r="F565" s="190"/>
      <c r="G565" s="190"/>
      <c r="H565" s="190"/>
      <c r="I565" s="190"/>
      <c r="J565" s="190"/>
      <c r="K565" s="190"/>
      <c r="L565" s="190"/>
    </row>
    <row r="566">
      <c r="A566" s="190"/>
      <c r="B566" s="190"/>
      <c r="C566" s="190"/>
      <c r="D566" s="190"/>
      <c r="E566" s="190"/>
      <c r="F566" s="190"/>
      <c r="G566" s="190"/>
      <c r="H566" s="190"/>
      <c r="I566" s="190"/>
      <c r="J566" s="190"/>
      <c r="K566" s="190"/>
      <c r="L566" s="190"/>
    </row>
    <row r="567">
      <c r="A567" s="190"/>
      <c r="B567" s="190"/>
      <c r="C567" s="190"/>
      <c r="D567" s="190"/>
      <c r="E567" s="190"/>
      <c r="F567" s="190"/>
      <c r="G567" s="190"/>
      <c r="H567" s="190"/>
      <c r="I567" s="190"/>
      <c r="J567" s="190"/>
      <c r="K567" s="190"/>
      <c r="L567" s="190"/>
    </row>
    <row r="568">
      <c r="A568" s="190"/>
      <c r="B568" s="190"/>
      <c r="C568" s="190"/>
      <c r="D568" s="190"/>
      <c r="E568" s="190"/>
      <c r="F568" s="190"/>
      <c r="G568" s="190"/>
      <c r="H568" s="190"/>
      <c r="I568" s="190"/>
      <c r="J568" s="190"/>
      <c r="K568" s="190"/>
      <c r="L568" s="190"/>
    </row>
    <row r="569">
      <c r="A569" s="190"/>
      <c r="B569" s="190"/>
      <c r="C569" s="190"/>
      <c r="D569" s="190"/>
      <c r="E569" s="190"/>
      <c r="F569" s="190"/>
      <c r="G569" s="190"/>
      <c r="H569" s="190"/>
      <c r="I569" s="190"/>
      <c r="J569" s="190"/>
      <c r="K569" s="190"/>
      <c r="L569" s="190"/>
    </row>
    <row r="570">
      <c r="A570" s="190"/>
      <c r="B570" s="190"/>
      <c r="C570" s="190"/>
      <c r="D570" s="190"/>
      <c r="E570" s="190"/>
      <c r="F570" s="190"/>
      <c r="G570" s="190"/>
      <c r="H570" s="190"/>
      <c r="I570" s="190"/>
      <c r="J570" s="190"/>
      <c r="K570" s="190"/>
      <c r="L570" s="190"/>
    </row>
    <row r="571">
      <c r="A571" s="190"/>
      <c r="B571" s="190"/>
      <c r="C571" s="190"/>
      <c r="D571" s="190"/>
      <c r="E571" s="190"/>
      <c r="F571" s="190"/>
      <c r="G571" s="190"/>
      <c r="H571" s="190"/>
      <c r="I571" s="190"/>
      <c r="J571" s="190"/>
      <c r="K571" s="190"/>
      <c r="L571" s="190"/>
    </row>
    <row r="572">
      <c r="A572" s="190"/>
      <c r="B572" s="190"/>
      <c r="C572" s="190"/>
      <c r="D572" s="190"/>
      <c r="E572" s="190"/>
      <c r="F572" s="190"/>
      <c r="G572" s="190"/>
      <c r="H572" s="190"/>
      <c r="I572" s="190"/>
      <c r="J572" s="190"/>
      <c r="K572" s="190"/>
      <c r="L572" s="190"/>
    </row>
    <row r="573">
      <c r="A573" s="190"/>
      <c r="B573" s="190"/>
      <c r="C573" s="190"/>
      <c r="D573" s="190"/>
      <c r="E573" s="190"/>
      <c r="F573" s="190"/>
      <c r="G573" s="190"/>
      <c r="H573" s="190"/>
      <c r="I573" s="190"/>
      <c r="J573" s="190"/>
      <c r="K573" s="190"/>
      <c r="L573" s="190"/>
    </row>
    <row r="574">
      <c r="A574" s="190"/>
      <c r="B574" s="190"/>
      <c r="C574" s="190"/>
      <c r="D574" s="190"/>
      <c r="E574" s="190"/>
      <c r="F574" s="190"/>
      <c r="G574" s="190"/>
      <c r="H574" s="190"/>
      <c r="I574" s="190"/>
      <c r="J574" s="190"/>
      <c r="K574" s="190"/>
      <c r="L574" s="190"/>
    </row>
    <row r="575">
      <c r="A575" s="190"/>
      <c r="B575" s="190"/>
      <c r="C575" s="190"/>
      <c r="D575" s="190"/>
      <c r="E575" s="190"/>
      <c r="F575" s="190"/>
      <c r="G575" s="190"/>
      <c r="H575" s="190"/>
      <c r="I575" s="190"/>
      <c r="J575" s="190"/>
      <c r="K575" s="190"/>
      <c r="L575" s="190"/>
    </row>
    <row r="576">
      <c r="A576" s="190"/>
      <c r="B576" s="190"/>
      <c r="C576" s="190"/>
      <c r="D576" s="190"/>
      <c r="E576" s="190"/>
      <c r="F576" s="190"/>
      <c r="G576" s="190"/>
      <c r="H576" s="190"/>
      <c r="I576" s="190"/>
      <c r="J576" s="190"/>
      <c r="K576" s="190"/>
      <c r="L576" s="190"/>
    </row>
    <row r="577">
      <c r="A577" s="190"/>
      <c r="B577" s="190"/>
      <c r="C577" s="190"/>
      <c r="D577" s="190"/>
      <c r="E577" s="190"/>
      <c r="F577" s="190"/>
      <c r="G577" s="190"/>
      <c r="H577" s="190"/>
      <c r="I577" s="190"/>
      <c r="J577" s="190"/>
      <c r="K577" s="190"/>
      <c r="L577" s="190"/>
    </row>
    <row r="578">
      <c r="A578" s="190"/>
      <c r="B578" s="190"/>
      <c r="C578" s="190"/>
      <c r="D578" s="190"/>
      <c r="E578" s="190"/>
      <c r="F578" s="190"/>
      <c r="G578" s="190"/>
      <c r="H578" s="190"/>
      <c r="I578" s="190"/>
      <c r="J578" s="190"/>
      <c r="K578" s="190"/>
      <c r="L578" s="190"/>
    </row>
    <row r="579">
      <c r="A579" s="190"/>
      <c r="B579" s="190"/>
      <c r="C579" s="190"/>
      <c r="D579" s="190"/>
      <c r="E579" s="190"/>
      <c r="F579" s="190"/>
      <c r="G579" s="190"/>
      <c r="H579" s="190"/>
      <c r="I579" s="190"/>
      <c r="J579" s="190"/>
      <c r="K579" s="190"/>
      <c r="L579" s="190"/>
    </row>
    <row r="580">
      <c r="A580" s="190"/>
      <c r="B580" s="190"/>
      <c r="C580" s="190"/>
      <c r="D580" s="190"/>
      <c r="E580" s="190"/>
      <c r="F580" s="190"/>
      <c r="G580" s="190"/>
      <c r="H580" s="190"/>
      <c r="I580" s="190"/>
      <c r="J580" s="190"/>
      <c r="K580" s="190"/>
      <c r="L580" s="190"/>
    </row>
    <row r="581">
      <c r="A581" s="190"/>
      <c r="B581" s="190"/>
      <c r="C581" s="190"/>
      <c r="D581" s="190"/>
      <c r="E581" s="190"/>
      <c r="F581" s="190"/>
      <c r="G581" s="190"/>
      <c r="H581" s="190"/>
      <c r="I581" s="190"/>
      <c r="J581" s="190"/>
      <c r="K581" s="190"/>
      <c r="L581" s="190"/>
    </row>
    <row r="582">
      <c r="A582" s="190"/>
      <c r="B582" s="190"/>
      <c r="C582" s="190"/>
      <c r="D582" s="190"/>
      <c r="E582" s="190"/>
      <c r="F582" s="190"/>
      <c r="G582" s="190"/>
      <c r="H582" s="190"/>
      <c r="I582" s="190"/>
      <c r="J582" s="190"/>
      <c r="K582" s="190"/>
      <c r="L582" s="190"/>
    </row>
    <row r="583">
      <c r="A583" s="190"/>
      <c r="B583" s="190"/>
      <c r="C583" s="190"/>
      <c r="D583" s="190"/>
      <c r="E583" s="190"/>
      <c r="F583" s="190"/>
      <c r="G583" s="190"/>
      <c r="H583" s="190"/>
      <c r="I583" s="190"/>
      <c r="J583" s="190"/>
      <c r="K583" s="190"/>
      <c r="L583" s="190"/>
    </row>
    <row r="584">
      <c r="A584" s="190"/>
      <c r="B584" s="190"/>
      <c r="C584" s="190"/>
      <c r="D584" s="190"/>
      <c r="E584" s="190"/>
      <c r="F584" s="190"/>
      <c r="G584" s="190"/>
      <c r="H584" s="190"/>
      <c r="I584" s="190"/>
      <c r="J584" s="190"/>
      <c r="K584" s="190"/>
      <c r="L584" s="190"/>
    </row>
    <row r="585">
      <c r="A585" s="190"/>
      <c r="B585" s="190"/>
      <c r="C585" s="190"/>
      <c r="D585" s="190"/>
      <c r="E585" s="190"/>
      <c r="F585" s="190"/>
      <c r="G585" s="190"/>
      <c r="H585" s="190"/>
      <c r="I585" s="190"/>
      <c r="J585" s="190"/>
      <c r="K585" s="190"/>
      <c r="L585" s="190"/>
    </row>
    <row r="586">
      <c r="A586" s="190"/>
      <c r="B586" s="190"/>
      <c r="C586" s="190"/>
      <c r="D586" s="190"/>
      <c r="E586" s="190"/>
      <c r="F586" s="190"/>
      <c r="G586" s="190"/>
      <c r="H586" s="190"/>
      <c r="I586" s="190"/>
      <c r="J586" s="190"/>
      <c r="K586" s="190"/>
      <c r="L586" s="190"/>
    </row>
    <row r="587">
      <c r="A587" s="190"/>
      <c r="B587" s="190"/>
      <c r="C587" s="190"/>
      <c r="D587" s="190"/>
      <c r="E587" s="190"/>
      <c r="F587" s="190"/>
      <c r="G587" s="190"/>
      <c r="H587" s="190"/>
      <c r="I587" s="190"/>
      <c r="J587" s="190"/>
      <c r="K587" s="190"/>
      <c r="L587" s="190"/>
    </row>
    <row r="588">
      <c r="A588" s="190"/>
      <c r="B588" s="190"/>
      <c r="C588" s="190"/>
      <c r="D588" s="190"/>
      <c r="E588" s="190"/>
      <c r="F588" s="190"/>
      <c r="G588" s="190"/>
      <c r="H588" s="190"/>
      <c r="I588" s="190"/>
      <c r="J588" s="190"/>
      <c r="K588" s="190"/>
      <c r="L588" s="190"/>
    </row>
    <row r="589">
      <c r="A589" s="190"/>
      <c r="B589" s="190"/>
      <c r="C589" s="190"/>
      <c r="D589" s="190"/>
      <c r="E589" s="190"/>
      <c r="F589" s="190"/>
      <c r="G589" s="190"/>
      <c r="H589" s="190"/>
      <c r="I589" s="190"/>
      <c r="J589" s="190"/>
      <c r="K589" s="190"/>
      <c r="L589" s="190"/>
    </row>
    <row r="590">
      <c r="A590" s="190"/>
      <c r="B590" s="190"/>
      <c r="C590" s="190"/>
      <c r="D590" s="190"/>
      <c r="E590" s="190"/>
      <c r="F590" s="190"/>
      <c r="G590" s="190"/>
      <c r="H590" s="190"/>
      <c r="I590" s="190"/>
      <c r="J590" s="190"/>
      <c r="K590" s="190"/>
      <c r="L590" s="190"/>
    </row>
    <row r="591">
      <c r="A591" s="190"/>
      <c r="B591" s="190"/>
      <c r="C591" s="190"/>
      <c r="D591" s="190"/>
      <c r="E591" s="190"/>
      <c r="F591" s="190"/>
      <c r="G591" s="190"/>
      <c r="H591" s="190"/>
      <c r="I591" s="190"/>
      <c r="J591" s="190"/>
      <c r="K591" s="190"/>
      <c r="L591" s="190"/>
    </row>
    <row r="592">
      <c r="A592" s="190"/>
      <c r="B592" s="190"/>
      <c r="C592" s="190"/>
      <c r="D592" s="190"/>
      <c r="E592" s="190"/>
      <c r="F592" s="190"/>
      <c r="G592" s="190"/>
      <c r="H592" s="190"/>
      <c r="I592" s="190"/>
      <c r="J592" s="190"/>
      <c r="K592" s="190"/>
      <c r="L592" s="190"/>
    </row>
    <row r="593">
      <c r="A593" s="190"/>
      <c r="B593" s="190"/>
      <c r="C593" s="190"/>
      <c r="D593" s="190"/>
      <c r="E593" s="190"/>
      <c r="F593" s="190"/>
      <c r="G593" s="190"/>
      <c r="H593" s="190"/>
      <c r="I593" s="190"/>
      <c r="J593" s="190"/>
      <c r="K593" s="190"/>
      <c r="L593" s="190"/>
    </row>
    <row r="594">
      <c r="A594" s="190"/>
      <c r="B594" s="190"/>
      <c r="C594" s="190"/>
      <c r="D594" s="190"/>
      <c r="E594" s="190"/>
      <c r="F594" s="190"/>
      <c r="G594" s="190"/>
      <c r="H594" s="190"/>
      <c r="I594" s="190"/>
      <c r="J594" s="190"/>
      <c r="K594" s="190"/>
      <c r="L594" s="190"/>
    </row>
    <row r="595">
      <c r="A595" s="190"/>
      <c r="B595" s="190"/>
      <c r="C595" s="190"/>
      <c r="D595" s="190"/>
      <c r="E595" s="190"/>
      <c r="F595" s="190"/>
      <c r="G595" s="190"/>
      <c r="H595" s="190"/>
      <c r="I595" s="190"/>
      <c r="J595" s="190"/>
      <c r="K595" s="190"/>
      <c r="L595" s="190"/>
    </row>
    <row r="596">
      <c r="A596" s="190"/>
      <c r="B596" s="190"/>
      <c r="C596" s="190"/>
      <c r="D596" s="190"/>
      <c r="E596" s="190"/>
      <c r="F596" s="190"/>
      <c r="G596" s="190"/>
      <c r="H596" s="190"/>
      <c r="I596" s="190"/>
      <c r="J596" s="190"/>
      <c r="K596" s="190"/>
      <c r="L596" s="190"/>
    </row>
    <row r="597">
      <c r="A597" s="190"/>
      <c r="B597" s="190"/>
      <c r="C597" s="190"/>
      <c r="D597" s="190"/>
      <c r="E597" s="190"/>
      <c r="F597" s="190"/>
      <c r="G597" s="190"/>
      <c r="H597" s="190"/>
      <c r="I597" s="190"/>
      <c r="J597" s="190"/>
      <c r="K597" s="190"/>
      <c r="L597" s="190"/>
    </row>
    <row r="598">
      <c r="A598" s="190"/>
      <c r="B598" s="190"/>
      <c r="C598" s="190"/>
      <c r="D598" s="190"/>
      <c r="E598" s="190"/>
      <c r="F598" s="190"/>
      <c r="G598" s="190"/>
      <c r="H598" s="190"/>
      <c r="I598" s="190"/>
      <c r="J598" s="190"/>
      <c r="K598" s="190"/>
      <c r="L598" s="190"/>
    </row>
    <row r="599">
      <c r="A599" s="190"/>
      <c r="B599" s="190"/>
      <c r="C599" s="190"/>
      <c r="D599" s="190"/>
      <c r="E599" s="190"/>
      <c r="F599" s="190"/>
      <c r="G599" s="190"/>
      <c r="H599" s="190"/>
      <c r="I599" s="190"/>
      <c r="J599" s="190"/>
      <c r="K599" s="190"/>
      <c r="L599" s="190"/>
    </row>
    <row r="600">
      <c r="A600" s="190"/>
      <c r="B600" s="190"/>
      <c r="C600" s="190"/>
      <c r="D600" s="190"/>
      <c r="E600" s="190"/>
      <c r="F600" s="190"/>
      <c r="G600" s="190"/>
      <c r="H600" s="190"/>
      <c r="I600" s="190"/>
      <c r="J600" s="190"/>
      <c r="K600" s="190"/>
      <c r="L600" s="190"/>
    </row>
    <row r="601">
      <c r="A601" s="190"/>
      <c r="B601" s="190"/>
      <c r="C601" s="190"/>
      <c r="D601" s="190"/>
      <c r="E601" s="190"/>
      <c r="F601" s="190"/>
      <c r="G601" s="190"/>
      <c r="H601" s="190"/>
      <c r="I601" s="190"/>
      <c r="J601" s="190"/>
      <c r="K601" s="190"/>
      <c r="L601" s="190"/>
    </row>
    <row r="602">
      <c r="A602" s="190"/>
      <c r="B602" s="190"/>
      <c r="C602" s="190"/>
      <c r="D602" s="190"/>
      <c r="E602" s="190"/>
      <c r="F602" s="190"/>
      <c r="G602" s="190"/>
      <c r="H602" s="190"/>
      <c r="I602" s="190"/>
      <c r="J602" s="190"/>
      <c r="K602" s="190"/>
      <c r="L602" s="190"/>
    </row>
    <row r="603">
      <c r="A603" s="190"/>
      <c r="B603" s="190"/>
      <c r="C603" s="190"/>
      <c r="D603" s="190"/>
      <c r="E603" s="190"/>
      <c r="F603" s="190"/>
      <c r="G603" s="190"/>
      <c r="H603" s="190"/>
      <c r="I603" s="190"/>
      <c r="J603" s="190"/>
      <c r="K603" s="190"/>
      <c r="L603" s="190"/>
    </row>
    <row r="604">
      <c r="A604" s="190"/>
      <c r="B604" s="190"/>
      <c r="C604" s="190"/>
      <c r="D604" s="190"/>
      <c r="E604" s="190"/>
      <c r="F604" s="190"/>
      <c r="G604" s="190"/>
      <c r="H604" s="190"/>
      <c r="I604" s="190"/>
      <c r="J604" s="190"/>
      <c r="K604" s="190"/>
      <c r="L604" s="190"/>
    </row>
    <row r="605">
      <c r="A605" s="190"/>
      <c r="B605" s="190"/>
      <c r="C605" s="190"/>
      <c r="D605" s="190"/>
      <c r="E605" s="190"/>
      <c r="F605" s="190"/>
      <c r="G605" s="190"/>
      <c r="H605" s="190"/>
      <c r="I605" s="190"/>
      <c r="J605" s="190"/>
      <c r="K605" s="190"/>
      <c r="L605" s="190"/>
    </row>
    <row r="606">
      <c r="A606" s="190"/>
      <c r="B606" s="190"/>
      <c r="C606" s="190"/>
      <c r="D606" s="190"/>
      <c r="E606" s="190"/>
      <c r="F606" s="190"/>
      <c r="G606" s="190"/>
      <c r="H606" s="190"/>
      <c r="I606" s="190"/>
      <c r="J606" s="190"/>
      <c r="K606" s="190"/>
      <c r="L606" s="190"/>
    </row>
    <row r="607">
      <c r="A607" s="190"/>
      <c r="B607" s="190"/>
      <c r="C607" s="190"/>
      <c r="D607" s="190"/>
      <c r="E607" s="190"/>
      <c r="F607" s="190"/>
      <c r="G607" s="190"/>
      <c r="H607" s="190"/>
      <c r="I607" s="190"/>
      <c r="J607" s="190"/>
      <c r="K607" s="190"/>
      <c r="L607" s="190"/>
    </row>
    <row r="608">
      <c r="A608" s="190"/>
      <c r="B608" s="190"/>
      <c r="C608" s="190"/>
      <c r="D608" s="190"/>
      <c r="E608" s="190"/>
      <c r="F608" s="190"/>
      <c r="G608" s="190"/>
      <c r="H608" s="190"/>
      <c r="I608" s="190"/>
      <c r="J608" s="190"/>
      <c r="K608" s="190"/>
      <c r="L608" s="190"/>
    </row>
    <row r="609">
      <c r="A609" s="190"/>
      <c r="B609" s="190"/>
      <c r="C609" s="190"/>
      <c r="D609" s="190"/>
      <c r="E609" s="190"/>
      <c r="F609" s="190"/>
      <c r="G609" s="190"/>
      <c r="H609" s="190"/>
      <c r="I609" s="190"/>
      <c r="J609" s="190"/>
      <c r="K609" s="190"/>
      <c r="L609" s="190"/>
    </row>
    <row r="610">
      <c r="A610" s="190"/>
      <c r="B610" s="190"/>
      <c r="C610" s="190"/>
      <c r="D610" s="190"/>
      <c r="E610" s="190"/>
      <c r="F610" s="190"/>
      <c r="G610" s="190"/>
      <c r="H610" s="190"/>
      <c r="I610" s="190"/>
      <c r="J610" s="190"/>
      <c r="K610" s="190"/>
      <c r="L610" s="190"/>
    </row>
    <row r="611">
      <c r="A611" s="190"/>
      <c r="B611" s="190"/>
      <c r="C611" s="190"/>
      <c r="D611" s="190"/>
      <c r="E611" s="190"/>
      <c r="F611" s="190"/>
      <c r="G611" s="190"/>
      <c r="H611" s="190"/>
      <c r="I611" s="190"/>
      <c r="J611" s="190"/>
      <c r="K611" s="190"/>
      <c r="L611" s="190"/>
    </row>
    <row r="612">
      <c r="A612" s="190"/>
      <c r="B612" s="190"/>
      <c r="C612" s="190"/>
      <c r="D612" s="190"/>
      <c r="E612" s="190"/>
      <c r="F612" s="190"/>
      <c r="G612" s="190"/>
      <c r="H612" s="190"/>
      <c r="I612" s="190"/>
      <c r="J612" s="190"/>
      <c r="K612" s="190"/>
      <c r="L612" s="190"/>
    </row>
    <row r="613">
      <c r="A613" s="190"/>
      <c r="B613" s="190"/>
      <c r="C613" s="190"/>
      <c r="D613" s="190"/>
      <c r="E613" s="190"/>
      <c r="F613" s="190"/>
      <c r="G613" s="190"/>
      <c r="H613" s="190"/>
      <c r="I613" s="190"/>
      <c r="J613" s="190"/>
      <c r="K613" s="190"/>
      <c r="L613" s="190"/>
    </row>
    <row r="614">
      <c r="A614" s="190"/>
      <c r="B614" s="190"/>
      <c r="C614" s="190"/>
      <c r="D614" s="190"/>
      <c r="E614" s="190"/>
      <c r="F614" s="190"/>
      <c r="G614" s="190"/>
      <c r="H614" s="190"/>
      <c r="I614" s="190"/>
      <c r="J614" s="190"/>
      <c r="K614" s="190"/>
      <c r="L614" s="190"/>
    </row>
    <row r="615">
      <c r="A615" s="190"/>
      <c r="B615" s="190"/>
      <c r="C615" s="190"/>
      <c r="D615" s="190"/>
      <c r="E615" s="190"/>
      <c r="F615" s="190"/>
      <c r="G615" s="190"/>
      <c r="H615" s="190"/>
      <c r="I615" s="190"/>
      <c r="J615" s="190"/>
      <c r="K615" s="190"/>
      <c r="L615" s="190"/>
    </row>
    <row r="616">
      <c r="A616" s="190"/>
      <c r="B616" s="190"/>
      <c r="C616" s="190"/>
      <c r="D616" s="190"/>
      <c r="E616" s="190"/>
      <c r="F616" s="190"/>
      <c r="G616" s="190"/>
      <c r="H616" s="190"/>
      <c r="I616" s="190"/>
      <c r="J616" s="190"/>
      <c r="K616" s="190"/>
      <c r="L616" s="190"/>
    </row>
    <row r="617">
      <c r="A617" s="190"/>
      <c r="B617" s="190"/>
      <c r="C617" s="190"/>
      <c r="D617" s="190"/>
      <c r="E617" s="190"/>
      <c r="F617" s="190"/>
      <c r="G617" s="190"/>
      <c r="H617" s="190"/>
      <c r="I617" s="190"/>
      <c r="J617" s="190"/>
      <c r="K617" s="190"/>
      <c r="L617" s="190"/>
    </row>
    <row r="618">
      <c r="A618" s="190"/>
      <c r="B618" s="190"/>
      <c r="C618" s="190"/>
      <c r="D618" s="190"/>
      <c r="E618" s="190"/>
      <c r="F618" s="190"/>
      <c r="G618" s="190"/>
      <c r="H618" s="190"/>
      <c r="I618" s="190"/>
      <c r="J618" s="190"/>
      <c r="K618" s="190"/>
      <c r="L618" s="190"/>
    </row>
    <row r="619">
      <c r="A619" s="190"/>
      <c r="B619" s="190"/>
      <c r="C619" s="190"/>
      <c r="D619" s="190"/>
      <c r="E619" s="190"/>
      <c r="F619" s="190"/>
      <c r="G619" s="190"/>
      <c r="H619" s="190"/>
      <c r="I619" s="190"/>
      <c r="J619" s="190"/>
      <c r="K619" s="190"/>
      <c r="L619" s="190"/>
    </row>
    <row r="620">
      <c r="A620" s="190"/>
      <c r="B620" s="190"/>
      <c r="C620" s="190"/>
      <c r="D620" s="190"/>
      <c r="E620" s="190"/>
      <c r="F620" s="190"/>
      <c r="G620" s="190"/>
      <c r="H620" s="190"/>
      <c r="I620" s="190"/>
      <c r="J620" s="190"/>
      <c r="K620" s="190"/>
      <c r="L620" s="190"/>
    </row>
    <row r="621">
      <c r="A621" s="190"/>
      <c r="B621" s="190"/>
      <c r="C621" s="190"/>
      <c r="D621" s="190"/>
      <c r="E621" s="190"/>
      <c r="F621" s="190"/>
      <c r="G621" s="190"/>
      <c r="H621" s="190"/>
      <c r="I621" s="190"/>
      <c r="J621" s="190"/>
      <c r="K621" s="190"/>
      <c r="L621" s="190"/>
    </row>
    <row r="622">
      <c r="A622" s="190"/>
      <c r="B622" s="190"/>
      <c r="C622" s="190"/>
      <c r="D622" s="190"/>
      <c r="E622" s="190"/>
      <c r="F622" s="190"/>
      <c r="G622" s="190"/>
      <c r="H622" s="190"/>
      <c r="I622" s="190"/>
      <c r="J622" s="190"/>
      <c r="K622" s="190"/>
      <c r="L622" s="190"/>
    </row>
    <row r="623">
      <c r="A623" s="190"/>
      <c r="B623" s="190"/>
      <c r="C623" s="190"/>
      <c r="D623" s="190"/>
      <c r="E623" s="190"/>
      <c r="F623" s="190"/>
      <c r="G623" s="190"/>
      <c r="H623" s="190"/>
      <c r="I623" s="190"/>
      <c r="J623" s="190"/>
      <c r="K623" s="190"/>
      <c r="L623" s="190"/>
    </row>
    <row r="624">
      <c r="A624" s="190"/>
      <c r="B624" s="190"/>
      <c r="C624" s="190"/>
      <c r="D624" s="190"/>
      <c r="E624" s="190"/>
      <c r="F624" s="190"/>
      <c r="G624" s="190"/>
      <c r="H624" s="190"/>
      <c r="I624" s="190"/>
      <c r="J624" s="190"/>
      <c r="K624" s="190"/>
      <c r="L624" s="190"/>
    </row>
    <row r="625">
      <c r="A625" s="190"/>
      <c r="B625" s="190"/>
      <c r="C625" s="190"/>
      <c r="D625" s="190"/>
      <c r="E625" s="190"/>
      <c r="F625" s="190"/>
      <c r="G625" s="190"/>
      <c r="H625" s="190"/>
      <c r="I625" s="190"/>
      <c r="J625" s="190"/>
      <c r="K625" s="190"/>
      <c r="L625" s="190"/>
    </row>
    <row r="626">
      <c r="A626" s="190"/>
      <c r="B626" s="190"/>
      <c r="C626" s="190"/>
      <c r="D626" s="190"/>
      <c r="E626" s="190"/>
      <c r="F626" s="190"/>
      <c r="G626" s="190"/>
      <c r="H626" s="190"/>
      <c r="I626" s="190"/>
      <c r="J626" s="190"/>
      <c r="K626" s="190"/>
      <c r="L626" s="190"/>
    </row>
    <row r="627">
      <c r="A627" s="190"/>
      <c r="B627" s="190"/>
      <c r="C627" s="190"/>
      <c r="D627" s="190"/>
      <c r="E627" s="190"/>
      <c r="F627" s="190"/>
      <c r="G627" s="190"/>
      <c r="H627" s="190"/>
      <c r="I627" s="190"/>
      <c r="J627" s="190"/>
      <c r="K627" s="190"/>
      <c r="L627" s="190"/>
    </row>
    <row r="628">
      <c r="A628" s="190"/>
      <c r="B628" s="190"/>
      <c r="C628" s="190"/>
      <c r="D628" s="190"/>
      <c r="E628" s="190"/>
      <c r="F628" s="190"/>
      <c r="G628" s="190"/>
      <c r="H628" s="190"/>
      <c r="I628" s="190"/>
      <c r="J628" s="190"/>
      <c r="K628" s="190"/>
      <c r="L628" s="190"/>
    </row>
    <row r="629">
      <c r="A629" s="190"/>
      <c r="B629" s="190"/>
      <c r="C629" s="190"/>
      <c r="D629" s="190"/>
      <c r="E629" s="190"/>
      <c r="F629" s="190"/>
      <c r="G629" s="190"/>
      <c r="H629" s="190"/>
      <c r="I629" s="190"/>
      <c r="J629" s="190"/>
      <c r="K629" s="190"/>
      <c r="L629" s="190"/>
    </row>
    <row r="630">
      <c r="A630" s="190"/>
      <c r="B630" s="190"/>
      <c r="C630" s="190"/>
      <c r="D630" s="190"/>
      <c r="E630" s="190"/>
      <c r="F630" s="190"/>
      <c r="G630" s="190"/>
      <c r="H630" s="190"/>
      <c r="I630" s="190"/>
      <c r="J630" s="190"/>
      <c r="K630" s="190"/>
      <c r="L630" s="190"/>
    </row>
    <row r="631">
      <c r="A631" s="190"/>
      <c r="B631" s="190"/>
      <c r="C631" s="190"/>
      <c r="D631" s="190"/>
      <c r="E631" s="190"/>
      <c r="F631" s="190"/>
      <c r="G631" s="190"/>
      <c r="H631" s="190"/>
      <c r="I631" s="190"/>
      <c r="J631" s="190"/>
      <c r="K631" s="190"/>
      <c r="L631" s="190"/>
    </row>
    <row r="632">
      <c r="A632" s="190"/>
      <c r="B632" s="190"/>
      <c r="C632" s="190"/>
      <c r="D632" s="190"/>
      <c r="E632" s="190"/>
      <c r="F632" s="190"/>
      <c r="G632" s="190"/>
      <c r="H632" s="190"/>
      <c r="I632" s="190"/>
      <c r="J632" s="190"/>
      <c r="K632" s="190"/>
      <c r="L632" s="190"/>
    </row>
    <row r="633">
      <c r="A633" s="190"/>
      <c r="B633" s="190"/>
      <c r="C633" s="190"/>
      <c r="D633" s="190"/>
      <c r="E633" s="190"/>
      <c r="F633" s="190"/>
      <c r="G633" s="190"/>
      <c r="H633" s="190"/>
      <c r="I633" s="190"/>
      <c r="J633" s="190"/>
      <c r="K633" s="190"/>
      <c r="L633" s="190"/>
    </row>
    <row r="634">
      <c r="A634" s="190"/>
      <c r="B634" s="190"/>
      <c r="C634" s="190"/>
      <c r="D634" s="190"/>
      <c r="E634" s="190"/>
      <c r="F634" s="190"/>
      <c r="G634" s="190"/>
      <c r="H634" s="190"/>
      <c r="I634" s="190"/>
      <c r="J634" s="190"/>
      <c r="K634" s="190"/>
      <c r="L634" s="190"/>
    </row>
    <row r="635">
      <c r="A635" s="190"/>
      <c r="B635" s="190"/>
      <c r="C635" s="190"/>
      <c r="D635" s="190"/>
      <c r="E635" s="190"/>
      <c r="F635" s="190"/>
      <c r="G635" s="190"/>
      <c r="H635" s="190"/>
      <c r="I635" s="190"/>
      <c r="J635" s="190"/>
      <c r="K635" s="190"/>
      <c r="L635" s="190"/>
    </row>
    <row r="636">
      <c r="A636" s="190"/>
      <c r="B636" s="190"/>
      <c r="C636" s="190"/>
      <c r="D636" s="190"/>
      <c r="E636" s="190"/>
      <c r="F636" s="190"/>
      <c r="G636" s="190"/>
      <c r="H636" s="190"/>
      <c r="I636" s="190"/>
      <c r="J636" s="190"/>
      <c r="K636" s="190"/>
      <c r="L636" s="190"/>
    </row>
    <row r="637">
      <c r="A637" s="190"/>
      <c r="B637" s="190"/>
      <c r="C637" s="190"/>
      <c r="D637" s="190"/>
      <c r="E637" s="190"/>
      <c r="F637" s="190"/>
      <c r="G637" s="190"/>
      <c r="H637" s="190"/>
      <c r="I637" s="190"/>
      <c r="J637" s="190"/>
      <c r="K637" s="190"/>
      <c r="L637" s="190"/>
    </row>
    <row r="638">
      <c r="A638" s="190"/>
      <c r="B638" s="190"/>
      <c r="C638" s="190"/>
      <c r="D638" s="190"/>
      <c r="E638" s="190"/>
      <c r="F638" s="190"/>
      <c r="G638" s="190"/>
      <c r="H638" s="190"/>
      <c r="I638" s="190"/>
      <c r="J638" s="190"/>
      <c r="K638" s="190"/>
      <c r="L638" s="190"/>
    </row>
    <row r="639">
      <c r="A639" s="190"/>
      <c r="B639" s="190"/>
      <c r="C639" s="190"/>
      <c r="D639" s="190"/>
      <c r="E639" s="190"/>
      <c r="F639" s="190"/>
      <c r="G639" s="190"/>
      <c r="H639" s="190"/>
      <c r="I639" s="190"/>
      <c r="J639" s="190"/>
      <c r="K639" s="190"/>
      <c r="L639" s="190"/>
    </row>
    <row r="640">
      <c r="A640" s="190"/>
      <c r="B640" s="190"/>
      <c r="C640" s="190"/>
      <c r="D640" s="190"/>
      <c r="E640" s="190"/>
      <c r="F640" s="190"/>
      <c r="G640" s="190"/>
      <c r="H640" s="190"/>
      <c r="I640" s="190"/>
      <c r="J640" s="190"/>
      <c r="K640" s="190"/>
      <c r="L640" s="190"/>
    </row>
    <row r="641">
      <c r="A641" s="190"/>
      <c r="B641" s="190"/>
      <c r="C641" s="190"/>
      <c r="D641" s="190"/>
      <c r="E641" s="190"/>
      <c r="F641" s="190"/>
      <c r="G641" s="190"/>
      <c r="H641" s="190"/>
      <c r="I641" s="190"/>
      <c r="J641" s="190"/>
      <c r="K641" s="190"/>
      <c r="L641" s="190"/>
    </row>
    <row r="642">
      <c r="A642" s="190"/>
      <c r="B642" s="190"/>
      <c r="C642" s="190"/>
      <c r="D642" s="190"/>
      <c r="E642" s="190"/>
      <c r="F642" s="190"/>
      <c r="G642" s="190"/>
      <c r="H642" s="190"/>
      <c r="I642" s="190"/>
      <c r="J642" s="190"/>
      <c r="K642" s="190"/>
      <c r="L642" s="190"/>
    </row>
    <row r="643">
      <c r="A643" s="190"/>
      <c r="B643" s="190"/>
      <c r="C643" s="190"/>
      <c r="D643" s="190"/>
      <c r="E643" s="190"/>
      <c r="F643" s="190"/>
      <c r="G643" s="190"/>
      <c r="H643" s="190"/>
      <c r="I643" s="190"/>
      <c r="J643" s="190"/>
      <c r="K643" s="190"/>
      <c r="L643" s="190"/>
    </row>
    <row r="644">
      <c r="A644" s="190"/>
      <c r="B644" s="190"/>
      <c r="C644" s="190"/>
      <c r="D644" s="190"/>
      <c r="E644" s="190"/>
      <c r="F644" s="190"/>
      <c r="G644" s="190"/>
      <c r="H644" s="190"/>
      <c r="I644" s="190"/>
      <c r="J644" s="190"/>
      <c r="K644" s="190"/>
      <c r="L644" s="190"/>
    </row>
    <row r="645">
      <c r="A645" s="190"/>
      <c r="B645" s="190"/>
      <c r="C645" s="190"/>
      <c r="D645" s="190"/>
      <c r="E645" s="190"/>
      <c r="F645" s="190"/>
      <c r="G645" s="190"/>
      <c r="H645" s="190"/>
      <c r="I645" s="190"/>
      <c r="J645" s="190"/>
      <c r="K645" s="190"/>
      <c r="L645" s="190"/>
    </row>
    <row r="646">
      <c r="A646" s="190"/>
      <c r="B646" s="190"/>
      <c r="C646" s="190"/>
      <c r="D646" s="190"/>
      <c r="E646" s="190"/>
      <c r="F646" s="190"/>
      <c r="G646" s="190"/>
      <c r="H646" s="190"/>
      <c r="I646" s="190"/>
      <c r="J646" s="190"/>
      <c r="K646" s="190"/>
      <c r="L646" s="190"/>
    </row>
    <row r="647">
      <c r="A647" s="190"/>
      <c r="B647" s="190"/>
      <c r="C647" s="190"/>
      <c r="D647" s="190"/>
      <c r="E647" s="190"/>
      <c r="F647" s="190"/>
      <c r="G647" s="190"/>
      <c r="H647" s="190"/>
      <c r="I647" s="190"/>
      <c r="J647" s="190"/>
      <c r="K647" s="190"/>
      <c r="L647" s="190"/>
    </row>
    <row r="648">
      <c r="A648" s="190"/>
      <c r="B648" s="190"/>
      <c r="C648" s="190"/>
      <c r="D648" s="190"/>
      <c r="E648" s="190"/>
      <c r="F648" s="190"/>
      <c r="G648" s="190"/>
      <c r="H648" s="190"/>
      <c r="I648" s="190"/>
      <c r="J648" s="190"/>
      <c r="K648" s="190"/>
      <c r="L648" s="190"/>
    </row>
    <row r="649">
      <c r="A649" s="190"/>
      <c r="B649" s="190"/>
      <c r="C649" s="190"/>
      <c r="D649" s="190"/>
      <c r="E649" s="190"/>
      <c r="F649" s="190"/>
      <c r="G649" s="190"/>
      <c r="H649" s="190"/>
      <c r="I649" s="190"/>
      <c r="J649" s="190"/>
      <c r="K649" s="190"/>
      <c r="L649" s="190"/>
    </row>
    <row r="650">
      <c r="A650" s="190"/>
      <c r="B650" s="190"/>
      <c r="C650" s="190"/>
      <c r="D650" s="190"/>
      <c r="E650" s="190"/>
      <c r="F650" s="190"/>
      <c r="G650" s="190"/>
      <c r="H650" s="190"/>
      <c r="I650" s="190"/>
      <c r="J650" s="190"/>
      <c r="K650" s="190"/>
      <c r="L650" s="190"/>
    </row>
    <row r="651">
      <c r="A651" s="190"/>
      <c r="B651" s="190"/>
      <c r="C651" s="190"/>
      <c r="D651" s="190"/>
      <c r="E651" s="190"/>
      <c r="F651" s="190"/>
      <c r="G651" s="190"/>
      <c r="H651" s="190"/>
      <c r="I651" s="190"/>
      <c r="J651" s="190"/>
      <c r="K651" s="190"/>
      <c r="L651" s="190"/>
    </row>
    <row r="652">
      <c r="A652" s="190"/>
      <c r="B652" s="190"/>
      <c r="C652" s="190"/>
      <c r="D652" s="190"/>
      <c r="E652" s="190"/>
      <c r="F652" s="190"/>
      <c r="G652" s="190"/>
      <c r="H652" s="190"/>
      <c r="I652" s="190"/>
      <c r="J652" s="190"/>
      <c r="K652" s="190"/>
      <c r="L652" s="190"/>
    </row>
    <row r="653">
      <c r="A653" s="190"/>
      <c r="B653" s="190"/>
      <c r="C653" s="190"/>
      <c r="D653" s="190"/>
      <c r="E653" s="190"/>
      <c r="F653" s="190"/>
      <c r="G653" s="190"/>
      <c r="H653" s="190"/>
      <c r="I653" s="190"/>
      <c r="J653" s="190"/>
      <c r="K653" s="190"/>
      <c r="L653" s="190"/>
    </row>
    <row r="654">
      <c r="A654" s="190"/>
      <c r="B654" s="190"/>
      <c r="C654" s="190"/>
      <c r="D654" s="190"/>
      <c r="E654" s="190"/>
      <c r="F654" s="190"/>
      <c r="G654" s="190"/>
      <c r="H654" s="190"/>
      <c r="I654" s="190"/>
      <c r="J654" s="190"/>
      <c r="K654" s="190"/>
      <c r="L654" s="190"/>
    </row>
    <row r="655">
      <c r="A655" s="190"/>
      <c r="B655" s="190"/>
      <c r="C655" s="190"/>
      <c r="D655" s="190"/>
      <c r="E655" s="190"/>
      <c r="F655" s="190"/>
      <c r="G655" s="190"/>
      <c r="H655" s="190"/>
      <c r="I655" s="190"/>
      <c r="J655" s="190"/>
      <c r="K655" s="190"/>
      <c r="L655" s="190"/>
    </row>
    <row r="656">
      <c r="A656" s="190"/>
      <c r="B656" s="190"/>
      <c r="C656" s="190"/>
      <c r="D656" s="190"/>
      <c r="E656" s="190"/>
      <c r="F656" s="190"/>
      <c r="G656" s="190"/>
      <c r="H656" s="190"/>
      <c r="I656" s="190"/>
      <c r="J656" s="190"/>
      <c r="K656" s="190"/>
      <c r="L656" s="190"/>
    </row>
    <row r="657">
      <c r="A657" s="190"/>
      <c r="B657" s="190"/>
      <c r="C657" s="190"/>
      <c r="D657" s="190"/>
      <c r="E657" s="190"/>
      <c r="F657" s="190"/>
      <c r="G657" s="190"/>
      <c r="H657" s="190"/>
      <c r="I657" s="190"/>
      <c r="J657" s="190"/>
      <c r="K657" s="190"/>
      <c r="L657" s="190"/>
    </row>
    <row r="658">
      <c r="A658" s="190"/>
      <c r="B658" s="190"/>
      <c r="C658" s="190"/>
      <c r="D658" s="190"/>
      <c r="E658" s="190"/>
      <c r="F658" s="190"/>
      <c r="G658" s="190"/>
      <c r="H658" s="190"/>
      <c r="I658" s="190"/>
      <c r="J658" s="190"/>
      <c r="K658" s="190"/>
      <c r="L658" s="190"/>
    </row>
    <row r="659">
      <c r="A659" s="190"/>
      <c r="B659" s="190"/>
      <c r="C659" s="190"/>
      <c r="D659" s="190"/>
      <c r="E659" s="190"/>
      <c r="F659" s="190"/>
      <c r="G659" s="190"/>
      <c r="H659" s="190"/>
      <c r="I659" s="190"/>
      <c r="J659" s="190"/>
      <c r="K659" s="190"/>
      <c r="L659" s="190"/>
    </row>
    <row r="660">
      <c r="A660" s="190"/>
      <c r="B660" s="190"/>
      <c r="C660" s="190"/>
      <c r="D660" s="190"/>
      <c r="E660" s="190"/>
      <c r="F660" s="190"/>
      <c r="G660" s="190"/>
      <c r="H660" s="190"/>
      <c r="I660" s="190"/>
      <c r="J660" s="190"/>
      <c r="K660" s="190"/>
      <c r="L660" s="190"/>
    </row>
    <row r="661">
      <c r="A661" s="190"/>
      <c r="B661" s="190"/>
      <c r="C661" s="190"/>
      <c r="D661" s="190"/>
      <c r="E661" s="190"/>
      <c r="F661" s="190"/>
      <c r="G661" s="190"/>
      <c r="H661" s="190"/>
      <c r="I661" s="190"/>
      <c r="J661" s="190"/>
      <c r="K661" s="190"/>
      <c r="L661" s="190"/>
    </row>
    <row r="662">
      <c r="A662" s="190"/>
      <c r="B662" s="190"/>
      <c r="C662" s="190"/>
      <c r="D662" s="190"/>
      <c r="E662" s="190"/>
      <c r="F662" s="190"/>
      <c r="G662" s="190"/>
      <c r="H662" s="190"/>
      <c r="I662" s="190"/>
      <c r="J662" s="190"/>
      <c r="K662" s="190"/>
      <c r="L662" s="190"/>
    </row>
    <row r="663">
      <c r="A663" s="190"/>
      <c r="B663" s="190"/>
      <c r="C663" s="190"/>
      <c r="D663" s="190"/>
      <c r="E663" s="190"/>
      <c r="F663" s="190"/>
      <c r="G663" s="190"/>
      <c r="H663" s="190"/>
      <c r="I663" s="190"/>
      <c r="J663" s="190"/>
      <c r="K663" s="190"/>
      <c r="L663" s="190"/>
    </row>
    <row r="664">
      <c r="A664" s="190"/>
      <c r="B664" s="190"/>
      <c r="C664" s="190"/>
      <c r="D664" s="190"/>
      <c r="E664" s="190"/>
      <c r="F664" s="190"/>
      <c r="G664" s="190"/>
      <c r="H664" s="190"/>
      <c r="I664" s="190"/>
      <c r="J664" s="190"/>
      <c r="K664" s="190"/>
      <c r="L664" s="190"/>
    </row>
    <row r="665">
      <c r="A665" s="190"/>
      <c r="B665" s="190"/>
      <c r="C665" s="190"/>
      <c r="D665" s="190"/>
      <c r="E665" s="190"/>
      <c r="F665" s="190"/>
      <c r="G665" s="190"/>
      <c r="H665" s="190"/>
      <c r="I665" s="190"/>
      <c r="J665" s="190"/>
      <c r="K665" s="190"/>
      <c r="L665" s="190"/>
    </row>
    <row r="666">
      <c r="A666" s="190"/>
      <c r="B666" s="190"/>
      <c r="C666" s="190"/>
      <c r="D666" s="190"/>
      <c r="E666" s="190"/>
      <c r="F666" s="190"/>
      <c r="G666" s="190"/>
      <c r="H666" s="190"/>
      <c r="I666" s="190"/>
      <c r="J666" s="190"/>
      <c r="K666" s="190"/>
      <c r="L666" s="190"/>
    </row>
    <row r="667">
      <c r="A667" s="190"/>
      <c r="B667" s="190"/>
      <c r="C667" s="190"/>
      <c r="D667" s="190"/>
      <c r="E667" s="190"/>
      <c r="F667" s="190"/>
      <c r="G667" s="190"/>
      <c r="H667" s="190"/>
      <c r="I667" s="190"/>
      <c r="J667" s="190"/>
      <c r="K667" s="190"/>
      <c r="L667" s="190"/>
    </row>
    <row r="668">
      <c r="A668" s="190"/>
      <c r="B668" s="190"/>
      <c r="C668" s="190"/>
      <c r="D668" s="190"/>
      <c r="E668" s="190"/>
      <c r="F668" s="190"/>
      <c r="G668" s="190"/>
      <c r="H668" s="190"/>
      <c r="I668" s="190"/>
      <c r="J668" s="190"/>
      <c r="K668" s="190"/>
      <c r="L668" s="190"/>
    </row>
    <row r="669">
      <c r="A669" s="190"/>
      <c r="B669" s="190"/>
      <c r="C669" s="190"/>
      <c r="D669" s="190"/>
      <c r="E669" s="190"/>
      <c r="F669" s="190"/>
      <c r="G669" s="190"/>
      <c r="H669" s="190"/>
      <c r="I669" s="190"/>
      <c r="J669" s="190"/>
      <c r="K669" s="190"/>
      <c r="L669" s="190"/>
    </row>
    <row r="670">
      <c r="A670" s="190"/>
      <c r="B670" s="190"/>
      <c r="C670" s="190"/>
      <c r="D670" s="190"/>
      <c r="E670" s="190"/>
      <c r="F670" s="190"/>
      <c r="G670" s="190"/>
      <c r="H670" s="190"/>
      <c r="I670" s="190"/>
      <c r="J670" s="190"/>
      <c r="K670" s="190"/>
      <c r="L670" s="190"/>
    </row>
    <row r="671">
      <c r="A671" s="190"/>
      <c r="B671" s="190"/>
      <c r="C671" s="190"/>
      <c r="D671" s="190"/>
      <c r="E671" s="190"/>
      <c r="F671" s="190"/>
      <c r="G671" s="190"/>
      <c r="H671" s="190"/>
      <c r="I671" s="190"/>
      <c r="J671" s="190"/>
      <c r="K671" s="190"/>
      <c r="L671" s="190"/>
    </row>
    <row r="672">
      <c r="A672" s="190"/>
      <c r="B672" s="190"/>
      <c r="C672" s="190"/>
      <c r="D672" s="190"/>
      <c r="E672" s="190"/>
      <c r="F672" s="190"/>
      <c r="G672" s="190"/>
      <c r="H672" s="190"/>
      <c r="I672" s="190"/>
      <c r="J672" s="190"/>
      <c r="K672" s="190"/>
      <c r="L672" s="190"/>
    </row>
    <row r="673">
      <c r="A673" s="190"/>
      <c r="B673" s="190"/>
      <c r="C673" s="190"/>
      <c r="D673" s="190"/>
      <c r="E673" s="190"/>
      <c r="F673" s="190"/>
      <c r="G673" s="190"/>
      <c r="H673" s="190"/>
      <c r="I673" s="190"/>
      <c r="J673" s="190"/>
      <c r="K673" s="190"/>
      <c r="L673" s="190"/>
    </row>
    <row r="674">
      <c r="A674" s="190"/>
      <c r="B674" s="190"/>
      <c r="C674" s="190"/>
      <c r="D674" s="190"/>
      <c r="E674" s="190"/>
      <c r="F674" s="190"/>
      <c r="G674" s="190"/>
      <c r="H674" s="190"/>
      <c r="I674" s="190"/>
      <c r="J674" s="190"/>
      <c r="K674" s="190"/>
      <c r="L674" s="190"/>
    </row>
    <row r="675">
      <c r="A675" s="190"/>
      <c r="B675" s="190"/>
      <c r="C675" s="190"/>
      <c r="D675" s="190"/>
      <c r="E675" s="190"/>
      <c r="F675" s="190"/>
      <c r="G675" s="190"/>
      <c r="H675" s="190"/>
      <c r="I675" s="190"/>
      <c r="J675" s="190"/>
      <c r="K675" s="190"/>
      <c r="L675" s="190"/>
    </row>
    <row r="676">
      <c r="A676" s="190"/>
      <c r="B676" s="190"/>
      <c r="C676" s="190"/>
      <c r="D676" s="190"/>
      <c r="E676" s="190"/>
      <c r="F676" s="190"/>
      <c r="G676" s="190"/>
      <c r="H676" s="190"/>
      <c r="I676" s="190"/>
      <c r="J676" s="190"/>
      <c r="K676" s="190"/>
      <c r="L676" s="190"/>
    </row>
    <row r="677">
      <c r="A677" s="190"/>
      <c r="B677" s="190"/>
      <c r="C677" s="190"/>
      <c r="D677" s="190"/>
      <c r="E677" s="190"/>
      <c r="F677" s="190"/>
      <c r="G677" s="190"/>
      <c r="H677" s="190"/>
      <c r="I677" s="190"/>
      <c r="J677" s="190"/>
      <c r="K677" s="190"/>
      <c r="L677" s="190"/>
    </row>
    <row r="678">
      <c r="A678" s="190"/>
      <c r="B678" s="190"/>
      <c r="C678" s="190"/>
      <c r="D678" s="190"/>
      <c r="E678" s="190"/>
      <c r="F678" s="190"/>
      <c r="G678" s="190"/>
      <c r="H678" s="190"/>
      <c r="I678" s="190"/>
      <c r="J678" s="190"/>
      <c r="K678" s="190"/>
      <c r="L678" s="190"/>
    </row>
    <row r="679">
      <c r="A679" s="190"/>
      <c r="B679" s="190"/>
      <c r="C679" s="190"/>
      <c r="D679" s="190"/>
      <c r="E679" s="190"/>
      <c r="F679" s="190"/>
      <c r="G679" s="190"/>
      <c r="H679" s="190"/>
      <c r="I679" s="190"/>
      <c r="J679" s="190"/>
      <c r="K679" s="190"/>
      <c r="L679" s="190"/>
    </row>
    <row r="680">
      <c r="A680" s="190"/>
      <c r="B680" s="190"/>
      <c r="C680" s="190"/>
      <c r="D680" s="190"/>
      <c r="E680" s="190"/>
      <c r="F680" s="190"/>
      <c r="G680" s="190"/>
      <c r="H680" s="190"/>
      <c r="I680" s="190"/>
      <c r="J680" s="190"/>
      <c r="K680" s="190"/>
      <c r="L680" s="190"/>
    </row>
    <row r="681">
      <c r="A681" s="190"/>
      <c r="B681" s="190"/>
      <c r="C681" s="190"/>
      <c r="D681" s="190"/>
      <c r="E681" s="190"/>
      <c r="F681" s="190"/>
      <c r="G681" s="190"/>
      <c r="H681" s="190"/>
      <c r="I681" s="190"/>
      <c r="J681" s="190"/>
      <c r="K681" s="190"/>
      <c r="L681" s="190"/>
    </row>
    <row r="682">
      <c r="A682" s="190"/>
      <c r="B682" s="190"/>
      <c r="C682" s="190"/>
      <c r="D682" s="190"/>
      <c r="E682" s="190"/>
      <c r="F682" s="190"/>
      <c r="G682" s="190"/>
      <c r="H682" s="190"/>
      <c r="I682" s="190"/>
      <c r="J682" s="190"/>
      <c r="K682" s="190"/>
      <c r="L682" s="190"/>
    </row>
    <row r="683">
      <c r="A683" s="190"/>
      <c r="B683" s="190"/>
      <c r="C683" s="190"/>
      <c r="D683" s="190"/>
      <c r="E683" s="190"/>
      <c r="F683" s="190"/>
      <c r="G683" s="190"/>
      <c r="H683" s="190"/>
      <c r="I683" s="190"/>
      <c r="J683" s="190"/>
      <c r="K683" s="190"/>
      <c r="L683" s="190"/>
    </row>
    <row r="684">
      <c r="A684" s="190"/>
      <c r="B684" s="190"/>
      <c r="C684" s="190"/>
      <c r="D684" s="190"/>
      <c r="E684" s="190"/>
      <c r="F684" s="190"/>
      <c r="G684" s="190"/>
      <c r="H684" s="190"/>
      <c r="I684" s="190"/>
      <c r="J684" s="190"/>
      <c r="K684" s="190"/>
      <c r="L684" s="190"/>
    </row>
    <row r="685">
      <c r="A685" s="190"/>
      <c r="B685" s="190"/>
      <c r="C685" s="190"/>
      <c r="D685" s="190"/>
      <c r="E685" s="190"/>
      <c r="F685" s="190"/>
      <c r="G685" s="190"/>
      <c r="H685" s="190"/>
      <c r="I685" s="190"/>
      <c r="J685" s="190"/>
      <c r="K685" s="190"/>
      <c r="L685" s="190"/>
    </row>
    <row r="686">
      <c r="A686" s="190"/>
      <c r="B686" s="190"/>
      <c r="C686" s="190"/>
      <c r="D686" s="190"/>
      <c r="E686" s="190"/>
      <c r="F686" s="190"/>
      <c r="G686" s="190"/>
      <c r="H686" s="190"/>
      <c r="I686" s="190"/>
      <c r="J686" s="190"/>
      <c r="K686" s="190"/>
      <c r="L686" s="190"/>
    </row>
    <row r="687">
      <c r="A687" s="190"/>
      <c r="B687" s="190"/>
      <c r="C687" s="190"/>
      <c r="D687" s="190"/>
      <c r="E687" s="190"/>
      <c r="F687" s="190"/>
      <c r="G687" s="190"/>
      <c r="H687" s="190"/>
      <c r="I687" s="190"/>
      <c r="J687" s="190"/>
      <c r="K687" s="190"/>
      <c r="L687" s="190"/>
    </row>
    <row r="688">
      <c r="A688" s="190"/>
      <c r="B688" s="190"/>
      <c r="C688" s="190"/>
      <c r="D688" s="190"/>
      <c r="E688" s="190"/>
      <c r="F688" s="190"/>
      <c r="G688" s="190"/>
      <c r="H688" s="190"/>
      <c r="I688" s="190"/>
      <c r="J688" s="190"/>
      <c r="K688" s="190"/>
      <c r="L688" s="190"/>
    </row>
    <row r="689">
      <c r="A689" s="190"/>
      <c r="B689" s="190"/>
      <c r="C689" s="190"/>
      <c r="D689" s="190"/>
      <c r="E689" s="190"/>
      <c r="F689" s="190"/>
      <c r="G689" s="190"/>
      <c r="H689" s="190"/>
      <c r="I689" s="190"/>
      <c r="J689" s="190"/>
      <c r="K689" s="190"/>
      <c r="L689" s="190"/>
    </row>
    <row r="690">
      <c r="A690" s="190"/>
      <c r="B690" s="190"/>
      <c r="C690" s="190"/>
      <c r="D690" s="190"/>
      <c r="E690" s="190"/>
      <c r="F690" s="190"/>
      <c r="G690" s="190"/>
      <c r="H690" s="190"/>
      <c r="I690" s="190"/>
      <c r="J690" s="190"/>
      <c r="K690" s="190"/>
      <c r="L690" s="190"/>
    </row>
    <row r="691">
      <c r="A691" s="190"/>
      <c r="B691" s="190"/>
      <c r="C691" s="190"/>
      <c r="D691" s="190"/>
      <c r="E691" s="190"/>
      <c r="F691" s="190"/>
      <c r="G691" s="190"/>
      <c r="H691" s="190"/>
      <c r="I691" s="190"/>
      <c r="J691" s="190"/>
      <c r="K691" s="190"/>
      <c r="L691" s="190"/>
    </row>
    <row r="692">
      <c r="A692" s="190"/>
      <c r="B692" s="190"/>
      <c r="C692" s="190"/>
      <c r="D692" s="190"/>
      <c r="E692" s="190"/>
      <c r="F692" s="190"/>
      <c r="G692" s="190"/>
      <c r="H692" s="190"/>
      <c r="I692" s="190"/>
      <c r="J692" s="190"/>
      <c r="K692" s="190"/>
      <c r="L692" s="190"/>
    </row>
    <row r="693">
      <c r="A693" s="190"/>
      <c r="B693" s="190"/>
      <c r="C693" s="190"/>
      <c r="D693" s="190"/>
      <c r="E693" s="190"/>
      <c r="F693" s="190"/>
      <c r="G693" s="190"/>
      <c r="H693" s="190"/>
      <c r="I693" s="190"/>
      <c r="J693" s="190"/>
      <c r="K693" s="190"/>
      <c r="L693" s="190"/>
    </row>
    <row r="694">
      <c r="A694" s="190"/>
      <c r="B694" s="190"/>
      <c r="C694" s="190"/>
      <c r="D694" s="190"/>
      <c r="E694" s="190"/>
      <c r="F694" s="190"/>
      <c r="G694" s="190"/>
      <c r="H694" s="190"/>
      <c r="I694" s="190"/>
      <c r="J694" s="190"/>
      <c r="K694" s="190"/>
      <c r="L694" s="190"/>
    </row>
    <row r="695">
      <c r="A695" s="190"/>
      <c r="B695" s="190"/>
      <c r="C695" s="190"/>
      <c r="D695" s="190"/>
      <c r="E695" s="190"/>
      <c r="F695" s="190"/>
      <c r="G695" s="190"/>
      <c r="H695" s="190"/>
      <c r="I695" s="190"/>
      <c r="J695" s="190"/>
      <c r="K695" s="190"/>
      <c r="L695" s="190"/>
    </row>
    <row r="696">
      <c r="A696" s="190"/>
      <c r="B696" s="190"/>
      <c r="C696" s="190"/>
      <c r="D696" s="190"/>
      <c r="E696" s="190"/>
      <c r="F696" s="190"/>
      <c r="G696" s="190"/>
      <c r="H696" s="190"/>
      <c r="I696" s="190"/>
      <c r="J696" s="190"/>
      <c r="K696" s="190"/>
      <c r="L696" s="190"/>
    </row>
    <row r="697">
      <c r="A697" s="190"/>
      <c r="B697" s="190"/>
      <c r="C697" s="190"/>
      <c r="D697" s="190"/>
      <c r="E697" s="190"/>
      <c r="F697" s="190"/>
      <c r="G697" s="190"/>
      <c r="H697" s="190"/>
      <c r="I697" s="190"/>
      <c r="J697" s="190"/>
      <c r="K697" s="190"/>
      <c r="L697" s="190"/>
    </row>
    <row r="698">
      <c r="A698" s="190"/>
      <c r="B698" s="190"/>
      <c r="C698" s="190"/>
      <c r="D698" s="190"/>
      <c r="E698" s="190"/>
      <c r="F698" s="190"/>
      <c r="G698" s="190"/>
      <c r="H698" s="190"/>
      <c r="I698" s="190"/>
      <c r="J698" s="190"/>
      <c r="K698" s="190"/>
      <c r="L698" s="190"/>
    </row>
    <row r="699">
      <c r="A699" s="190"/>
      <c r="B699" s="190"/>
      <c r="C699" s="190"/>
      <c r="D699" s="190"/>
      <c r="E699" s="190"/>
      <c r="F699" s="190"/>
      <c r="G699" s="190"/>
      <c r="H699" s="190"/>
      <c r="I699" s="190"/>
      <c r="J699" s="190"/>
      <c r="K699" s="190"/>
      <c r="L699" s="190"/>
    </row>
    <row r="700">
      <c r="A700" s="190"/>
      <c r="B700" s="190"/>
      <c r="C700" s="190"/>
      <c r="D700" s="190"/>
      <c r="E700" s="190"/>
      <c r="F700" s="190"/>
      <c r="G700" s="190"/>
      <c r="H700" s="190"/>
      <c r="I700" s="190"/>
      <c r="J700" s="190"/>
      <c r="K700" s="190"/>
      <c r="L700" s="190"/>
    </row>
    <row r="701">
      <c r="A701" s="190"/>
      <c r="B701" s="190"/>
      <c r="C701" s="190"/>
      <c r="D701" s="190"/>
      <c r="E701" s="190"/>
      <c r="F701" s="190"/>
      <c r="G701" s="190"/>
      <c r="H701" s="190"/>
      <c r="I701" s="190"/>
      <c r="J701" s="190"/>
      <c r="K701" s="190"/>
      <c r="L701" s="190"/>
    </row>
    <row r="702">
      <c r="A702" s="190"/>
      <c r="B702" s="190"/>
      <c r="C702" s="190"/>
      <c r="D702" s="190"/>
      <c r="E702" s="190"/>
      <c r="F702" s="190"/>
      <c r="G702" s="190"/>
      <c r="H702" s="190"/>
      <c r="I702" s="190"/>
      <c r="J702" s="190"/>
      <c r="K702" s="190"/>
      <c r="L702" s="190"/>
    </row>
    <row r="703">
      <c r="A703" s="190"/>
      <c r="B703" s="190"/>
      <c r="C703" s="190"/>
      <c r="D703" s="190"/>
      <c r="E703" s="190"/>
      <c r="F703" s="190"/>
      <c r="G703" s="190"/>
      <c r="H703" s="190"/>
      <c r="I703" s="190"/>
      <c r="J703" s="190"/>
      <c r="K703" s="190"/>
      <c r="L703" s="190"/>
    </row>
    <row r="704">
      <c r="A704" s="190"/>
      <c r="B704" s="190"/>
      <c r="C704" s="190"/>
      <c r="D704" s="190"/>
      <c r="E704" s="190"/>
      <c r="F704" s="190"/>
      <c r="G704" s="190"/>
      <c r="H704" s="190"/>
      <c r="I704" s="190"/>
      <c r="J704" s="190"/>
      <c r="K704" s="190"/>
      <c r="L704" s="190"/>
    </row>
    <row r="705">
      <c r="A705" s="190"/>
      <c r="B705" s="190"/>
      <c r="C705" s="190"/>
      <c r="D705" s="190"/>
      <c r="E705" s="190"/>
      <c r="F705" s="190"/>
      <c r="G705" s="190"/>
      <c r="H705" s="190"/>
      <c r="I705" s="190"/>
      <c r="J705" s="190"/>
      <c r="K705" s="190"/>
      <c r="L705" s="190"/>
    </row>
    <row r="706">
      <c r="A706" s="190"/>
      <c r="B706" s="190"/>
      <c r="C706" s="190"/>
      <c r="D706" s="190"/>
      <c r="E706" s="190"/>
      <c r="F706" s="190"/>
      <c r="G706" s="190"/>
      <c r="H706" s="190"/>
      <c r="I706" s="190"/>
      <c r="J706" s="190"/>
      <c r="K706" s="190"/>
      <c r="L706" s="190"/>
    </row>
    <row r="707">
      <c r="A707" s="190"/>
      <c r="B707" s="190"/>
      <c r="C707" s="190"/>
      <c r="D707" s="190"/>
      <c r="E707" s="190"/>
      <c r="F707" s="190"/>
      <c r="G707" s="190"/>
      <c r="H707" s="190"/>
      <c r="I707" s="190"/>
      <c r="J707" s="190"/>
      <c r="K707" s="190"/>
      <c r="L707" s="190"/>
    </row>
    <row r="708">
      <c r="A708" s="190"/>
      <c r="B708" s="190"/>
      <c r="C708" s="190"/>
      <c r="D708" s="190"/>
      <c r="E708" s="190"/>
      <c r="F708" s="190"/>
      <c r="G708" s="190"/>
      <c r="H708" s="190"/>
      <c r="I708" s="190"/>
      <c r="J708" s="190"/>
      <c r="K708" s="190"/>
      <c r="L708" s="190"/>
    </row>
    <row r="709">
      <c r="A709" s="190"/>
      <c r="B709" s="190"/>
      <c r="C709" s="190"/>
      <c r="D709" s="190"/>
      <c r="E709" s="190"/>
      <c r="F709" s="190"/>
      <c r="G709" s="190"/>
      <c r="H709" s="190"/>
      <c r="I709" s="190"/>
      <c r="J709" s="190"/>
      <c r="K709" s="190"/>
      <c r="L709" s="190"/>
    </row>
    <row r="710">
      <c r="A710" s="190"/>
      <c r="B710" s="190"/>
      <c r="C710" s="190"/>
      <c r="D710" s="190"/>
      <c r="E710" s="190"/>
      <c r="F710" s="190"/>
      <c r="G710" s="190"/>
      <c r="H710" s="190"/>
      <c r="I710" s="190"/>
      <c r="J710" s="190"/>
      <c r="K710" s="190"/>
      <c r="L710" s="190"/>
    </row>
    <row r="711">
      <c r="A711" s="190"/>
      <c r="B711" s="190"/>
      <c r="C711" s="190"/>
      <c r="D711" s="190"/>
      <c r="E711" s="190"/>
      <c r="F711" s="190"/>
      <c r="G711" s="190"/>
      <c r="H711" s="190"/>
      <c r="I711" s="190"/>
      <c r="J711" s="190"/>
      <c r="K711" s="190"/>
      <c r="L711" s="190"/>
    </row>
    <row r="712">
      <c r="A712" s="190"/>
      <c r="B712" s="190"/>
      <c r="C712" s="190"/>
      <c r="D712" s="190"/>
      <c r="E712" s="190"/>
      <c r="F712" s="190"/>
      <c r="G712" s="190"/>
      <c r="H712" s="190"/>
      <c r="I712" s="190"/>
      <c r="J712" s="190"/>
      <c r="K712" s="190"/>
      <c r="L712" s="190"/>
    </row>
    <row r="713">
      <c r="A713" s="190"/>
      <c r="B713" s="190"/>
      <c r="C713" s="190"/>
      <c r="D713" s="190"/>
      <c r="E713" s="190"/>
      <c r="F713" s="190"/>
      <c r="G713" s="190"/>
      <c r="H713" s="190"/>
      <c r="I713" s="190"/>
      <c r="J713" s="190"/>
      <c r="K713" s="190"/>
      <c r="L713" s="190"/>
    </row>
    <row r="714">
      <c r="A714" s="190"/>
      <c r="B714" s="190"/>
      <c r="C714" s="190"/>
      <c r="D714" s="190"/>
      <c r="E714" s="190"/>
      <c r="F714" s="190"/>
      <c r="G714" s="190"/>
      <c r="H714" s="190"/>
      <c r="I714" s="190"/>
      <c r="J714" s="190"/>
      <c r="K714" s="190"/>
      <c r="L714" s="190"/>
    </row>
    <row r="715">
      <c r="A715" s="190"/>
      <c r="B715" s="190"/>
      <c r="C715" s="190"/>
      <c r="D715" s="190"/>
      <c r="E715" s="190"/>
      <c r="F715" s="190"/>
      <c r="G715" s="190"/>
      <c r="H715" s="190"/>
      <c r="I715" s="190"/>
      <c r="J715" s="190"/>
      <c r="K715" s="190"/>
      <c r="L715" s="190"/>
    </row>
    <row r="716">
      <c r="A716" s="190"/>
      <c r="B716" s="190"/>
      <c r="C716" s="190"/>
      <c r="D716" s="190"/>
      <c r="E716" s="190"/>
      <c r="F716" s="190"/>
      <c r="G716" s="190"/>
      <c r="H716" s="190"/>
      <c r="I716" s="190"/>
      <c r="J716" s="190"/>
      <c r="K716" s="190"/>
      <c r="L716" s="190"/>
    </row>
    <row r="717">
      <c r="A717" s="190"/>
      <c r="B717" s="190"/>
      <c r="C717" s="190"/>
      <c r="D717" s="190"/>
      <c r="E717" s="190"/>
      <c r="F717" s="190"/>
      <c r="G717" s="190"/>
      <c r="H717" s="190"/>
      <c r="I717" s="190"/>
      <c r="J717" s="190"/>
      <c r="K717" s="190"/>
      <c r="L717" s="190"/>
    </row>
    <row r="718">
      <c r="A718" s="190"/>
      <c r="B718" s="190"/>
      <c r="C718" s="190"/>
      <c r="D718" s="190"/>
      <c r="E718" s="190"/>
      <c r="F718" s="190"/>
      <c r="G718" s="190"/>
      <c r="H718" s="190"/>
      <c r="I718" s="190"/>
      <c r="J718" s="190"/>
      <c r="K718" s="190"/>
      <c r="L718" s="190"/>
    </row>
    <row r="719">
      <c r="A719" s="190"/>
      <c r="B719" s="190"/>
      <c r="C719" s="190"/>
      <c r="D719" s="190"/>
      <c r="E719" s="190"/>
      <c r="F719" s="190"/>
      <c r="G719" s="190"/>
      <c r="H719" s="190"/>
      <c r="I719" s="190"/>
      <c r="J719" s="190"/>
      <c r="K719" s="190"/>
      <c r="L719" s="190"/>
    </row>
    <row r="720">
      <c r="A720" s="190"/>
      <c r="B720" s="190"/>
      <c r="C720" s="190"/>
      <c r="D720" s="190"/>
      <c r="E720" s="190"/>
      <c r="F720" s="190"/>
      <c r="G720" s="190"/>
      <c r="H720" s="190"/>
      <c r="I720" s="190"/>
      <c r="J720" s="190"/>
      <c r="K720" s="190"/>
      <c r="L720" s="190"/>
    </row>
    <row r="721">
      <c r="A721" s="190"/>
      <c r="B721" s="190"/>
      <c r="C721" s="190"/>
      <c r="D721" s="190"/>
      <c r="E721" s="190"/>
      <c r="F721" s="190"/>
      <c r="G721" s="190"/>
      <c r="H721" s="190"/>
      <c r="I721" s="190"/>
      <c r="J721" s="190"/>
      <c r="K721" s="190"/>
      <c r="L721" s="190"/>
    </row>
    <row r="722">
      <c r="A722" s="190"/>
      <c r="B722" s="190"/>
      <c r="C722" s="190"/>
      <c r="D722" s="190"/>
      <c r="E722" s="190"/>
      <c r="F722" s="190"/>
      <c r="G722" s="190"/>
      <c r="H722" s="190"/>
      <c r="I722" s="190"/>
      <c r="J722" s="190"/>
      <c r="K722" s="190"/>
      <c r="L722" s="190"/>
    </row>
    <row r="723">
      <c r="A723" s="190"/>
      <c r="B723" s="190"/>
      <c r="C723" s="190"/>
      <c r="D723" s="190"/>
      <c r="E723" s="190"/>
      <c r="F723" s="190"/>
      <c r="G723" s="190"/>
      <c r="H723" s="190"/>
      <c r="I723" s="190"/>
      <c r="J723" s="190"/>
      <c r="K723" s="190"/>
      <c r="L723" s="190"/>
    </row>
    <row r="724">
      <c r="A724" s="190"/>
      <c r="B724" s="190"/>
      <c r="C724" s="190"/>
      <c r="D724" s="190"/>
      <c r="E724" s="190"/>
      <c r="F724" s="190"/>
      <c r="G724" s="190"/>
      <c r="H724" s="190"/>
      <c r="I724" s="190"/>
      <c r="J724" s="190"/>
      <c r="K724" s="190"/>
      <c r="L724" s="190"/>
    </row>
    <row r="725">
      <c r="A725" s="190"/>
      <c r="B725" s="190"/>
      <c r="C725" s="190"/>
      <c r="D725" s="190"/>
      <c r="E725" s="190"/>
      <c r="F725" s="190"/>
      <c r="G725" s="190"/>
      <c r="H725" s="190"/>
      <c r="I725" s="190"/>
      <c r="J725" s="190"/>
      <c r="K725" s="190"/>
      <c r="L725" s="190"/>
    </row>
    <row r="726">
      <c r="A726" s="190"/>
      <c r="B726" s="190"/>
      <c r="C726" s="190"/>
      <c r="D726" s="190"/>
      <c r="E726" s="190"/>
      <c r="F726" s="190"/>
      <c r="G726" s="190"/>
      <c r="H726" s="190"/>
      <c r="I726" s="190"/>
      <c r="J726" s="190"/>
      <c r="K726" s="190"/>
      <c r="L726" s="190"/>
    </row>
    <row r="727">
      <c r="A727" s="190"/>
      <c r="B727" s="190"/>
      <c r="C727" s="190"/>
      <c r="D727" s="190"/>
      <c r="E727" s="190"/>
      <c r="F727" s="190"/>
      <c r="G727" s="190"/>
      <c r="H727" s="190"/>
      <c r="I727" s="190"/>
      <c r="J727" s="190"/>
      <c r="K727" s="190"/>
      <c r="L727" s="190"/>
    </row>
    <row r="728">
      <c r="A728" s="190"/>
      <c r="B728" s="190"/>
      <c r="C728" s="190"/>
      <c r="D728" s="190"/>
      <c r="E728" s="190"/>
      <c r="F728" s="190"/>
      <c r="G728" s="190"/>
      <c r="H728" s="190"/>
      <c r="I728" s="190"/>
      <c r="J728" s="190"/>
      <c r="K728" s="190"/>
      <c r="L728" s="190"/>
    </row>
    <row r="729">
      <c r="A729" s="190"/>
      <c r="B729" s="190"/>
      <c r="C729" s="190"/>
      <c r="D729" s="190"/>
      <c r="E729" s="190"/>
      <c r="F729" s="190"/>
      <c r="G729" s="190"/>
      <c r="H729" s="190"/>
      <c r="I729" s="190"/>
      <c r="J729" s="190"/>
      <c r="K729" s="190"/>
      <c r="L729" s="190"/>
    </row>
    <row r="730">
      <c r="A730" s="190"/>
      <c r="B730" s="190"/>
      <c r="C730" s="190"/>
      <c r="D730" s="190"/>
      <c r="E730" s="190"/>
      <c r="F730" s="190"/>
      <c r="G730" s="190"/>
      <c r="H730" s="190"/>
      <c r="I730" s="190"/>
      <c r="J730" s="190"/>
      <c r="K730" s="190"/>
      <c r="L730" s="190"/>
    </row>
    <row r="731">
      <c r="A731" s="190"/>
      <c r="B731" s="190"/>
      <c r="C731" s="190"/>
      <c r="D731" s="190"/>
      <c r="E731" s="190"/>
      <c r="F731" s="190"/>
      <c r="G731" s="190"/>
      <c r="H731" s="190"/>
      <c r="I731" s="190"/>
      <c r="J731" s="190"/>
      <c r="K731" s="190"/>
      <c r="L731" s="190"/>
    </row>
    <row r="732">
      <c r="A732" s="190"/>
      <c r="B732" s="190"/>
      <c r="C732" s="190"/>
      <c r="D732" s="190"/>
      <c r="E732" s="190"/>
      <c r="F732" s="190"/>
      <c r="G732" s="190"/>
      <c r="H732" s="190"/>
      <c r="I732" s="190"/>
      <c r="J732" s="190"/>
      <c r="K732" s="190"/>
      <c r="L732" s="190"/>
    </row>
    <row r="733">
      <c r="A733" s="190"/>
      <c r="B733" s="190"/>
      <c r="C733" s="190"/>
      <c r="D733" s="190"/>
      <c r="E733" s="190"/>
      <c r="F733" s="190"/>
      <c r="G733" s="190"/>
      <c r="H733" s="190"/>
      <c r="I733" s="190"/>
      <c r="J733" s="190"/>
      <c r="K733" s="190"/>
      <c r="L733" s="190"/>
    </row>
    <row r="734">
      <c r="A734" s="190"/>
      <c r="B734" s="190"/>
      <c r="C734" s="190"/>
      <c r="D734" s="190"/>
      <c r="E734" s="190"/>
      <c r="F734" s="190"/>
      <c r="G734" s="190"/>
      <c r="H734" s="190"/>
      <c r="I734" s="190"/>
      <c r="J734" s="190"/>
      <c r="K734" s="190"/>
      <c r="L734" s="190"/>
    </row>
    <row r="735">
      <c r="A735" s="190"/>
      <c r="B735" s="190"/>
      <c r="C735" s="190"/>
      <c r="D735" s="190"/>
      <c r="E735" s="190"/>
      <c r="F735" s="190"/>
      <c r="G735" s="190"/>
      <c r="H735" s="190"/>
      <c r="I735" s="190"/>
      <c r="J735" s="190"/>
      <c r="K735" s="190"/>
      <c r="L735" s="190"/>
    </row>
    <row r="736">
      <c r="A736" s="190"/>
      <c r="B736" s="190"/>
      <c r="C736" s="190"/>
      <c r="D736" s="190"/>
      <c r="E736" s="190"/>
      <c r="F736" s="190"/>
      <c r="G736" s="190"/>
      <c r="H736" s="190"/>
      <c r="I736" s="190"/>
      <c r="J736" s="190"/>
      <c r="K736" s="190"/>
      <c r="L736" s="190"/>
    </row>
    <row r="737">
      <c r="A737" s="190"/>
      <c r="B737" s="190"/>
      <c r="C737" s="190"/>
      <c r="D737" s="190"/>
      <c r="E737" s="190"/>
      <c r="F737" s="190"/>
      <c r="G737" s="190"/>
      <c r="H737" s="190"/>
      <c r="I737" s="190"/>
      <c r="J737" s="190"/>
      <c r="K737" s="190"/>
      <c r="L737" s="190"/>
    </row>
    <row r="738">
      <c r="A738" s="190"/>
      <c r="B738" s="190"/>
      <c r="C738" s="190"/>
      <c r="D738" s="190"/>
      <c r="E738" s="190"/>
      <c r="F738" s="190"/>
      <c r="G738" s="190"/>
      <c r="H738" s="190"/>
      <c r="I738" s="190"/>
      <c r="J738" s="190"/>
      <c r="K738" s="190"/>
      <c r="L738" s="190"/>
    </row>
    <row r="739">
      <c r="A739" s="190"/>
      <c r="B739" s="190"/>
      <c r="C739" s="190"/>
      <c r="D739" s="190"/>
      <c r="E739" s="190"/>
      <c r="F739" s="190"/>
      <c r="G739" s="190"/>
      <c r="H739" s="190"/>
      <c r="I739" s="190"/>
      <c r="J739" s="190"/>
      <c r="K739" s="190"/>
      <c r="L739" s="190"/>
    </row>
    <row r="740">
      <c r="A740" s="190"/>
      <c r="B740" s="190"/>
      <c r="C740" s="190"/>
      <c r="D740" s="190"/>
      <c r="E740" s="190"/>
      <c r="F740" s="190"/>
      <c r="G740" s="190"/>
      <c r="H740" s="190"/>
      <c r="I740" s="190"/>
      <c r="J740" s="190"/>
      <c r="K740" s="190"/>
      <c r="L740" s="190"/>
    </row>
    <row r="741">
      <c r="A741" s="190"/>
      <c r="B741" s="190"/>
      <c r="C741" s="190"/>
      <c r="D741" s="190"/>
      <c r="E741" s="190"/>
      <c r="F741" s="190"/>
      <c r="G741" s="190"/>
      <c r="H741" s="190"/>
      <c r="I741" s="190"/>
      <c r="J741" s="190"/>
      <c r="K741" s="190"/>
      <c r="L741" s="190"/>
    </row>
    <row r="742">
      <c r="A742" s="190"/>
      <c r="B742" s="190"/>
      <c r="C742" s="190"/>
      <c r="D742" s="190"/>
      <c r="E742" s="190"/>
      <c r="F742" s="190"/>
      <c r="G742" s="190"/>
      <c r="H742" s="190"/>
      <c r="I742" s="190"/>
      <c r="J742" s="190"/>
      <c r="K742" s="190"/>
      <c r="L742" s="190"/>
    </row>
    <row r="743">
      <c r="A743" s="190"/>
      <c r="B743" s="190"/>
      <c r="C743" s="190"/>
      <c r="D743" s="190"/>
      <c r="E743" s="190"/>
      <c r="F743" s="190"/>
      <c r="G743" s="190"/>
      <c r="H743" s="190"/>
      <c r="I743" s="190"/>
      <c r="J743" s="190"/>
      <c r="K743" s="190"/>
      <c r="L743" s="190"/>
    </row>
    <row r="744">
      <c r="A744" s="190"/>
      <c r="B744" s="190"/>
      <c r="C744" s="190"/>
      <c r="D744" s="190"/>
      <c r="E744" s="190"/>
      <c r="F744" s="190"/>
      <c r="G744" s="190"/>
      <c r="H744" s="190"/>
      <c r="I744" s="190"/>
      <c r="J744" s="190"/>
      <c r="K744" s="190"/>
      <c r="L744" s="190"/>
    </row>
    <row r="745">
      <c r="A745" s="190"/>
      <c r="B745" s="190"/>
      <c r="C745" s="190"/>
      <c r="D745" s="190"/>
      <c r="E745" s="190"/>
      <c r="F745" s="190"/>
      <c r="G745" s="190"/>
      <c r="H745" s="190"/>
      <c r="I745" s="190"/>
      <c r="J745" s="190"/>
      <c r="K745" s="190"/>
      <c r="L745" s="190"/>
    </row>
    <row r="746">
      <c r="A746" s="190"/>
      <c r="B746" s="190"/>
      <c r="C746" s="190"/>
      <c r="D746" s="190"/>
      <c r="E746" s="190"/>
      <c r="F746" s="190"/>
      <c r="G746" s="190"/>
      <c r="H746" s="190"/>
      <c r="I746" s="190"/>
      <c r="J746" s="190"/>
      <c r="K746" s="190"/>
      <c r="L746" s="190"/>
    </row>
    <row r="747">
      <c r="A747" s="190"/>
      <c r="B747" s="190"/>
      <c r="C747" s="190"/>
      <c r="D747" s="190"/>
      <c r="E747" s="190"/>
      <c r="F747" s="190"/>
      <c r="G747" s="190"/>
      <c r="H747" s="190"/>
      <c r="I747" s="190"/>
      <c r="J747" s="190"/>
      <c r="K747" s="190"/>
      <c r="L747" s="190"/>
    </row>
    <row r="748">
      <c r="A748" s="190"/>
      <c r="B748" s="190"/>
      <c r="C748" s="190"/>
      <c r="D748" s="190"/>
      <c r="E748" s="190"/>
      <c r="F748" s="190"/>
      <c r="G748" s="190"/>
      <c r="H748" s="190"/>
      <c r="I748" s="190"/>
      <c r="J748" s="190"/>
      <c r="K748" s="190"/>
      <c r="L748" s="190"/>
    </row>
    <row r="749">
      <c r="A749" s="190"/>
      <c r="B749" s="190"/>
      <c r="C749" s="190"/>
      <c r="D749" s="190"/>
      <c r="E749" s="190"/>
      <c r="F749" s="190"/>
      <c r="G749" s="190"/>
      <c r="H749" s="190"/>
      <c r="I749" s="190"/>
      <c r="J749" s="190"/>
      <c r="K749" s="190"/>
      <c r="L749" s="190"/>
    </row>
    <row r="750">
      <c r="A750" s="190"/>
      <c r="B750" s="190"/>
      <c r="C750" s="190"/>
      <c r="D750" s="190"/>
      <c r="E750" s="190"/>
      <c r="F750" s="190"/>
      <c r="G750" s="190"/>
      <c r="H750" s="190"/>
      <c r="I750" s="190"/>
      <c r="J750" s="190"/>
      <c r="K750" s="190"/>
      <c r="L750" s="190"/>
    </row>
    <row r="751">
      <c r="A751" s="190"/>
      <c r="B751" s="190"/>
      <c r="C751" s="190"/>
      <c r="D751" s="190"/>
      <c r="E751" s="190"/>
      <c r="F751" s="190"/>
      <c r="G751" s="190"/>
      <c r="H751" s="190"/>
      <c r="I751" s="190"/>
      <c r="J751" s="190"/>
      <c r="K751" s="190"/>
      <c r="L751" s="190"/>
    </row>
    <row r="752">
      <c r="A752" s="190"/>
      <c r="B752" s="190"/>
      <c r="C752" s="190"/>
      <c r="D752" s="190"/>
      <c r="E752" s="190"/>
      <c r="F752" s="190"/>
      <c r="G752" s="190"/>
      <c r="H752" s="190"/>
      <c r="I752" s="190"/>
      <c r="J752" s="190"/>
      <c r="K752" s="190"/>
      <c r="L752" s="190"/>
    </row>
    <row r="753">
      <c r="A753" s="190"/>
      <c r="B753" s="190"/>
      <c r="C753" s="190"/>
      <c r="D753" s="190"/>
      <c r="E753" s="190"/>
      <c r="F753" s="190"/>
      <c r="G753" s="190"/>
      <c r="H753" s="190"/>
      <c r="I753" s="190"/>
      <c r="J753" s="190"/>
      <c r="K753" s="190"/>
      <c r="L753" s="190"/>
    </row>
    <row r="754">
      <c r="A754" s="190"/>
      <c r="B754" s="190"/>
      <c r="C754" s="190"/>
      <c r="D754" s="190"/>
      <c r="E754" s="190"/>
      <c r="F754" s="190"/>
      <c r="G754" s="190"/>
      <c r="H754" s="190"/>
      <c r="I754" s="190"/>
      <c r="J754" s="190"/>
      <c r="K754" s="190"/>
      <c r="L754" s="190"/>
    </row>
    <row r="755">
      <c r="A755" s="190"/>
      <c r="B755" s="190"/>
      <c r="C755" s="190"/>
      <c r="D755" s="190"/>
      <c r="E755" s="190"/>
      <c r="F755" s="190"/>
      <c r="G755" s="190"/>
      <c r="H755" s="190"/>
      <c r="I755" s="190"/>
      <c r="J755" s="190"/>
      <c r="K755" s="190"/>
      <c r="L755" s="190"/>
    </row>
    <row r="756">
      <c r="A756" s="190"/>
      <c r="B756" s="190"/>
      <c r="C756" s="190"/>
      <c r="D756" s="190"/>
      <c r="E756" s="190"/>
      <c r="F756" s="190"/>
      <c r="G756" s="190"/>
      <c r="H756" s="190"/>
      <c r="I756" s="190"/>
      <c r="J756" s="190"/>
      <c r="K756" s="190"/>
      <c r="L756" s="190"/>
    </row>
    <row r="757">
      <c r="A757" s="190"/>
      <c r="B757" s="190"/>
      <c r="C757" s="190"/>
      <c r="D757" s="190"/>
      <c r="E757" s="190"/>
      <c r="F757" s="190"/>
      <c r="G757" s="190"/>
      <c r="H757" s="190"/>
      <c r="I757" s="190"/>
      <c r="J757" s="190"/>
      <c r="K757" s="190"/>
      <c r="L757" s="190"/>
    </row>
    <row r="758">
      <c r="A758" s="190"/>
      <c r="B758" s="190"/>
      <c r="C758" s="190"/>
      <c r="D758" s="190"/>
      <c r="E758" s="190"/>
      <c r="F758" s="190"/>
      <c r="G758" s="190"/>
      <c r="H758" s="190"/>
      <c r="I758" s="190"/>
      <c r="J758" s="190"/>
      <c r="K758" s="190"/>
      <c r="L758" s="190"/>
    </row>
    <row r="759">
      <c r="A759" s="190"/>
      <c r="B759" s="190"/>
      <c r="C759" s="190"/>
      <c r="D759" s="190"/>
      <c r="E759" s="190"/>
      <c r="F759" s="190"/>
      <c r="G759" s="190"/>
      <c r="H759" s="190"/>
      <c r="I759" s="190"/>
      <c r="J759" s="190"/>
      <c r="K759" s="190"/>
      <c r="L759" s="190"/>
    </row>
    <row r="760">
      <c r="A760" s="190"/>
      <c r="B760" s="190"/>
      <c r="C760" s="190"/>
      <c r="D760" s="190"/>
      <c r="E760" s="190"/>
      <c r="F760" s="190"/>
      <c r="G760" s="190"/>
      <c r="H760" s="190"/>
      <c r="I760" s="190"/>
      <c r="J760" s="190"/>
      <c r="K760" s="190"/>
      <c r="L760" s="190"/>
    </row>
    <row r="761">
      <c r="A761" s="190"/>
      <c r="B761" s="190"/>
      <c r="C761" s="190"/>
      <c r="D761" s="190"/>
      <c r="E761" s="190"/>
      <c r="F761" s="190"/>
      <c r="G761" s="190"/>
      <c r="H761" s="190"/>
      <c r="I761" s="190"/>
      <c r="J761" s="190"/>
      <c r="K761" s="190"/>
      <c r="L761" s="190"/>
    </row>
    <row r="762">
      <c r="A762" s="190"/>
      <c r="B762" s="190"/>
      <c r="C762" s="190"/>
      <c r="D762" s="190"/>
      <c r="E762" s="190"/>
      <c r="F762" s="190"/>
      <c r="G762" s="190"/>
      <c r="H762" s="190"/>
      <c r="I762" s="190"/>
      <c r="J762" s="190"/>
      <c r="K762" s="190"/>
      <c r="L762" s="190"/>
    </row>
    <row r="763">
      <c r="A763" s="190"/>
      <c r="B763" s="190"/>
      <c r="C763" s="190"/>
      <c r="D763" s="190"/>
      <c r="E763" s="190"/>
      <c r="F763" s="190"/>
      <c r="G763" s="190"/>
      <c r="H763" s="190"/>
      <c r="I763" s="190"/>
      <c r="J763" s="190"/>
      <c r="K763" s="190"/>
      <c r="L763" s="190"/>
    </row>
    <row r="764">
      <c r="A764" s="190"/>
      <c r="B764" s="190"/>
      <c r="C764" s="190"/>
      <c r="D764" s="190"/>
      <c r="E764" s="190"/>
      <c r="F764" s="190"/>
      <c r="G764" s="190"/>
      <c r="H764" s="190"/>
      <c r="I764" s="190"/>
      <c r="J764" s="190"/>
      <c r="K764" s="190"/>
      <c r="L764" s="190"/>
    </row>
    <row r="765">
      <c r="A765" s="190"/>
      <c r="B765" s="190"/>
      <c r="C765" s="190"/>
      <c r="D765" s="190"/>
      <c r="E765" s="190"/>
      <c r="F765" s="190"/>
      <c r="G765" s="190"/>
      <c r="H765" s="190"/>
      <c r="I765" s="190"/>
      <c r="J765" s="190"/>
      <c r="K765" s="190"/>
      <c r="L765" s="190"/>
    </row>
    <row r="766">
      <c r="A766" s="190"/>
      <c r="B766" s="190"/>
      <c r="C766" s="190"/>
      <c r="D766" s="190"/>
      <c r="E766" s="190"/>
      <c r="F766" s="190"/>
      <c r="G766" s="190"/>
      <c r="H766" s="190"/>
      <c r="I766" s="190"/>
      <c r="J766" s="190"/>
      <c r="K766" s="190"/>
      <c r="L766" s="190"/>
    </row>
    <row r="767">
      <c r="A767" s="190"/>
      <c r="B767" s="190"/>
      <c r="C767" s="190"/>
      <c r="D767" s="190"/>
      <c r="E767" s="190"/>
      <c r="F767" s="190"/>
      <c r="G767" s="190"/>
      <c r="H767" s="190"/>
      <c r="I767" s="190"/>
      <c r="J767" s="190"/>
      <c r="K767" s="190"/>
      <c r="L767" s="190"/>
    </row>
    <row r="768">
      <c r="A768" s="190"/>
      <c r="B768" s="190"/>
      <c r="C768" s="190"/>
      <c r="D768" s="190"/>
      <c r="E768" s="190"/>
      <c r="F768" s="190"/>
      <c r="G768" s="190"/>
      <c r="H768" s="190"/>
      <c r="I768" s="190"/>
      <c r="J768" s="190"/>
      <c r="K768" s="190"/>
      <c r="L768" s="190"/>
    </row>
    <row r="769">
      <c r="A769" s="190"/>
      <c r="B769" s="190"/>
      <c r="C769" s="190"/>
      <c r="D769" s="190"/>
      <c r="E769" s="190"/>
      <c r="F769" s="190"/>
      <c r="G769" s="190"/>
      <c r="H769" s="190"/>
      <c r="I769" s="190"/>
      <c r="J769" s="190"/>
      <c r="K769" s="190"/>
      <c r="L769" s="190"/>
    </row>
    <row r="770">
      <c r="A770" s="190"/>
      <c r="B770" s="190"/>
      <c r="C770" s="190"/>
      <c r="D770" s="190"/>
      <c r="E770" s="190"/>
      <c r="F770" s="190"/>
      <c r="G770" s="190"/>
      <c r="H770" s="190"/>
      <c r="I770" s="190"/>
      <c r="J770" s="190"/>
      <c r="K770" s="190"/>
      <c r="L770" s="190"/>
    </row>
    <row r="771">
      <c r="A771" s="190"/>
      <c r="B771" s="190"/>
      <c r="C771" s="190"/>
      <c r="D771" s="190"/>
      <c r="E771" s="190"/>
      <c r="F771" s="190"/>
      <c r="G771" s="190"/>
      <c r="H771" s="190"/>
      <c r="I771" s="190"/>
      <c r="J771" s="190"/>
      <c r="K771" s="190"/>
      <c r="L771" s="190"/>
    </row>
    <row r="772">
      <c r="A772" s="190"/>
      <c r="B772" s="190"/>
      <c r="C772" s="190"/>
      <c r="D772" s="190"/>
      <c r="E772" s="190"/>
      <c r="F772" s="190"/>
      <c r="G772" s="190"/>
      <c r="H772" s="190"/>
      <c r="I772" s="190"/>
      <c r="J772" s="190"/>
      <c r="K772" s="190"/>
      <c r="L772" s="190"/>
    </row>
    <row r="773">
      <c r="A773" s="190"/>
      <c r="B773" s="190"/>
      <c r="C773" s="190"/>
      <c r="D773" s="190"/>
      <c r="E773" s="190"/>
      <c r="F773" s="190"/>
      <c r="G773" s="190"/>
      <c r="H773" s="190"/>
      <c r="I773" s="190"/>
      <c r="J773" s="190"/>
      <c r="K773" s="190"/>
      <c r="L773" s="190"/>
    </row>
    <row r="774">
      <c r="A774" s="190"/>
      <c r="B774" s="190"/>
      <c r="C774" s="190"/>
      <c r="D774" s="190"/>
      <c r="E774" s="190"/>
      <c r="F774" s="190"/>
      <c r="G774" s="190"/>
      <c r="H774" s="190"/>
      <c r="I774" s="190"/>
      <c r="J774" s="190"/>
      <c r="K774" s="190"/>
      <c r="L774" s="190"/>
    </row>
    <row r="775">
      <c r="A775" s="190"/>
      <c r="B775" s="190"/>
      <c r="C775" s="190"/>
      <c r="D775" s="190"/>
      <c r="E775" s="190"/>
      <c r="F775" s="190"/>
      <c r="G775" s="190"/>
      <c r="H775" s="190"/>
      <c r="I775" s="190"/>
      <c r="J775" s="190"/>
      <c r="K775" s="190"/>
      <c r="L775" s="190"/>
    </row>
    <row r="776">
      <c r="A776" s="190"/>
      <c r="B776" s="190"/>
      <c r="C776" s="190"/>
      <c r="D776" s="190"/>
      <c r="E776" s="190"/>
      <c r="F776" s="190"/>
      <c r="G776" s="190"/>
      <c r="H776" s="190"/>
      <c r="I776" s="190"/>
      <c r="J776" s="190"/>
      <c r="K776" s="190"/>
      <c r="L776" s="190"/>
    </row>
    <row r="777">
      <c r="A777" s="190"/>
      <c r="B777" s="190"/>
      <c r="C777" s="190"/>
      <c r="D777" s="190"/>
      <c r="E777" s="190"/>
      <c r="F777" s="190"/>
      <c r="G777" s="190"/>
      <c r="H777" s="190"/>
      <c r="I777" s="190"/>
      <c r="J777" s="190"/>
      <c r="K777" s="190"/>
      <c r="L777" s="190"/>
    </row>
    <row r="778">
      <c r="A778" s="190"/>
      <c r="B778" s="190"/>
      <c r="C778" s="190"/>
      <c r="D778" s="190"/>
      <c r="E778" s="190"/>
      <c r="F778" s="190"/>
      <c r="G778" s="190"/>
      <c r="H778" s="190"/>
      <c r="I778" s="190"/>
      <c r="J778" s="190"/>
      <c r="K778" s="190"/>
      <c r="L778" s="190"/>
    </row>
    <row r="779">
      <c r="A779" s="190"/>
      <c r="B779" s="190"/>
      <c r="C779" s="190"/>
      <c r="D779" s="190"/>
      <c r="E779" s="190"/>
      <c r="F779" s="190"/>
      <c r="G779" s="190"/>
      <c r="H779" s="190"/>
      <c r="I779" s="190"/>
      <c r="J779" s="190"/>
      <c r="K779" s="190"/>
      <c r="L779" s="190"/>
    </row>
    <row r="780">
      <c r="A780" s="190"/>
      <c r="B780" s="190"/>
      <c r="C780" s="190"/>
      <c r="D780" s="190"/>
      <c r="E780" s="190"/>
      <c r="F780" s="190"/>
      <c r="G780" s="190"/>
      <c r="H780" s="190"/>
      <c r="I780" s="190"/>
      <c r="J780" s="190"/>
      <c r="K780" s="190"/>
      <c r="L780" s="190"/>
    </row>
    <row r="781">
      <c r="A781" s="190"/>
      <c r="B781" s="190"/>
      <c r="C781" s="190"/>
      <c r="D781" s="190"/>
      <c r="E781" s="190"/>
      <c r="F781" s="190"/>
      <c r="G781" s="190"/>
      <c r="H781" s="190"/>
      <c r="I781" s="190"/>
      <c r="J781" s="190"/>
      <c r="K781" s="190"/>
      <c r="L781" s="190"/>
    </row>
    <row r="782">
      <c r="A782" s="190"/>
      <c r="B782" s="190"/>
      <c r="C782" s="190"/>
      <c r="D782" s="190"/>
      <c r="E782" s="190"/>
      <c r="F782" s="190"/>
      <c r="G782" s="190"/>
      <c r="H782" s="190"/>
      <c r="I782" s="190"/>
      <c r="J782" s="190"/>
      <c r="K782" s="190"/>
      <c r="L782" s="190"/>
    </row>
    <row r="783">
      <c r="A783" s="190"/>
      <c r="B783" s="190"/>
      <c r="C783" s="190"/>
      <c r="D783" s="190"/>
      <c r="E783" s="190"/>
      <c r="F783" s="190"/>
      <c r="G783" s="190"/>
      <c r="H783" s="190"/>
      <c r="I783" s="190"/>
      <c r="J783" s="190"/>
      <c r="K783" s="190"/>
      <c r="L783" s="190"/>
    </row>
    <row r="784">
      <c r="A784" s="190"/>
      <c r="B784" s="190"/>
      <c r="C784" s="190"/>
      <c r="D784" s="190"/>
      <c r="E784" s="190"/>
      <c r="F784" s="190"/>
      <c r="G784" s="190"/>
      <c r="H784" s="190"/>
      <c r="I784" s="190"/>
      <c r="J784" s="190"/>
      <c r="K784" s="190"/>
      <c r="L784" s="190"/>
    </row>
    <row r="785">
      <c r="A785" s="190"/>
      <c r="B785" s="190"/>
      <c r="C785" s="190"/>
      <c r="D785" s="190"/>
      <c r="E785" s="190"/>
      <c r="F785" s="190"/>
      <c r="G785" s="190"/>
      <c r="H785" s="190"/>
      <c r="I785" s="190"/>
      <c r="J785" s="190"/>
      <c r="K785" s="190"/>
      <c r="L785" s="190"/>
    </row>
    <row r="786">
      <c r="A786" s="190"/>
      <c r="B786" s="190"/>
      <c r="C786" s="190"/>
      <c r="D786" s="190"/>
      <c r="E786" s="190"/>
      <c r="F786" s="190"/>
      <c r="G786" s="190"/>
      <c r="H786" s="190"/>
      <c r="I786" s="190"/>
      <c r="J786" s="190"/>
      <c r="K786" s="190"/>
      <c r="L786" s="190"/>
    </row>
    <row r="787">
      <c r="A787" s="190"/>
      <c r="B787" s="190"/>
      <c r="C787" s="190"/>
      <c r="D787" s="190"/>
      <c r="E787" s="190"/>
      <c r="F787" s="190"/>
      <c r="G787" s="190"/>
      <c r="H787" s="190"/>
      <c r="I787" s="190"/>
      <c r="J787" s="190"/>
      <c r="K787" s="190"/>
      <c r="L787" s="190"/>
    </row>
    <row r="788">
      <c r="A788" s="190"/>
      <c r="B788" s="190"/>
      <c r="C788" s="190"/>
      <c r="D788" s="190"/>
      <c r="E788" s="190"/>
      <c r="F788" s="190"/>
      <c r="G788" s="190"/>
      <c r="H788" s="190"/>
      <c r="I788" s="190"/>
      <c r="J788" s="190"/>
      <c r="K788" s="190"/>
      <c r="L788" s="190"/>
    </row>
    <row r="789">
      <c r="A789" s="190"/>
      <c r="B789" s="190"/>
      <c r="C789" s="190"/>
      <c r="D789" s="190"/>
      <c r="E789" s="190"/>
      <c r="F789" s="190"/>
      <c r="G789" s="190"/>
      <c r="H789" s="190"/>
      <c r="I789" s="190"/>
      <c r="J789" s="190"/>
      <c r="K789" s="190"/>
      <c r="L789" s="190"/>
    </row>
    <row r="790">
      <c r="A790" s="190"/>
      <c r="B790" s="190"/>
      <c r="C790" s="190"/>
      <c r="D790" s="190"/>
      <c r="E790" s="190"/>
      <c r="F790" s="190"/>
      <c r="G790" s="190"/>
      <c r="H790" s="190"/>
      <c r="I790" s="190"/>
      <c r="J790" s="190"/>
      <c r="K790" s="190"/>
      <c r="L790" s="190"/>
    </row>
    <row r="791">
      <c r="A791" s="190"/>
      <c r="B791" s="190"/>
      <c r="C791" s="190"/>
      <c r="D791" s="190"/>
      <c r="E791" s="190"/>
      <c r="F791" s="190"/>
      <c r="G791" s="190"/>
      <c r="H791" s="190"/>
      <c r="I791" s="190"/>
      <c r="J791" s="190"/>
      <c r="K791" s="190"/>
      <c r="L791" s="190"/>
    </row>
    <row r="792">
      <c r="A792" s="190"/>
      <c r="B792" s="190"/>
      <c r="C792" s="190"/>
      <c r="D792" s="190"/>
      <c r="E792" s="190"/>
      <c r="F792" s="190"/>
      <c r="G792" s="190"/>
      <c r="H792" s="190"/>
      <c r="I792" s="190"/>
      <c r="J792" s="190"/>
      <c r="K792" s="190"/>
      <c r="L792" s="190"/>
    </row>
    <row r="793">
      <c r="A793" s="190"/>
      <c r="B793" s="190"/>
      <c r="C793" s="190"/>
      <c r="D793" s="190"/>
      <c r="E793" s="190"/>
      <c r="F793" s="190"/>
      <c r="G793" s="190"/>
      <c r="H793" s="190"/>
      <c r="I793" s="190"/>
      <c r="J793" s="190"/>
      <c r="K793" s="190"/>
      <c r="L793" s="190"/>
    </row>
    <row r="794">
      <c r="A794" s="190"/>
      <c r="B794" s="190"/>
      <c r="C794" s="190"/>
      <c r="D794" s="190"/>
      <c r="E794" s="190"/>
      <c r="F794" s="190"/>
      <c r="G794" s="190"/>
      <c r="H794" s="190"/>
      <c r="I794" s="190"/>
      <c r="J794" s="190"/>
      <c r="K794" s="190"/>
      <c r="L794" s="190"/>
    </row>
    <row r="795">
      <c r="A795" s="190"/>
      <c r="B795" s="190"/>
      <c r="C795" s="190"/>
      <c r="D795" s="190"/>
      <c r="E795" s="190"/>
      <c r="F795" s="190"/>
      <c r="G795" s="190"/>
      <c r="H795" s="190"/>
      <c r="I795" s="190"/>
      <c r="J795" s="190"/>
      <c r="K795" s="190"/>
      <c r="L795" s="190"/>
    </row>
    <row r="796">
      <c r="A796" s="190"/>
      <c r="B796" s="190"/>
      <c r="C796" s="190"/>
      <c r="D796" s="190"/>
      <c r="E796" s="190"/>
      <c r="F796" s="190"/>
      <c r="G796" s="190"/>
      <c r="H796" s="190"/>
      <c r="I796" s="190"/>
      <c r="J796" s="190"/>
      <c r="K796" s="190"/>
      <c r="L796" s="190"/>
    </row>
    <row r="797">
      <c r="A797" s="190"/>
      <c r="B797" s="190"/>
      <c r="C797" s="190"/>
      <c r="D797" s="190"/>
      <c r="E797" s="190"/>
      <c r="F797" s="190"/>
      <c r="G797" s="190"/>
      <c r="H797" s="190"/>
      <c r="I797" s="190"/>
      <c r="J797" s="190"/>
      <c r="K797" s="190"/>
      <c r="L797" s="190"/>
    </row>
    <row r="798">
      <c r="A798" s="190"/>
      <c r="B798" s="190"/>
      <c r="C798" s="190"/>
      <c r="D798" s="190"/>
      <c r="E798" s="190"/>
      <c r="F798" s="190"/>
      <c r="G798" s="190"/>
      <c r="H798" s="190"/>
      <c r="I798" s="190"/>
      <c r="J798" s="190"/>
      <c r="K798" s="190"/>
      <c r="L798" s="190"/>
    </row>
    <row r="799">
      <c r="A799" s="190"/>
      <c r="B799" s="190"/>
      <c r="C799" s="190"/>
      <c r="D799" s="190"/>
      <c r="E799" s="190"/>
      <c r="F799" s="190"/>
      <c r="G799" s="190"/>
      <c r="H799" s="190"/>
      <c r="I799" s="190"/>
      <c r="J799" s="190"/>
      <c r="K799" s="190"/>
      <c r="L799" s="190"/>
    </row>
    <row r="800">
      <c r="A800" s="190"/>
      <c r="B800" s="190"/>
      <c r="C800" s="190"/>
      <c r="D800" s="190"/>
      <c r="E800" s="190"/>
      <c r="F800" s="190"/>
      <c r="G800" s="190"/>
      <c r="H800" s="190"/>
      <c r="I800" s="190"/>
      <c r="J800" s="190"/>
      <c r="K800" s="190"/>
      <c r="L800" s="190"/>
    </row>
    <row r="801">
      <c r="A801" s="190"/>
      <c r="B801" s="190"/>
      <c r="C801" s="190"/>
      <c r="D801" s="190"/>
      <c r="E801" s="190"/>
      <c r="F801" s="190"/>
      <c r="G801" s="190"/>
      <c r="H801" s="190"/>
      <c r="I801" s="190"/>
      <c r="J801" s="190"/>
      <c r="K801" s="190"/>
      <c r="L801" s="190"/>
    </row>
    <row r="802">
      <c r="A802" s="190"/>
      <c r="B802" s="190"/>
      <c r="C802" s="190"/>
      <c r="D802" s="190"/>
      <c r="E802" s="190"/>
      <c r="F802" s="190"/>
      <c r="G802" s="190"/>
      <c r="H802" s="190"/>
      <c r="I802" s="190"/>
      <c r="J802" s="190"/>
      <c r="K802" s="190"/>
      <c r="L802" s="190"/>
    </row>
    <row r="803">
      <c r="A803" s="190"/>
      <c r="B803" s="190"/>
      <c r="C803" s="190"/>
      <c r="D803" s="190"/>
      <c r="E803" s="190"/>
      <c r="F803" s="190"/>
      <c r="G803" s="190"/>
      <c r="H803" s="190"/>
      <c r="I803" s="190"/>
      <c r="J803" s="190"/>
      <c r="K803" s="190"/>
      <c r="L803" s="190"/>
    </row>
    <row r="804">
      <c r="A804" s="190"/>
      <c r="B804" s="190"/>
      <c r="C804" s="190"/>
      <c r="D804" s="190"/>
      <c r="E804" s="190"/>
      <c r="F804" s="190"/>
      <c r="G804" s="190"/>
      <c r="H804" s="190"/>
      <c r="I804" s="190"/>
      <c r="J804" s="190"/>
      <c r="K804" s="190"/>
      <c r="L804" s="190"/>
    </row>
    <row r="805">
      <c r="A805" s="190"/>
      <c r="B805" s="190"/>
      <c r="C805" s="190"/>
      <c r="D805" s="190"/>
      <c r="E805" s="190"/>
      <c r="F805" s="190"/>
      <c r="G805" s="190"/>
      <c r="H805" s="190"/>
      <c r="I805" s="190"/>
      <c r="J805" s="190"/>
      <c r="K805" s="190"/>
      <c r="L805" s="190"/>
    </row>
    <row r="806">
      <c r="A806" s="190"/>
      <c r="B806" s="190"/>
      <c r="C806" s="190"/>
      <c r="D806" s="190"/>
      <c r="E806" s="190"/>
      <c r="F806" s="190"/>
      <c r="G806" s="190"/>
      <c r="H806" s="190"/>
      <c r="I806" s="190"/>
      <c r="J806" s="190"/>
      <c r="K806" s="190"/>
      <c r="L806" s="190"/>
    </row>
    <row r="807">
      <c r="A807" s="190"/>
      <c r="B807" s="190"/>
      <c r="C807" s="190"/>
      <c r="D807" s="190"/>
      <c r="E807" s="190"/>
      <c r="F807" s="190"/>
      <c r="G807" s="190"/>
      <c r="H807" s="190"/>
      <c r="I807" s="190"/>
      <c r="J807" s="190"/>
      <c r="K807" s="190"/>
      <c r="L807" s="190"/>
    </row>
    <row r="808">
      <c r="A808" s="190"/>
      <c r="B808" s="190"/>
      <c r="C808" s="190"/>
      <c r="D808" s="190"/>
      <c r="E808" s="190"/>
      <c r="F808" s="190"/>
      <c r="G808" s="190"/>
      <c r="H808" s="190"/>
      <c r="I808" s="190"/>
      <c r="J808" s="190"/>
      <c r="K808" s="190"/>
      <c r="L808" s="190"/>
    </row>
    <row r="809">
      <c r="A809" s="190"/>
      <c r="B809" s="190"/>
      <c r="C809" s="190"/>
      <c r="D809" s="190"/>
      <c r="E809" s="190"/>
      <c r="F809" s="190"/>
      <c r="G809" s="190"/>
      <c r="H809" s="190"/>
      <c r="I809" s="190"/>
      <c r="J809" s="190"/>
      <c r="K809" s="190"/>
      <c r="L809" s="190"/>
    </row>
    <row r="810">
      <c r="A810" s="190"/>
      <c r="B810" s="190"/>
      <c r="C810" s="190"/>
      <c r="D810" s="190"/>
      <c r="E810" s="190"/>
      <c r="F810" s="190"/>
      <c r="G810" s="190"/>
      <c r="H810" s="190"/>
      <c r="I810" s="190"/>
      <c r="J810" s="190"/>
      <c r="K810" s="190"/>
      <c r="L810" s="190"/>
    </row>
    <row r="811">
      <c r="A811" s="190"/>
      <c r="B811" s="190"/>
      <c r="C811" s="190"/>
      <c r="D811" s="190"/>
      <c r="E811" s="190"/>
      <c r="F811" s="190"/>
      <c r="G811" s="190"/>
      <c r="H811" s="190"/>
      <c r="I811" s="190"/>
      <c r="J811" s="190"/>
      <c r="K811" s="190"/>
      <c r="L811" s="190"/>
    </row>
    <row r="812">
      <c r="A812" s="190"/>
      <c r="B812" s="190"/>
      <c r="C812" s="190"/>
      <c r="D812" s="190"/>
      <c r="E812" s="190"/>
      <c r="F812" s="190"/>
      <c r="G812" s="190"/>
      <c r="H812" s="190"/>
      <c r="I812" s="190"/>
      <c r="J812" s="190"/>
      <c r="K812" s="190"/>
      <c r="L812" s="190"/>
    </row>
    <row r="813">
      <c r="A813" s="190"/>
      <c r="B813" s="190"/>
      <c r="C813" s="190"/>
      <c r="D813" s="190"/>
      <c r="E813" s="190"/>
      <c r="F813" s="190"/>
      <c r="G813" s="190"/>
      <c r="H813" s="190"/>
      <c r="I813" s="190"/>
      <c r="J813" s="190"/>
      <c r="K813" s="190"/>
      <c r="L813" s="190"/>
    </row>
    <row r="814">
      <c r="A814" s="190"/>
      <c r="B814" s="190"/>
      <c r="C814" s="190"/>
      <c r="D814" s="190"/>
      <c r="E814" s="190"/>
      <c r="F814" s="190"/>
      <c r="G814" s="190"/>
      <c r="H814" s="190"/>
      <c r="I814" s="190"/>
      <c r="J814" s="190"/>
      <c r="K814" s="190"/>
      <c r="L814" s="190"/>
    </row>
    <row r="815">
      <c r="A815" s="190"/>
      <c r="B815" s="190"/>
      <c r="C815" s="190"/>
      <c r="D815" s="190"/>
      <c r="E815" s="190"/>
      <c r="F815" s="190"/>
      <c r="G815" s="190"/>
      <c r="H815" s="190"/>
      <c r="I815" s="190"/>
      <c r="J815" s="190"/>
      <c r="K815" s="190"/>
      <c r="L815" s="190"/>
    </row>
    <row r="816">
      <c r="A816" s="190"/>
      <c r="B816" s="190"/>
      <c r="C816" s="190"/>
      <c r="D816" s="190"/>
      <c r="E816" s="190"/>
      <c r="F816" s="190"/>
      <c r="G816" s="190"/>
      <c r="H816" s="190"/>
      <c r="I816" s="190"/>
      <c r="J816" s="190"/>
      <c r="K816" s="190"/>
      <c r="L816" s="190"/>
    </row>
    <row r="817">
      <c r="A817" s="190"/>
      <c r="B817" s="190"/>
      <c r="C817" s="190"/>
      <c r="D817" s="190"/>
      <c r="E817" s="190"/>
      <c r="F817" s="190"/>
      <c r="G817" s="190"/>
      <c r="H817" s="190"/>
      <c r="I817" s="190"/>
      <c r="J817" s="190"/>
      <c r="K817" s="190"/>
      <c r="L817" s="190"/>
    </row>
    <row r="818">
      <c r="A818" s="190"/>
      <c r="B818" s="190"/>
      <c r="C818" s="190"/>
      <c r="D818" s="190"/>
      <c r="E818" s="190"/>
      <c r="F818" s="190"/>
      <c r="G818" s="190"/>
      <c r="H818" s="190"/>
      <c r="I818" s="190"/>
      <c r="J818" s="190"/>
      <c r="K818" s="190"/>
      <c r="L818" s="190"/>
    </row>
    <row r="819">
      <c r="A819" s="190"/>
      <c r="B819" s="190"/>
      <c r="C819" s="190"/>
      <c r="D819" s="190"/>
      <c r="E819" s="190"/>
      <c r="F819" s="190"/>
      <c r="G819" s="190"/>
      <c r="H819" s="190"/>
      <c r="I819" s="190"/>
      <c r="J819" s="190"/>
      <c r="K819" s="190"/>
      <c r="L819" s="190"/>
    </row>
    <row r="820">
      <c r="A820" s="190"/>
      <c r="B820" s="190"/>
      <c r="C820" s="190"/>
      <c r="D820" s="190"/>
      <c r="E820" s="190"/>
      <c r="F820" s="190"/>
      <c r="G820" s="190"/>
      <c r="H820" s="190"/>
      <c r="I820" s="190"/>
      <c r="J820" s="190"/>
      <c r="K820" s="190"/>
      <c r="L820" s="190"/>
    </row>
    <row r="821">
      <c r="A821" s="190"/>
      <c r="B821" s="190"/>
      <c r="C821" s="190"/>
      <c r="D821" s="190"/>
      <c r="E821" s="190"/>
      <c r="F821" s="190"/>
      <c r="G821" s="190"/>
      <c r="H821" s="190"/>
      <c r="I821" s="190"/>
      <c r="J821" s="190"/>
      <c r="K821" s="190"/>
      <c r="L821" s="190"/>
    </row>
    <row r="822">
      <c r="A822" s="190"/>
      <c r="B822" s="190"/>
      <c r="C822" s="190"/>
      <c r="D822" s="190"/>
      <c r="E822" s="190"/>
      <c r="F822" s="190"/>
      <c r="G822" s="190"/>
      <c r="H822" s="190"/>
      <c r="I822" s="190"/>
      <c r="J822" s="190"/>
      <c r="K822" s="190"/>
      <c r="L822" s="190"/>
    </row>
    <row r="823">
      <c r="A823" s="190"/>
      <c r="B823" s="190"/>
      <c r="C823" s="190"/>
      <c r="D823" s="190"/>
      <c r="E823" s="190"/>
      <c r="F823" s="190"/>
      <c r="G823" s="190"/>
      <c r="H823" s="190"/>
      <c r="I823" s="190"/>
      <c r="J823" s="190"/>
      <c r="K823" s="190"/>
      <c r="L823" s="190"/>
    </row>
    <row r="824">
      <c r="A824" s="190"/>
      <c r="B824" s="190"/>
      <c r="C824" s="190"/>
      <c r="D824" s="190"/>
      <c r="E824" s="190"/>
      <c r="F824" s="190"/>
      <c r="G824" s="190"/>
      <c r="H824" s="190"/>
      <c r="I824" s="190"/>
      <c r="J824" s="190"/>
      <c r="K824" s="190"/>
      <c r="L824" s="190"/>
    </row>
    <row r="825">
      <c r="A825" s="190"/>
      <c r="B825" s="190"/>
      <c r="C825" s="190"/>
      <c r="D825" s="190"/>
      <c r="E825" s="190"/>
      <c r="F825" s="190"/>
      <c r="G825" s="190"/>
      <c r="H825" s="190"/>
      <c r="I825" s="190"/>
      <c r="J825" s="190"/>
      <c r="K825" s="190"/>
      <c r="L825" s="190"/>
    </row>
    <row r="826">
      <c r="A826" s="190"/>
      <c r="B826" s="190"/>
      <c r="C826" s="190"/>
      <c r="D826" s="190"/>
      <c r="E826" s="190"/>
      <c r="F826" s="190"/>
      <c r="G826" s="190"/>
      <c r="H826" s="190"/>
      <c r="I826" s="190"/>
      <c r="J826" s="190"/>
      <c r="K826" s="190"/>
      <c r="L826" s="190"/>
    </row>
    <row r="827">
      <c r="A827" s="190"/>
      <c r="B827" s="190"/>
      <c r="C827" s="190"/>
      <c r="D827" s="190"/>
      <c r="E827" s="190"/>
      <c r="F827" s="190"/>
      <c r="G827" s="190"/>
      <c r="H827" s="190"/>
      <c r="I827" s="190"/>
      <c r="J827" s="190"/>
      <c r="K827" s="190"/>
      <c r="L827" s="190"/>
    </row>
    <row r="828">
      <c r="A828" s="190"/>
      <c r="B828" s="190"/>
      <c r="C828" s="190"/>
      <c r="D828" s="190"/>
      <c r="E828" s="190"/>
      <c r="F828" s="190"/>
      <c r="G828" s="190"/>
      <c r="H828" s="190"/>
      <c r="I828" s="190"/>
      <c r="J828" s="190"/>
      <c r="K828" s="190"/>
      <c r="L828" s="190"/>
    </row>
    <row r="829">
      <c r="A829" s="190"/>
      <c r="B829" s="190"/>
      <c r="C829" s="190"/>
      <c r="D829" s="190"/>
      <c r="E829" s="190"/>
      <c r="F829" s="190"/>
      <c r="G829" s="190"/>
      <c r="H829" s="190"/>
      <c r="I829" s="190"/>
      <c r="J829" s="190"/>
      <c r="K829" s="190"/>
      <c r="L829" s="190"/>
    </row>
    <row r="830">
      <c r="A830" s="190"/>
      <c r="B830" s="190"/>
      <c r="C830" s="190"/>
      <c r="D830" s="190"/>
      <c r="E830" s="190"/>
      <c r="F830" s="190"/>
      <c r="G830" s="190"/>
      <c r="H830" s="190"/>
      <c r="I830" s="190"/>
      <c r="J830" s="190"/>
      <c r="K830" s="190"/>
      <c r="L830" s="190"/>
    </row>
    <row r="831">
      <c r="A831" s="190"/>
      <c r="B831" s="190"/>
      <c r="C831" s="190"/>
      <c r="D831" s="190"/>
      <c r="E831" s="190"/>
      <c r="F831" s="190"/>
      <c r="G831" s="190"/>
      <c r="H831" s="190"/>
      <c r="I831" s="190"/>
      <c r="J831" s="190"/>
      <c r="K831" s="190"/>
      <c r="L831" s="190"/>
    </row>
    <row r="832">
      <c r="A832" s="190"/>
      <c r="B832" s="190"/>
      <c r="C832" s="190"/>
      <c r="D832" s="190"/>
      <c r="E832" s="190"/>
      <c r="F832" s="190"/>
      <c r="G832" s="190"/>
      <c r="H832" s="190"/>
      <c r="I832" s="190"/>
      <c r="J832" s="190"/>
      <c r="K832" s="190"/>
      <c r="L832" s="190"/>
    </row>
    <row r="833">
      <c r="A833" s="190"/>
      <c r="B833" s="190"/>
      <c r="C833" s="190"/>
      <c r="D833" s="190"/>
      <c r="E833" s="190"/>
      <c r="F833" s="190"/>
      <c r="G833" s="190"/>
      <c r="H833" s="190"/>
      <c r="I833" s="190"/>
      <c r="J833" s="190"/>
      <c r="K833" s="190"/>
      <c r="L833" s="190"/>
    </row>
    <row r="834">
      <c r="A834" s="190"/>
      <c r="B834" s="190"/>
      <c r="C834" s="190"/>
      <c r="D834" s="190"/>
      <c r="E834" s="190"/>
      <c r="F834" s="190"/>
      <c r="G834" s="190"/>
      <c r="H834" s="190"/>
      <c r="I834" s="190"/>
      <c r="J834" s="190"/>
      <c r="K834" s="190"/>
      <c r="L834" s="190"/>
    </row>
    <row r="835">
      <c r="A835" s="190"/>
      <c r="B835" s="190"/>
      <c r="C835" s="190"/>
      <c r="D835" s="190"/>
      <c r="E835" s="190"/>
      <c r="F835" s="190"/>
      <c r="G835" s="190"/>
      <c r="H835" s="190"/>
      <c r="I835" s="190"/>
      <c r="J835" s="190"/>
      <c r="K835" s="190"/>
      <c r="L835" s="190"/>
    </row>
    <row r="836">
      <c r="A836" s="190"/>
      <c r="B836" s="190"/>
      <c r="C836" s="190"/>
      <c r="D836" s="190"/>
      <c r="E836" s="190"/>
      <c r="F836" s="190"/>
      <c r="G836" s="190"/>
      <c r="H836" s="190"/>
      <c r="I836" s="190"/>
      <c r="J836" s="190"/>
      <c r="K836" s="190"/>
      <c r="L836" s="190"/>
    </row>
    <row r="837">
      <c r="A837" s="190"/>
      <c r="B837" s="190"/>
      <c r="C837" s="190"/>
      <c r="D837" s="190"/>
      <c r="E837" s="190"/>
      <c r="F837" s="190"/>
      <c r="G837" s="190"/>
      <c r="H837" s="190"/>
      <c r="I837" s="190"/>
      <c r="J837" s="190"/>
      <c r="K837" s="190"/>
      <c r="L837" s="190"/>
    </row>
    <row r="838">
      <c r="A838" s="190"/>
      <c r="B838" s="190"/>
      <c r="C838" s="190"/>
      <c r="D838" s="190"/>
      <c r="E838" s="190"/>
      <c r="F838" s="190"/>
      <c r="G838" s="190"/>
      <c r="H838" s="190"/>
      <c r="I838" s="190"/>
      <c r="J838" s="190"/>
      <c r="K838" s="190"/>
      <c r="L838" s="190"/>
    </row>
    <row r="839">
      <c r="A839" s="190"/>
      <c r="B839" s="190"/>
      <c r="C839" s="190"/>
      <c r="D839" s="190"/>
      <c r="E839" s="190"/>
      <c r="F839" s="190"/>
      <c r="G839" s="190"/>
      <c r="H839" s="190"/>
      <c r="I839" s="190"/>
      <c r="J839" s="190"/>
      <c r="K839" s="190"/>
      <c r="L839" s="190"/>
    </row>
    <row r="840">
      <c r="A840" s="190"/>
      <c r="B840" s="190"/>
      <c r="C840" s="190"/>
      <c r="D840" s="190"/>
      <c r="E840" s="190"/>
      <c r="F840" s="190"/>
      <c r="G840" s="190"/>
      <c r="H840" s="190"/>
      <c r="I840" s="190"/>
      <c r="J840" s="190"/>
      <c r="K840" s="190"/>
      <c r="L840" s="190"/>
    </row>
    <row r="841">
      <c r="A841" s="190"/>
      <c r="B841" s="190"/>
      <c r="C841" s="190"/>
      <c r="D841" s="190"/>
      <c r="E841" s="190"/>
      <c r="F841" s="190"/>
      <c r="G841" s="190"/>
      <c r="H841" s="190"/>
      <c r="I841" s="190"/>
      <c r="J841" s="190"/>
      <c r="K841" s="190"/>
      <c r="L841" s="190"/>
    </row>
    <row r="842">
      <c r="A842" s="190"/>
      <c r="B842" s="190"/>
      <c r="C842" s="190"/>
      <c r="D842" s="190"/>
      <c r="E842" s="190"/>
      <c r="F842" s="190"/>
      <c r="G842" s="190"/>
      <c r="H842" s="190"/>
      <c r="I842" s="190"/>
      <c r="J842" s="190"/>
      <c r="K842" s="190"/>
      <c r="L842" s="190"/>
    </row>
    <row r="843">
      <c r="A843" s="190"/>
      <c r="B843" s="190"/>
      <c r="C843" s="190"/>
      <c r="D843" s="190"/>
      <c r="E843" s="190"/>
      <c r="F843" s="190"/>
      <c r="G843" s="190"/>
      <c r="H843" s="190"/>
      <c r="I843" s="190"/>
      <c r="J843" s="190"/>
      <c r="K843" s="190"/>
      <c r="L843" s="190"/>
    </row>
    <row r="844">
      <c r="A844" s="190"/>
      <c r="B844" s="190"/>
      <c r="C844" s="190"/>
      <c r="D844" s="190"/>
      <c r="E844" s="190"/>
      <c r="F844" s="190"/>
      <c r="G844" s="190"/>
      <c r="H844" s="190"/>
      <c r="I844" s="190"/>
      <c r="J844" s="190"/>
      <c r="K844" s="190"/>
      <c r="L844" s="190"/>
    </row>
    <row r="845">
      <c r="A845" s="190"/>
      <c r="B845" s="190"/>
      <c r="C845" s="190"/>
      <c r="D845" s="190"/>
      <c r="E845" s="190"/>
      <c r="F845" s="190"/>
      <c r="G845" s="190"/>
      <c r="H845" s="190"/>
      <c r="I845" s="190"/>
      <c r="J845" s="190"/>
      <c r="K845" s="190"/>
      <c r="L845" s="190"/>
    </row>
    <row r="846">
      <c r="A846" s="190"/>
      <c r="B846" s="190"/>
      <c r="C846" s="190"/>
      <c r="D846" s="190"/>
      <c r="E846" s="190"/>
      <c r="F846" s="190"/>
      <c r="G846" s="190"/>
      <c r="H846" s="190"/>
      <c r="I846" s="190"/>
      <c r="J846" s="190"/>
      <c r="K846" s="190"/>
      <c r="L846" s="190"/>
    </row>
    <row r="847">
      <c r="A847" s="190"/>
      <c r="B847" s="190"/>
      <c r="C847" s="190"/>
      <c r="D847" s="190"/>
      <c r="E847" s="190"/>
      <c r="F847" s="190"/>
      <c r="G847" s="190"/>
      <c r="H847" s="190"/>
      <c r="I847" s="190"/>
      <c r="J847" s="190"/>
      <c r="K847" s="190"/>
      <c r="L847" s="190"/>
    </row>
    <row r="848">
      <c r="A848" s="190"/>
      <c r="B848" s="190"/>
      <c r="C848" s="190"/>
      <c r="D848" s="190"/>
      <c r="E848" s="190"/>
      <c r="F848" s="190"/>
      <c r="G848" s="190"/>
      <c r="H848" s="190"/>
      <c r="I848" s="190"/>
      <c r="J848" s="190"/>
      <c r="K848" s="190"/>
      <c r="L848" s="190"/>
    </row>
    <row r="849">
      <c r="A849" s="190"/>
      <c r="B849" s="190"/>
      <c r="C849" s="190"/>
      <c r="D849" s="190"/>
      <c r="E849" s="190"/>
      <c r="F849" s="190"/>
      <c r="G849" s="190"/>
      <c r="H849" s="190"/>
      <c r="I849" s="190"/>
      <c r="J849" s="190"/>
      <c r="K849" s="190"/>
      <c r="L849" s="190"/>
    </row>
    <row r="850">
      <c r="A850" s="190"/>
      <c r="B850" s="190"/>
      <c r="C850" s="190"/>
      <c r="D850" s="190"/>
      <c r="E850" s="190"/>
      <c r="F850" s="190"/>
      <c r="G850" s="190"/>
      <c r="H850" s="190"/>
      <c r="I850" s="190"/>
      <c r="J850" s="190"/>
      <c r="K850" s="190"/>
      <c r="L850" s="190"/>
    </row>
    <row r="851">
      <c r="A851" s="190"/>
      <c r="B851" s="190"/>
      <c r="C851" s="190"/>
      <c r="D851" s="190"/>
      <c r="E851" s="190"/>
      <c r="F851" s="190"/>
      <c r="G851" s="190"/>
      <c r="H851" s="190"/>
      <c r="I851" s="190"/>
      <c r="J851" s="190"/>
      <c r="K851" s="190"/>
      <c r="L851" s="190"/>
    </row>
    <row r="852">
      <c r="A852" s="190"/>
      <c r="B852" s="190"/>
      <c r="C852" s="190"/>
      <c r="D852" s="190"/>
      <c r="E852" s="190"/>
      <c r="F852" s="190"/>
      <c r="G852" s="190"/>
      <c r="H852" s="190"/>
      <c r="I852" s="190"/>
      <c r="J852" s="190"/>
      <c r="K852" s="190"/>
      <c r="L852" s="190"/>
    </row>
    <row r="853">
      <c r="A853" s="190"/>
      <c r="B853" s="190"/>
      <c r="C853" s="190"/>
      <c r="D853" s="190"/>
      <c r="E853" s="190"/>
      <c r="F853" s="190"/>
      <c r="G853" s="190"/>
      <c r="H853" s="190"/>
      <c r="I853" s="190"/>
      <c r="J853" s="190"/>
      <c r="K853" s="190"/>
      <c r="L853" s="190"/>
    </row>
    <row r="854">
      <c r="A854" s="190"/>
      <c r="B854" s="190"/>
      <c r="C854" s="190"/>
      <c r="D854" s="190"/>
      <c r="E854" s="190"/>
      <c r="F854" s="190"/>
      <c r="G854" s="190"/>
      <c r="H854" s="190"/>
      <c r="I854" s="190"/>
      <c r="J854" s="190"/>
      <c r="K854" s="190"/>
      <c r="L854" s="190"/>
    </row>
    <row r="855">
      <c r="A855" s="190"/>
      <c r="B855" s="190"/>
      <c r="C855" s="190"/>
      <c r="D855" s="190"/>
      <c r="E855" s="190"/>
      <c r="F855" s="190"/>
      <c r="G855" s="190"/>
      <c r="H855" s="190"/>
      <c r="I855" s="190"/>
      <c r="J855" s="190"/>
      <c r="K855" s="190"/>
      <c r="L855" s="190"/>
    </row>
    <row r="856">
      <c r="A856" s="190"/>
      <c r="B856" s="190"/>
      <c r="C856" s="190"/>
      <c r="D856" s="190"/>
      <c r="E856" s="190"/>
      <c r="F856" s="190"/>
      <c r="G856" s="190"/>
      <c r="H856" s="190"/>
      <c r="I856" s="190"/>
      <c r="J856" s="190"/>
      <c r="K856" s="190"/>
      <c r="L856" s="190"/>
    </row>
    <row r="857">
      <c r="A857" s="190"/>
      <c r="B857" s="190"/>
      <c r="C857" s="190"/>
      <c r="D857" s="190"/>
      <c r="E857" s="190"/>
      <c r="F857" s="190"/>
      <c r="G857" s="190"/>
      <c r="H857" s="190"/>
      <c r="I857" s="190"/>
      <c r="J857" s="190"/>
      <c r="K857" s="190"/>
      <c r="L857" s="190"/>
    </row>
    <row r="858">
      <c r="A858" s="190"/>
      <c r="B858" s="190"/>
      <c r="C858" s="190"/>
      <c r="D858" s="190"/>
      <c r="E858" s="190"/>
      <c r="F858" s="190"/>
      <c r="G858" s="190"/>
      <c r="H858" s="190"/>
      <c r="I858" s="190"/>
      <c r="J858" s="190"/>
      <c r="K858" s="190"/>
      <c r="L858" s="190"/>
    </row>
    <row r="859">
      <c r="A859" s="190"/>
      <c r="B859" s="190"/>
      <c r="C859" s="190"/>
      <c r="D859" s="190"/>
      <c r="E859" s="190"/>
      <c r="F859" s="190"/>
      <c r="G859" s="190"/>
      <c r="H859" s="190"/>
      <c r="I859" s="190"/>
      <c r="J859" s="190"/>
      <c r="K859" s="190"/>
      <c r="L859" s="190"/>
    </row>
    <row r="860">
      <c r="A860" s="190"/>
      <c r="B860" s="190"/>
      <c r="C860" s="190"/>
      <c r="D860" s="190"/>
      <c r="E860" s="190"/>
      <c r="F860" s="190"/>
      <c r="G860" s="190"/>
      <c r="H860" s="190"/>
      <c r="I860" s="190"/>
      <c r="J860" s="190"/>
      <c r="K860" s="190"/>
      <c r="L860" s="190"/>
    </row>
    <row r="861">
      <c r="A861" s="190"/>
      <c r="B861" s="190"/>
      <c r="C861" s="190"/>
      <c r="D861" s="190"/>
      <c r="E861" s="190"/>
      <c r="F861" s="190"/>
      <c r="G861" s="190"/>
      <c r="H861" s="190"/>
      <c r="I861" s="190"/>
      <c r="J861" s="190"/>
      <c r="K861" s="190"/>
      <c r="L861" s="190"/>
    </row>
    <row r="862">
      <c r="A862" s="190"/>
      <c r="B862" s="190"/>
      <c r="C862" s="190"/>
      <c r="D862" s="190"/>
      <c r="E862" s="190"/>
      <c r="F862" s="190"/>
      <c r="G862" s="190"/>
      <c r="H862" s="190"/>
      <c r="I862" s="190"/>
      <c r="J862" s="190"/>
      <c r="K862" s="190"/>
      <c r="L862" s="190"/>
    </row>
    <row r="863">
      <c r="A863" s="190"/>
      <c r="B863" s="190"/>
      <c r="C863" s="190"/>
      <c r="D863" s="190"/>
      <c r="E863" s="190"/>
      <c r="F863" s="190"/>
      <c r="G863" s="190"/>
      <c r="H863" s="190"/>
      <c r="I863" s="190"/>
      <c r="J863" s="190"/>
      <c r="K863" s="190"/>
      <c r="L863" s="190"/>
    </row>
    <row r="864">
      <c r="A864" s="190"/>
      <c r="B864" s="190"/>
      <c r="C864" s="190"/>
      <c r="D864" s="190"/>
      <c r="E864" s="190"/>
      <c r="F864" s="190"/>
      <c r="G864" s="190"/>
      <c r="H864" s="190"/>
      <c r="I864" s="190"/>
      <c r="J864" s="190"/>
      <c r="K864" s="190"/>
      <c r="L864" s="190"/>
    </row>
    <row r="865">
      <c r="A865" s="190"/>
      <c r="B865" s="190"/>
      <c r="C865" s="190"/>
      <c r="D865" s="190"/>
      <c r="E865" s="190"/>
      <c r="F865" s="190"/>
      <c r="G865" s="190"/>
      <c r="H865" s="190"/>
      <c r="I865" s="190"/>
      <c r="J865" s="190"/>
      <c r="K865" s="190"/>
      <c r="L865" s="190"/>
    </row>
    <row r="866">
      <c r="A866" s="190"/>
      <c r="B866" s="190"/>
      <c r="C866" s="190"/>
      <c r="D866" s="190"/>
      <c r="E866" s="190"/>
      <c r="F866" s="190"/>
      <c r="G866" s="190"/>
      <c r="H866" s="190"/>
      <c r="I866" s="190"/>
      <c r="J866" s="190"/>
      <c r="K866" s="190"/>
      <c r="L866" s="190"/>
    </row>
    <row r="867">
      <c r="A867" s="190"/>
      <c r="B867" s="190"/>
      <c r="C867" s="190"/>
      <c r="D867" s="190"/>
      <c r="E867" s="190"/>
      <c r="F867" s="190"/>
      <c r="G867" s="190"/>
      <c r="H867" s="190"/>
      <c r="I867" s="190"/>
      <c r="J867" s="190"/>
      <c r="K867" s="190"/>
      <c r="L867" s="190"/>
    </row>
    <row r="868">
      <c r="A868" s="190"/>
      <c r="B868" s="190"/>
      <c r="C868" s="190"/>
      <c r="D868" s="190"/>
      <c r="E868" s="190"/>
      <c r="F868" s="190"/>
      <c r="G868" s="190"/>
      <c r="H868" s="190"/>
      <c r="I868" s="190"/>
      <c r="J868" s="190"/>
      <c r="K868" s="190"/>
      <c r="L868" s="190"/>
    </row>
    <row r="869">
      <c r="A869" s="190"/>
      <c r="B869" s="190"/>
      <c r="C869" s="190"/>
      <c r="D869" s="190"/>
      <c r="E869" s="190"/>
      <c r="F869" s="190"/>
      <c r="G869" s="190"/>
      <c r="H869" s="190"/>
      <c r="I869" s="190"/>
      <c r="J869" s="190"/>
      <c r="K869" s="190"/>
      <c r="L869" s="190"/>
    </row>
    <row r="870">
      <c r="A870" s="190"/>
      <c r="B870" s="190"/>
      <c r="C870" s="190"/>
      <c r="D870" s="190"/>
      <c r="E870" s="190"/>
      <c r="F870" s="190"/>
      <c r="G870" s="190"/>
      <c r="H870" s="190"/>
      <c r="I870" s="190"/>
      <c r="J870" s="190"/>
      <c r="K870" s="190"/>
      <c r="L870" s="190"/>
    </row>
    <row r="871">
      <c r="A871" s="190"/>
      <c r="B871" s="190"/>
      <c r="C871" s="190"/>
      <c r="D871" s="190"/>
      <c r="E871" s="190"/>
      <c r="F871" s="190"/>
      <c r="G871" s="190"/>
      <c r="H871" s="190"/>
      <c r="I871" s="190"/>
      <c r="J871" s="190"/>
      <c r="K871" s="190"/>
      <c r="L871" s="190"/>
    </row>
    <row r="872">
      <c r="A872" s="190"/>
      <c r="B872" s="190"/>
      <c r="C872" s="190"/>
      <c r="D872" s="190"/>
      <c r="E872" s="190"/>
      <c r="F872" s="190"/>
      <c r="G872" s="190"/>
      <c r="H872" s="190"/>
      <c r="I872" s="190"/>
      <c r="J872" s="190"/>
      <c r="K872" s="190"/>
      <c r="L872" s="190"/>
    </row>
    <row r="873">
      <c r="A873" s="190"/>
      <c r="B873" s="190"/>
      <c r="C873" s="190"/>
      <c r="D873" s="190"/>
      <c r="E873" s="190"/>
      <c r="F873" s="190"/>
      <c r="G873" s="190"/>
      <c r="H873" s="190"/>
      <c r="I873" s="190"/>
      <c r="J873" s="190"/>
      <c r="K873" s="190"/>
      <c r="L873" s="190"/>
    </row>
    <row r="874">
      <c r="A874" s="190"/>
      <c r="B874" s="190"/>
      <c r="C874" s="190"/>
      <c r="D874" s="190"/>
      <c r="E874" s="190"/>
      <c r="F874" s="190"/>
      <c r="G874" s="190"/>
      <c r="H874" s="190"/>
      <c r="I874" s="190"/>
      <c r="J874" s="190"/>
      <c r="K874" s="190"/>
      <c r="L874" s="190"/>
    </row>
    <row r="875">
      <c r="A875" s="190"/>
      <c r="B875" s="190"/>
      <c r="C875" s="190"/>
      <c r="D875" s="190"/>
      <c r="E875" s="190"/>
      <c r="F875" s="190"/>
      <c r="G875" s="190"/>
      <c r="H875" s="190"/>
      <c r="I875" s="190"/>
      <c r="J875" s="190"/>
      <c r="K875" s="190"/>
      <c r="L875" s="190"/>
    </row>
    <row r="876">
      <c r="A876" s="190"/>
      <c r="B876" s="190"/>
      <c r="C876" s="190"/>
      <c r="D876" s="190"/>
      <c r="E876" s="190"/>
      <c r="F876" s="190"/>
      <c r="G876" s="190"/>
      <c r="H876" s="190"/>
      <c r="I876" s="190"/>
      <c r="J876" s="190"/>
      <c r="K876" s="190"/>
      <c r="L876" s="190"/>
    </row>
    <row r="877">
      <c r="A877" s="190"/>
      <c r="B877" s="190"/>
      <c r="C877" s="190"/>
      <c r="D877" s="190"/>
      <c r="E877" s="190"/>
      <c r="F877" s="190"/>
      <c r="G877" s="190"/>
      <c r="H877" s="190"/>
      <c r="I877" s="190"/>
      <c r="J877" s="190"/>
      <c r="K877" s="190"/>
      <c r="L877" s="190"/>
    </row>
    <row r="878">
      <c r="A878" s="190"/>
      <c r="B878" s="190"/>
      <c r="C878" s="190"/>
      <c r="D878" s="190"/>
      <c r="E878" s="190"/>
      <c r="F878" s="190"/>
      <c r="G878" s="190"/>
      <c r="H878" s="190"/>
      <c r="I878" s="190"/>
      <c r="J878" s="190"/>
      <c r="K878" s="190"/>
      <c r="L878" s="190"/>
    </row>
    <row r="879">
      <c r="A879" s="190"/>
      <c r="B879" s="190"/>
      <c r="C879" s="190"/>
      <c r="D879" s="190"/>
      <c r="E879" s="190"/>
      <c r="F879" s="190"/>
      <c r="G879" s="190"/>
      <c r="H879" s="190"/>
      <c r="I879" s="190"/>
      <c r="J879" s="190"/>
      <c r="K879" s="190"/>
      <c r="L879" s="190"/>
    </row>
    <row r="880">
      <c r="A880" s="190"/>
      <c r="B880" s="190"/>
      <c r="C880" s="190"/>
      <c r="D880" s="190"/>
      <c r="E880" s="190"/>
      <c r="F880" s="190"/>
      <c r="G880" s="190"/>
      <c r="H880" s="190"/>
      <c r="I880" s="190"/>
      <c r="J880" s="190"/>
      <c r="K880" s="190"/>
      <c r="L880" s="190"/>
    </row>
    <row r="881">
      <c r="A881" s="190"/>
      <c r="B881" s="190"/>
      <c r="C881" s="190"/>
      <c r="D881" s="190"/>
      <c r="E881" s="190"/>
      <c r="F881" s="190"/>
      <c r="G881" s="190"/>
      <c r="H881" s="190"/>
      <c r="I881" s="190"/>
      <c r="J881" s="190"/>
      <c r="K881" s="190"/>
      <c r="L881" s="190"/>
    </row>
    <row r="882">
      <c r="A882" s="190"/>
      <c r="B882" s="190"/>
      <c r="C882" s="190"/>
      <c r="D882" s="190"/>
      <c r="E882" s="190"/>
      <c r="F882" s="190"/>
      <c r="G882" s="190"/>
      <c r="H882" s="190"/>
      <c r="I882" s="190"/>
      <c r="J882" s="190"/>
      <c r="K882" s="190"/>
      <c r="L882" s="190"/>
    </row>
    <row r="883">
      <c r="A883" s="190"/>
      <c r="B883" s="190"/>
      <c r="C883" s="190"/>
      <c r="D883" s="190"/>
      <c r="E883" s="190"/>
      <c r="F883" s="190"/>
      <c r="G883" s="190"/>
      <c r="H883" s="190"/>
      <c r="I883" s="190"/>
      <c r="J883" s="190"/>
      <c r="K883" s="190"/>
      <c r="L883" s="190"/>
    </row>
    <row r="884">
      <c r="A884" s="190"/>
      <c r="B884" s="190"/>
      <c r="C884" s="190"/>
      <c r="D884" s="190"/>
      <c r="E884" s="190"/>
      <c r="F884" s="190"/>
      <c r="G884" s="190"/>
      <c r="H884" s="190"/>
      <c r="I884" s="190"/>
      <c r="J884" s="190"/>
      <c r="K884" s="190"/>
      <c r="L884" s="190"/>
    </row>
    <row r="885">
      <c r="A885" s="190"/>
      <c r="B885" s="190"/>
      <c r="C885" s="190"/>
      <c r="D885" s="190"/>
      <c r="E885" s="190"/>
      <c r="F885" s="190"/>
      <c r="G885" s="190"/>
      <c r="H885" s="190"/>
      <c r="I885" s="190"/>
      <c r="J885" s="190"/>
      <c r="K885" s="190"/>
      <c r="L885" s="190"/>
    </row>
    <row r="886">
      <c r="A886" s="190"/>
      <c r="B886" s="190"/>
      <c r="C886" s="190"/>
      <c r="D886" s="190"/>
      <c r="E886" s="190"/>
      <c r="F886" s="190"/>
      <c r="G886" s="190"/>
      <c r="H886" s="190"/>
      <c r="I886" s="190"/>
      <c r="J886" s="190"/>
      <c r="K886" s="190"/>
      <c r="L886" s="190"/>
    </row>
    <row r="887">
      <c r="A887" s="190"/>
      <c r="B887" s="190"/>
      <c r="C887" s="190"/>
      <c r="D887" s="190"/>
      <c r="E887" s="190"/>
      <c r="F887" s="190"/>
      <c r="G887" s="190"/>
      <c r="H887" s="190"/>
      <c r="I887" s="190"/>
      <c r="J887" s="190"/>
      <c r="K887" s="190"/>
      <c r="L887" s="190"/>
    </row>
    <row r="888">
      <c r="A888" s="190"/>
      <c r="B888" s="190"/>
      <c r="C888" s="190"/>
      <c r="D888" s="190"/>
      <c r="E888" s="190"/>
      <c r="F888" s="190"/>
      <c r="G888" s="190"/>
      <c r="H888" s="190"/>
      <c r="I888" s="190"/>
      <c r="J888" s="190"/>
      <c r="K888" s="190"/>
      <c r="L888" s="190"/>
    </row>
    <row r="889">
      <c r="A889" s="190"/>
      <c r="B889" s="190"/>
      <c r="C889" s="190"/>
      <c r="D889" s="190"/>
      <c r="E889" s="190"/>
      <c r="F889" s="190"/>
      <c r="G889" s="190"/>
      <c r="H889" s="190"/>
      <c r="I889" s="190"/>
      <c r="J889" s="190"/>
      <c r="K889" s="190"/>
      <c r="L889" s="190"/>
    </row>
    <row r="890">
      <c r="A890" s="190"/>
      <c r="B890" s="190"/>
      <c r="C890" s="190"/>
      <c r="D890" s="190"/>
      <c r="E890" s="190"/>
      <c r="F890" s="190"/>
      <c r="G890" s="190"/>
      <c r="H890" s="190"/>
      <c r="I890" s="190"/>
      <c r="J890" s="190"/>
      <c r="K890" s="190"/>
      <c r="L890" s="190"/>
    </row>
    <row r="891">
      <c r="A891" s="190"/>
      <c r="B891" s="190"/>
      <c r="C891" s="190"/>
      <c r="D891" s="190"/>
      <c r="E891" s="190"/>
      <c r="F891" s="190"/>
      <c r="G891" s="190"/>
      <c r="H891" s="190"/>
      <c r="I891" s="190"/>
      <c r="J891" s="190"/>
      <c r="K891" s="190"/>
      <c r="L891" s="190"/>
    </row>
    <row r="892">
      <c r="A892" s="190"/>
      <c r="B892" s="190"/>
      <c r="C892" s="190"/>
      <c r="D892" s="190"/>
      <c r="E892" s="190"/>
      <c r="F892" s="190"/>
      <c r="G892" s="190"/>
      <c r="H892" s="190"/>
      <c r="I892" s="190"/>
      <c r="J892" s="190"/>
      <c r="K892" s="190"/>
      <c r="L892" s="190"/>
    </row>
    <row r="893">
      <c r="A893" s="190"/>
      <c r="B893" s="190"/>
      <c r="C893" s="190"/>
      <c r="D893" s="190"/>
      <c r="E893" s="190"/>
      <c r="F893" s="190"/>
      <c r="G893" s="190"/>
      <c r="H893" s="190"/>
      <c r="I893" s="190"/>
      <c r="J893" s="190"/>
      <c r="K893" s="190"/>
      <c r="L893" s="190"/>
    </row>
    <row r="894">
      <c r="A894" s="190"/>
      <c r="B894" s="190"/>
      <c r="C894" s="190"/>
      <c r="D894" s="190"/>
      <c r="E894" s="190"/>
      <c r="F894" s="190"/>
      <c r="G894" s="190"/>
      <c r="H894" s="190"/>
      <c r="I894" s="190"/>
      <c r="J894" s="190"/>
      <c r="K894" s="190"/>
      <c r="L894" s="190"/>
    </row>
    <row r="895">
      <c r="A895" s="190"/>
      <c r="B895" s="190"/>
      <c r="C895" s="190"/>
      <c r="D895" s="190"/>
      <c r="E895" s="190"/>
      <c r="F895" s="190"/>
      <c r="G895" s="190"/>
      <c r="H895" s="190"/>
      <c r="I895" s="190"/>
      <c r="J895" s="190"/>
      <c r="K895" s="190"/>
      <c r="L895" s="190"/>
    </row>
    <row r="896">
      <c r="A896" s="190"/>
      <c r="B896" s="190"/>
      <c r="C896" s="190"/>
      <c r="D896" s="190"/>
      <c r="E896" s="190"/>
      <c r="F896" s="190"/>
      <c r="G896" s="190"/>
      <c r="H896" s="190"/>
      <c r="I896" s="190"/>
      <c r="J896" s="190"/>
      <c r="K896" s="190"/>
      <c r="L896" s="190"/>
    </row>
    <row r="897">
      <c r="A897" s="190"/>
      <c r="B897" s="190"/>
      <c r="C897" s="190"/>
      <c r="D897" s="190"/>
      <c r="E897" s="190"/>
      <c r="F897" s="190"/>
      <c r="G897" s="190"/>
      <c r="H897" s="190"/>
      <c r="I897" s="190"/>
      <c r="J897" s="190"/>
      <c r="K897" s="190"/>
      <c r="L897" s="190"/>
    </row>
    <row r="898">
      <c r="A898" s="190"/>
      <c r="B898" s="190"/>
      <c r="C898" s="190"/>
      <c r="D898" s="190"/>
      <c r="E898" s="190"/>
      <c r="F898" s="190"/>
      <c r="G898" s="190"/>
      <c r="H898" s="190"/>
      <c r="I898" s="190"/>
      <c r="J898" s="190"/>
      <c r="K898" s="190"/>
      <c r="L898" s="190"/>
    </row>
    <row r="899">
      <c r="A899" s="190"/>
      <c r="B899" s="190"/>
      <c r="C899" s="190"/>
      <c r="D899" s="190"/>
      <c r="E899" s="190"/>
      <c r="F899" s="190"/>
      <c r="G899" s="190"/>
      <c r="H899" s="190"/>
      <c r="I899" s="190"/>
      <c r="J899" s="190"/>
      <c r="K899" s="190"/>
      <c r="L899" s="190"/>
    </row>
    <row r="900">
      <c r="A900" s="190"/>
      <c r="B900" s="190"/>
      <c r="C900" s="190"/>
      <c r="D900" s="190"/>
      <c r="E900" s="190"/>
      <c r="F900" s="190"/>
      <c r="G900" s="190"/>
      <c r="H900" s="190"/>
      <c r="I900" s="190"/>
      <c r="J900" s="190"/>
      <c r="K900" s="190"/>
      <c r="L900" s="190"/>
    </row>
    <row r="901">
      <c r="A901" s="190"/>
      <c r="B901" s="190"/>
      <c r="C901" s="190"/>
      <c r="D901" s="190"/>
      <c r="E901" s="190"/>
      <c r="F901" s="190"/>
      <c r="G901" s="190"/>
      <c r="H901" s="190"/>
      <c r="I901" s="190"/>
      <c r="J901" s="190"/>
      <c r="K901" s="190"/>
      <c r="L901" s="190"/>
    </row>
    <row r="902">
      <c r="A902" s="190"/>
      <c r="B902" s="190"/>
      <c r="C902" s="190"/>
      <c r="D902" s="190"/>
      <c r="E902" s="190"/>
      <c r="F902" s="190"/>
      <c r="G902" s="190"/>
      <c r="H902" s="190"/>
      <c r="I902" s="190"/>
      <c r="J902" s="190"/>
      <c r="K902" s="190"/>
      <c r="L902" s="190"/>
    </row>
    <row r="903">
      <c r="A903" s="190"/>
      <c r="B903" s="190"/>
      <c r="C903" s="190"/>
      <c r="D903" s="190"/>
      <c r="E903" s="190"/>
      <c r="F903" s="190"/>
      <c r="G903" s="190"/>
      <c r="H903" s="190"/>
      <c r="I903" s="190"/>
      <c r="J903" s="190"/>
      <c r="K903" s="190"/>
      <c r="L903" s="190"/>
    </row>
    <row r="904">
      <c r="A904" s="190"/>
      <c r="B904" s="190"/>
      <c r="C904" s="190"/>
      <c r="D904" s="190"/>
      <c r="E904" s="190"/>
      <c r="F904" s="190"/>
      <c r="G904" s="190"/>
      <c r="H904" s="190"/>
      <c r="I904" s="190"/>
      <c r="J904" s="190"/>
      <c r="K904" s="190"/>
      <c r="L904" s="190"/>
    </row>
    <row r="905">
      <c r="A905" s="190"/>
      <c r="B905" s="190"/>
      <c r="C905" s="190"/>
      <c r="D905" s="190"/>
      <c r="E905" s="190"/>
      <c r="F905" s="190"/>
      <c r="G905" s="190"/>
      <c r="H905" s="190"/>
      <c r="I905" s="190"/>
      <c r="J905" s="190"/>
      <c r="K905" s="190"/>
      <c r="L905" s="190"/>
    </row>
    <row r="906">
      <c r="A906" s="190"/>
      <c r="B906" s="190"/>
      <c r="C906" s="190"/>
      <c r="D906" s="190"/>
      <c r="E906" s="190"/>
      <c r="F906" s="190"/>
      <c r="G906" s="190"/>
      <c r="H906" s="190"/>
      <c r="I906" s="190"/>
      <c r="J906" s="190"/>
      <c r="K906" s="190"/>
      <c r="L906" s="190"/>
    </row>
    <row r="907">
      <c r="A907" s="190"/>
      <c r="B907" s="190"/>
      <c r="C907" s="190"/>
      <c r="D907" s="190"/>
      <c r="E907" s="190"/>
      <c r="F907" s="190"/>
      <c r="G907" s="190"/>
      <c r="H907" s="190"/>
      <c r="I907" s="190"/>
      <c r="J907" s="190"/>
      <c r="K907" s="190"/>
      <c r="L907" s="190"/>
    </row>
    <row r="908">
      <c r="A908" s="190"/>
      <c r="B908" s="190"/>
      <c r="C908" s="190"/>
      <c r="D908" s="190"/>
      <c r="E908" s="190"/>
      <c r="F908" s="190"/>
      <c r="G908" s="190"/>
      <c r="H908" s="190"/>
      <c r="I908" s="190"/>
      <c r="J908" s="190"/>
      <c r="K908" s="190"/>
      <c r="L908" s="190"/>
    </row>
    <row r="909">
      <c r="A909" s="190"/>
      <c r="B909" s="190"/>
      <c r="C909" s="190"/>
      <c r="D909" s="190"/>
      <c r="E909" s="190"/>
      <c r="F909" s="190"/>
      <c r="G909" s="190"/>
      <c r="H909" s="190"/>
      <c r="I909" s="190"/>
      <c r="J909" s="190"/>
      <c r="K909" s="190"/>
      <c r="L909" s="190"/>
    </row>
    <row r="910">
      <c r="A910" s="190"/>
      <c r="B910" s="190"/>
      <c r="C910" s="190"/>
      <c r="D910" s="190"/>
      <c r="E910" s="190"/>
      <c r="F910" s="190"/>
      <c r="G910" s="190"/>
      <c r="H910" s="190"/>
      <c r="I910" s="190"/>
      <c r="J910" s="190"/>
      <c r="K910" s="190"/>
      <c r="L910" s="190"/>
    </row>
    <row r="911">
      <c r="A911" s="190"/>
      <c r="B911" s="190"/>
      <c r="C911" s="190"/>
      <c r="D911" s="190"/>
      <c r="E911" s="190"/>
      <c r="F911" s="190"/>
      <c r="G911" s="190"/>
      <c r="H911" s="190"/>
      <c r="I911" s="190"/>
      <c r="J911" s="190"/>
      <c r="K911" s="190"/>
      <c r="L911" s="190"/>
    </row>
    <row r="912">
      <c r="A912" s="190"/>
      <c r="B912" s="190"/>
      <c r="C912" s="190"/>
      <c r="D912" s="190"/>
      <c r="E912" s="190"/>
      <c r="F912" s="190"/>
      <c r="G912" s="190"/>
      <c r="H912" s="190"/>
      <c r="I912" s="190"/>
      <c r="J912" s="190"/>
      <c r="K912" s="190"/>
      <c r="L912" s="190"/>
    </row>
    <row r="913">
      <c r="A913" s="190"/>
      <c r="B913" s="190"/>
      <c r="C913" s="190"/>
      <c r="D913" s="190"/>
      <c r="E913" s="190"/>
      <c r="F913" s="190"/>
      <c r="G913" s="190"/>
      <c r="H913" s="190"/>
      <c r="I913" s="190"/>
      <c r="J913" s="190"/>
      <c r="K913" s="190"/>
      <c r="L913" s="190"/>
    </row>
    <row r="914">
      <c r="A914" s="190"/>
      <c r="B914" s="190"/>
      <c r="C914" s="190"/>
      <c r="D914" s="190"/>
      <c r="E914" s="190"/>
      <c r="F914" s="190"/>
      <c r="G914" s="190"/>
      <c r="H914" s="190"/>
      <c r="I914" s="190"/>
      <c r="J914" s="190"/>
      <c r="K914" s="190"/>
      <c r="L914" s="190"/>
    </row>
    <row r="915">
      <c r="A915" s="190"/>
      <c r="B915" s="190"/>
      <c r="C915" s="190"/>
      <c r="D915" s="190"/>
      <c r="E915" s="190"/>
      <c r="F915" s="190"/>
      <c r="G915" s="190"/>
      <c r="H915" s="190"/>
      <c r="I915" s="190"/>
      <c r="J915" s="190"/>
      <c r="K915" s="190"/>
      <c r="L915" s="190"/>
    </row>
    <row r="916">
      <c r="A916" s="190"/>
      <c r="B916" s="190"/>
      <c r="C916" s="190"/>
      <c r="D916" s="190"/>
      <c r="E916" s="190"/>
      <c r="F916" s="190"/>
      <c r="G916" s="190"/>
      <c r="H916" s="190"/>
      <c r="I916" s="190"/>
      <c r="J916" s="190"/>
      <c r="K916" s="190"/>
      <c r="L916" s="190"/>
    </row>
    <row r="917">
      <c r="A917" s="190"/>
      <c r="B917" s="190"/>
      <c r="C917" s="190"/>
      <c r="D917" s="190"/>
      <c r="E917" s="190"/>
      <c r="F917" s="190"/>
      <c r="G917" s="190"/>
      <c r="H917" s="190"/>
      <c r="I917" s="190"/>
      <c r="J917" s="190"/>
      <c r="K917" s="190"/>
      <c r="L917" s="190"/>
    </row>
    <row r="918">
      <c r="A918" s="190"/>
      <c r="B918" s="190"/>
      <c r="C918" s="190"/>
      <c r="D918" s="190"/>
      <c r="E918" s="190"/>
      <c r="F918" s="190"/>
      <c r="G918" s="190"/>
      <c r="H918" s="190"/>
      <c r="I918" s="190"/>
      <c r="J918" s="190"/>
      <c r="K918" s="190"/>
      <c r="L918" s="190"/>
    </row>
    <row r="919">
      <c r="A919" s="190"/>
      <c r="B919" s="190"/>
      <c r="C919" s="190"/>
      <c r="D919" s="190"/>
      <c r="E919" s="190"/>
      <c r="F919" s="190"/>
      <c r="G919" s="190"/>
      <c r="H919" s="190"/>
      <c r="I919" s="190"/>
      <c r="J919" s="190"/>
      <c r="K919" s="190"/>
      <c r="L919" s="190"/>
    </row>
    <row r="920">
      <c r="A920" s="190"/>
      <c r="B920" s="190"/>
      <c r="C920" s="190"/>
      <c r="D920" s="190"/>
      <c r="E920" s="190"/>
      <c r="F920" s="190"/>
      <c r="G920" s="190"/>
      <c r="H920" s="190"/>
      <c r="I920" s="190"/>
      <c r="J920" s="190"/>
      <c r="K920" s="190"/>
      <c r="L920" s="190"/>
    </row>
    <row r="921">
      <c r="A921" s="190"/>
      <c r="B921" s="190"/>
      <c r="C921" s="190"/>
      <c r="D921" s="190"/>
      <c r="E921" s="190"/>
      <c r="F921" s="190"/>
      <c r="G921" s="190"/>
      <c r="H921" s="190"/>
      <c r="I921" s="190"/>
      <c r="J921" s="190"/>
      <c r="K921" s="190"/>
      <c r="L921" s="190"/>
    </row>
    <row r="922">
      <c r="A922" s="190"/>
      <c r="B922" s="190"/>
      <c r="C922" s="190"/>
      <c r="D922" s="190"/>
      <c r="E922" s="190"/>
      <c r="F922" s="190"/>
      <c r="G922" s="190"/>
      <c r="H922" s="190"/>
      <c r="I922" s="190"/>
      <c r="J922" s="190"/>
      <c r="K922" s="190"/>
      <c r="L922" s="190"/>
    </row>
    <row r="923">
      <c r="A923" s="190"/>
      <c r="B923" s="190"/>
      <c r="C923" s="190"/>
      <c r="D923" s="190"/>
      <c r="E923" s="190"/>
      <c r="F923" s="190"/>
      <c r="G923" s="190"/>
      <c r="H923" s="190"/>
      <c r="I923" s="190"/>
      <c r="J923" s="190"/>
      <c r="K923" s="190"/>
      <c r="L923" s="190"/>
    </row>
    <row r="924">
      <c r="A924" s="190"/>
      <c r="B924" s="190"/>
      <c r="C924" s="190"/>
      <c r="D924" s="190"/>
      <c r="E924" s="190"/>
      <c r="F924" s="190"/>
      <c r="G924" s="190"/>
      <c r="H924" s="190"/>
      <c r="I924" s="190"/>
      <c r="J924" s="190"/>
      <c r="K924" s="190"/>
      <c r="L924" s="190"/>
    </row>
    <row r="925">
      <c r="A925" s="190"/>
      <c r="B925" s="190"/>
      <c r="C925" s="190"/>
      <c r="D925" s="190"/>
      <c r="E925" s="190"/>
      <c r="F925" s="190"/>
      <c r="G925" s="190"/>
      <c r="H925" s="190"/>
      <c r="I925" s="190"/>
      <c r="J925" s="190"/>
      <c r="K925" s="190"/>
      <c r="L925" s="190"/>
    </row>
    <row r="926">
      <c r="A926" s="190"/>
      <c r="B926" s="190"/>
      <c r="C926" s="190"/>
      <c r="D926" s="190"/>
      <c r="E926" s="190"/>
      <c r="F926" s="190"/>
      <c r="G926" s="190"/>
      <c r="H926" s="190"/>
      <c r="I926" s="190"/>
      <c r="J926" s="190"/>
      <c r="K926" s="190"/>
      <c r="L926" s="190"/>
    </row>
    <row r="927">
      <c r="A927" s="190"/>
      <c r="B927" s="190"/>
      <c r="C927" s="190"/>
      <c r="D927" s="190"/>
      <c r="E927" s="190"/>
      <c r="F927" s="190"/>
      <c r="G927" s="190"/>
      <c r="H927" s="190"/>
      <c r="I927" s="190"/>
      <c r="J927" s="190"/>
      <c r="K927" s="190"/>
      <c r="L927" s="190"/>
    </row>
    <row r="928">
      <c r="A928" s="190"/>
      <c r="B928" s="190"/>
      <c r="C928" s="190"/>
      <c r="D928" s="190"/>
      <c r="E928" s="190"/>
      <c r="F928" s="190"/>
      <c r="G928" s="190"/>
      <c r="H928" s="190"/>
      <c r="I928" s="190"/>
      <c r="J928" s="190"/>
      <c r="K928" s="190"/>
      <c r="L928" s="190"/>
    </row>
    <row r="929">
      <c r="A929" s="190"/>
      <c r="B929" s="190"/>
      <c r="C929" s="190"/>
      <c r="D929" s="190"/>
      <c r="E929" s="190"/>
      <c r="F929" s="190"/>
      <c r="G929" s="190"/>
      <c r="H929" s="190"/>
      <c r="I929" s="190"/>
      <c r="J929" s="190"/>
      <c r="K929" s="190"/>
      <c r="L929" s="190"/>
    </row>
    <row r="930">
      <c r="A930" s="190"/>
      <c r="B930" s="190"/>
      <c r="C930" s="190"/>
      <c r="D930" s="190"/>
      <c r="E930" s="190"/>
      <c r="F930" s="190"/>
      <c r="G930" s="190"/>
      <c r="H930" s="190"/>
      <c r="I930" s="190"/>
      <c r="J930" s="190"/>
      <c r="K930" s="190"/>
      <c r="L930" s="190"/>
    </row>
    <row r="931">
      <c r="A931" s="190"/>
      <c r="B931" s="190"/>
      <c r="C931" s="190"/>
      <c r="D931" s="190"/>
      <c r="E931" s="190"/>
      <c r="F931" s="190"/>
      <c r="G931" s="190"/>
      <c r="H931" s="190"/>
      <c r="I931" s="190"/>
      <c r="J931" s="190"/>
      <c r="K931" s="190"/>
      <c r="L931" s="190"/>
    </row>
    <row r="932">
      <c r="A932" s="190"/>
      <c r="B932" s="190"/>
      <c r="C932" s="190"/>
      <c r="D932" s="190"/>
      <c r="E932" s="190"/>
      <c r="F932" s="190"/>
      <c r="G932" s="190"/>
      <c r="H932" s="190"/>
      <c r="I932" s="190"/>
      <c r="J932" s="190"/>
      <c r="K932" s="190"/>
      <c r="L932" s="190"/>
    </row>
    <row r="933">
      <c r="A933" s="190"/>
      <c r="B933" s="190"/>
      <c r="C933" s="190"/>
      <c r="D933" s="190"/>
      <c r="E933" s="190"/>
      <c r="F933" s="190"/>
      <c r="G933" s="190"/>
      <c r="H933" s="190"/>
      <c r="I933" s="190"/>
      <c r="J933" s="190"/>
      <c r="K933" s="190"/>
      <c r="L933" s="190"/>
    </row>
    <row r="934">
      <c r="A934" s="190"/>
      <c r="B934" s="190"/>
      <c r="C934" s="190"/>
      <c r="D934" s="190"/>
      <c r="E934" s="190"/>
      <c r="F934" s="190"/>
      <c r="G934" s="190"/>
      <c r="H934" s="190"/>
      <c r="I934" s="190"/>
      <c r="J934" s="190"/>
      <c r="K934" s="190"/>
      <c r="L934" s="190"/>
    </row>
    <row r="935">
      <c r="A935" s="190"/>
      <c r="B935" s="190"/>
      <c r="C935" s="190"/>
      <c r="D935" s="190"/>
      <c r="E935" s="190"/>
      <c r="F935" s="190"/>
      <c r="G935" s="190"/>
      <c r="H935" s="190"/>
      <c r="I935" s="190"/>
      <c r="J935" s="190"/>
      <c r="K935" s="190"/>
      <c r="L935" s="190"/>
    </row>
    <row r="936">
      <c r="A936" s="190"/>
      <c r="B936" s="190"/>
      <c r="C936" s="190"/>
      <c r="D936" s="190"/>
      <c r="E936" s="190"/>
      <c r="F936" s="190"/>
      <c r="G936" s="190"/>
      <c r="H936" s="190"/>
      <c r="I936" s="190"/>
      <c r="J936" s="190"/>
      <c r="K936" s="190"/>
      <c r="L936" s="190"/>
    </row>
    <row r="937">
      <c r="A937" s="190"/>
      <c r="B937" s="190"/>
      <c r="C937" s="190"/>
      <c r="D937" s="190"/>
      <c r="E937" s="190"/>
      <c r="F937" s="190"/>
      <c r="G937" s="190"/>
      <c r="H937" s="190"/>
      <c r="I937" s="190"/>
      <c r="J937" s="190"/>
      <c r="K937" s="190"/>
      <c r="L937" s="190"/>
    </row>
    <row r="938">
      <c r="A938" s="190"/>
      <c r="B938" s="190"/>
      <c r="C938" s="190"/>
      <c r="D938" s="190"/>
      <c r="E938" s="190"/>
      <c r="F938" s="190"/>
      <c r="G938" s="190"/>
      <c r="H938" s="190"/>
      <c r="I938" s="190"/>
      <c r="J938" s="190"/>
      <c r="K938" s="190"/>
      <c r="L938" s="190"/>
    </row>
    <row r="939">
      <c r="A939" s="190"/>
      <c r="B939" s="190"/>
      <c r="C939" s="190"/>
      <c r="D939" s="190"/>
      <c r="E939" s="190"/>
      <c r="F939" s="190"/>
      <c r="G939" s="190"/>
      <c r="H939" s="190"/>
      <c r="I939" s="190"/>
      <c r="J939" s="190"/>
      <c r="K939" s="190"/>
      <c r="L939" s="190"/>
    </row>
    <row r="940">
      <c r="A940" s="190"/>
      <c r="B940" s="190"/>
      <c r="C940" s="190"/>
      <c r="D940" s="190"/>
      <c r="E940" s="190"/>
      <c r="F940" s="190"/>
      <c r="G940" s="190"/>
      <c r="H940" s="190"/>
      <c r="I940" s="190"/>
      <c r="J940" s="190"/>
      <c r="K940" s="190"/>
      <c r="L940" s="190"/>
    </row>
    <row r="941">
      <c r="A941" s="190"/>
      <c r="B941" s="190"/>
      <c r="C941" s="190"/>
      <c r="D941" s="190"/>
      <c r="E941" s="190"/>
      <c r="F941" s="190"/>
      <c r="G941" s="190"/>
      <c r="H941" s="190"/>
      <c r="I941" s="190"/>
      <c r="J941" s="190"/>
      <c r="K941" s="190"/>
      <c r="L941" s="190"/>
    </row>
    <row r="942">
      <c r="A942" s="190"/>
      <c r="B942" s="190"/>
      <c r="C942" s="190"/>
      <c r="D942" s="190"/>
      <c r="E942" s="190"/>
      <c r="F942" s="190"/>
      <c r="G942" s="190"/>
      <c r="H942" s="190"/>
      <c r="I942" s="190"/>
      <c r="J942" s="190"/>
      <c r="K942" s="190"/>
      <c r="L942" s="190"/>
    </row>
    <row r="943">
      <c r="A943" s="190"/>
      <c r="B943" s="190"/>
      <c r="C943" s="190"/>
      <c r="D943" s="190"/>
      <c r="E943" s="190"/>
      <c r="F943" s="190"/>
      <c r="G943" s="190"/>
      <c r="H943" s="190"/>
      <c r="I943" s="190"/>
      <c r="J943" s="190"/>
      <c r="K943" s="190"/>
      <c r="L943" s="190"/>
    </row>
    <row r="944">
      <c r="A944" s="190"/>
      <c r="B944" s="190"/>
      <c r="C944" s="190"/>
      <c r="D944" s="190"/>
      <c r="E944" s="190"/>
      <c r="F944" s="190"/>
      <c r="G944" s="190"/>
      <c r="H944" s="190"/>
      <c r="I944" s="190"/>
      <c r="J944" s="190"/>
      <c r="K944" s="190"/>
      <c r="L944" s="190"/>
    </row>
    <row r="945">
      <c r="A945" s="190"/>
      <c r="B945" s="190"/>
      <c r="C945" s="190"/>
      <c r="D945" s="190"/>
      <c r="E945" s="190"/>
      <c r="F945" s="190"/>
      <c r="G945" s="190"/>
      <c r="H945" s="190"/>
      <c r="I945" s="190"/>
      <c r="J945" s="190"/>
      <c r="K945" s="190"/>
      <c r="L945" s="190"/>
    </row>
    <row r="946">
      <c r="A946" s="190"/>
      <c r="B946" s="190"/>
      <c r="C946" s="190"/>
      <c r="D946" s="190"/>
      <c r="E946" s="190"/>
      <c r="F946" s="190"/>
      <c r="G946" s="190"/>
      <c r="H946" s="190"/>
      <c r="I946" s="190"/>
      <c r="J946" s="190"/>
      <c r="K946" s="190"/>
      <c r="L946" s="190"/>
    </row>
    <row r="947">
      <c r="A947" s="190"/>
      <c r="B947" s="190"/>
      <c r="C947" s="190"/>
      <c r="D947" s="190"/>
      <c r="E947" s="190"/>
      <c r="F947" s="190"/>
      <c r="G947" s="190"/>
      <c r="H947" s="190"/>
      <c r="I947" s="190"/>
      <c r="J947" s="190"/>
      <c r="K947" s="190"/>
      <c r="L947" s="190"/>
    </row>
    <row r="948">
      <c r="A948" s="190"/>
      <c r="B948" s="190"/>
      <c r="C948" s="190"/>
      <c r="D948" s="190"/>
      <c r="E948" s="190"/>
      <c r="F948" s="190"/>
      <c r="G948" s="190"/>
      <c r="H948" s="190"/>
      <c r="I948" s="190"/>
      <c r="J948" s="190"/>
      <c r="K948" s="190"/>
      <c r="L948" s="190"/>
    </row>
    <row r="949">
      <c r="A949" s="190"/>
      <c r="B949" s="190"/>
      <c r="C949" s="190"/>
      <c r="D949" s="190"/>
      <c r="E949" s="190"/>
      <c r="F949" s="190"/>
      <c r="G949" s="190"/>
      <c r="H949" s="190"/>
      <c r="I949" s="190"/>
      <c r="J949" s="190"/>
      <c r="K949" s="190"/>
      <c r="L949" s="190"/>
    </row>
    <row r="950">
      <c r="A950" s="190"/>
      <c r="B950" s="190"/>
      <c r="C950" s="190"/>
      <c r="D950" s="190"/>
      <c r="E950" s="190"/>
      <c r="F950" s="190"/>
      <c r="G950" s="190"/>
      <c r="H950" s="190"/>
      <c r="I950" s="190"/>
      <c r="J950" s="190"/>
      <c r="K950" s="190"/>
      <c r="L950" s="190"/>
    </row>
    <row r="951">
      <c r="A951" s="190"/>
      <c r="B951" s="190"/>
      <c r="C951" s="190"/>
      <c r="D951" s="190"/>
      <c r="E951" s="190"/>
      <c r="F951" s="190"/>
      <c r="G951" s="190"/>
      <c r="H951" s="190"/>
      <c r="I951" s="190"/>
      <c r="J951" s="190"/>
      <c r="K951" s="190"/>
      <c r="L951" s="190"/>
    </row>
    <row r="952">
      <c r="A952" s="190"/>
      <c r="B952" s="190"/>
      <c r="C952" s="190"/>
      <c r="D952" s="190"/>
      <c r="E952" s="190"/>
      <c r="F952" s="190"/>
      <c r="G952" s="190"/>
      <c r="H952" s="190"/>
      <c r="I952" s="190"/>
      <c r="J952" s="190"/>
      <c r="K952" s="190"/>
      <c r="L952" s="190"/>
    </row>
    <row r="953">
      <c r="A953" s="190"/>
      <c r="B953" s="190"/>
      <c r="C953" s="190"/>
      <c r="D953" s="190"/>
      <c r="E953" s="190"/>
      <c r="F953" s="190"/>
      <c r="G953" s="190"/>
      <c r="H953" s="190"/>
      <c r="I953" s="190"/>
      <c r="J953" s="190"/>
      <c r="K953" s="190"/>
      <c r="L953" s="190"/>
    </row>
    <row r="954">
      <c r="A954" s="190"/>
      <c r="B954" s="190"/>
      <c r="C954" s="190"/>
      <c r="D954" s="190"/>
      <c r="E954" s="190"/>
      <c r="F954" s="190"/>
      <c r="G954" s="190"/>
      <c r="H954" s="190"/>
      <c r="I954" s="190"/>
      <c r="J954" s="190"/>
      <c r="K954" s="190"/>
      <c r="L954" s="190"/>
    </row>
    <row r="955">
      <c r="A955" s="190"/>
      <c r="B955" s="190"/>
      <c r="C955" s="190"/>
      <c r="D955" s="190"/>
      <c r="E955" s="190"/>
      <c r="F955" s="190"/>
      <c r="G955" s="190"/>
      <c r="H955" s="190"/>
      <c r="I955" s="190"/>
      <c r="J955" s="190"/>
      <c r="K955" s="190"/>
      <c r="L955" s="190"/>
    </row>
    <row r="956">
      <c r="A956" s="190"/>
      <c r="B956" s="190"/>
      <c r="C956" s="190"/>
      <c r="D956" s="190"/>
      <c r="E956" s="190"/>
      <c r="F956" s="190"/>
      <c r="G956" s="190"/>
      <c r="H956" s="190"/>
      <c r="I956" s="190"/>
      <c r="J956" s="190"/>
      <c r="K956" s="190"/>
      <c r="L956" s="190"/>
    </row>
    <row r="957">
      <c r="A957" s="190"/>
      <c r="B957" s="190"/>
      <c r="C957" s="190"/>
      <c r="D957" s="190"/>
      <c r="E957" s="190"/>
      <c r="F957" s="190"/>
      <c r="G957" s="190"/>
      <c r="H957" s="190"/>
      <c r="I957" s="190"/>
      <c r="J957" s="190"/>
      <c r="K957" s="190"/>
      <c r="L957" s="190"/>
    </row>
    <row r="958">
      <c r="A958" s="190"/>
      <c r="B958" s="190"/>
      <c r="C958" s="190"/>
      <c r="D958" s="190"/>
      <c r="E958" s="190"/>
      <c r="F958" s="190"/>
      <c r="G958" s="190"/>
      <c r="H958" s="190"/>
      <c r="I958" s="190"/>
      <c r="J958" s="190"/>
      <c r="K958" s="190"/>
      <c r="L958" s="190"/>
    </row>
    <row r="959">
      <c r="A959" s="190"/>
      <c r="B959" s="190"/>
      <c r="C959" s="190"/>
      <c r="D959" s="190"/>
      <c r="E959" s="190"/>
      <c r="F959" s="190"/>
      <c r="G959" s="190"/>
      <c r="H959" s="190"/>
      <c r="I959" s="190"/>
      <c r="J959" s="190"/>
      <c r="K959" s="190"/>
      <c r="L959" s="190"/>
    </row>
    <row r="960">
      <c r="A960" s="190"/>
      <c r="B960" s="190"/>
      <c r="C960" s="190"/>
      <c r="D960" s="190"/>
      <c r="E960" s="190"/>
      <c r="F960" s="190"/>
      <c r="G960" s="190"/>
      <c r="H960" s="190"/>
      <c r="I960" s="190"/>
      <c r="J960" s="190"/>
      <c r="K960" s="190"/>
      <c r="L960" s="190"/>
    </row>
    <row r="961">
      <c r="A961" s="190"/>
      <c r="B961" s="190"/>
      <c r="C961" s="190"/>
      <c r="D961" s="190"/>
      <c r="E961" s="190"/>
      <c r="F961" s="190"/>
      <c r="G961" s="190"/>
      <c r="H961" s="190"/>
      <c r="I961" s="190"/>
      <c r="J961" s="190"/>
      <c r="K961" s="190"/>
      <c r="L961" s="190"/>
    </row>
    <row r="962">
      <c r="A962" s="190"/>
      <c r="B962" s="190"/>
      <c r="C962" s="190"/>
      <c r="D962" s="190"/>
      <c r="E962" s="190"/>
      <c r="F962" s="190"/>
      <c r="G962" s="190"/>
      <c r="H962" s="190"/>
      <c r="I962" s="190"/>
      <c r="J962" s="190"/>
      <c r="K962" s="190"/>
      <c r="L962" s="190"/>
    </row>
    <row r="963">
      <c r="A963" s="190"/>
      <c r="B963" s="190"/>
      <c r="C963" s="190"/>
      <c r="D963" s="190"/>
      <c r="E963" s="190"/>
      <c r="F963" s="190"/>
      <c r="G963" s="190"/>
      <c r="H963" s="190"/>
      <c r="I963" s="190"/>
      <c r="J963" s="190"/>
      <c r="K963" s="190"/>
      <c r="L963" s="190"/>
    </row>
    <row r="964">
      <c r="A964" s="190"/>
      <c r="B964" s="190"/>
      <c r="C964" s="190"/>
      <c r="D964" s="190"/>
      <c r="E964" s="190"/>
      <c r="F964" s="190"/>
      <c r="G964" s="190"/>
      <c r="H964" s="190"/>
      <c r="I964" s="190"/>
      <c r="J964" s="190"/>
      <c r="K964" s="190"/>
      <c r="L964" s="190"/>
    </row>
    <row r="965">
      <c r="A965" s="190"/>
      <c r="B965" s="190"/>
      <c r="C965" s="190"/>
      <c r="D965" s="190"/>
      <c r="E965" s="190"/>
      <c r="F965" s="190"/>
      <c r="G965" s="190"/>
      <c r="H965" s="190"/>
      <c r="I965" s="190"/>
      <c r="J965" s="190"/>
      <c r="K965" s="190"/>
      <c r="L965" s="190"/>
    </row>
    <row r="966">
      <c r="A966" s="190"/>
      <c r="B966" s="190"/>
      <c r="C966" s="190"/>
      <c r="D966" s="190"/>
      <c r="E966" s="190"/>
      <c r="F966" s="190"/>
      <c r="G966" s="190"/>
      <c r="H966" s="190"/>
      <c r="I966" s="190"/>
      <c r="J966" s="190"/>
      <c r="K966" s="190"/>
      <c r="L966" s="190"/>
    </row>
    <row r="967">
      <c r="A967" s="190"/>
      <c r="B967" s="190"/>
      <c r="C967" s="190"/>
      <c r="D967" s="190"/>
      <c r="E967" s="190"/>
      <c r="F967" s="190"/>
      <c r="G967" s="190"/>
      <c r="H967" s="190"/>
      <c r="I967" s="190"/>
      <c r="J967" s="190"/>
      <c r="K967" s="190"/>
      <c r="L967" s="190"/>
    </row>
    <row r="968">
      <c r="A968" s="190"/>
      <c r="B968" s="190"/>
      <c r="C968" s="190"/>
      <c r="D968" s="190"/>
      <c r="E968" s="190"/>
      <c r="F968" s="190"/>
      <c r="G968" s="190"/>
      <c r="H968" s="190"/>
      <c r="I968" s="190"/>
      <c r="J968" s="190"/>
      <c r="K968" s="190"/>
      <c r="L968" s="190"/>
    </row>
    <row r="969">
      <c r="A969" s="190"/>
      <c r="B969" s="190"/>
      <c r="C969" s="190"/>
      <c r="D969" s="190"/>
      <c r="E969" s="190"/>
      <c r="F969" s="190"/>
      <c r="G969" s="190"/>
      <c r="H969" s="190"/>
      <c r="I969" s="190"/>
      <c r="J969" s="190"/>
      <c r="K969" s="190"/>
      <c r="L969" s="190"/>
    </row>
    <row r="970">
      <c r="A970" s="190"/>
      <c r="B970" s="190"/>
      <c r="C970" s="190"/>
      <c r="D970" s="190"/>
      <c r="E970" s="190"/>
      <c r="F970" s="190"/>
      <c r="G970" s="190"/>
      <c r="H970" s="190"/>
      <c r="I970" s="190"/>
      <c r="J970" s="190"/>
      <c r="K970" s="190"/>
      <c r="L970" s="190"/>
    </row>
    <row r="971">
      <c r="A971" s="190"/>
      <c r="B971" s="190"/>
      <c r="C971" s="190"/>
      <c r="D971" s="190"/>
      <c r="E971" s="190"/>
      <c r="F971" s="190"/>
      <c r="G971" s="190"/>
      <c r="H971" s="190"/>
      <c r="I971" s="190"/>
      <c r="J971" s="190"/>
      <c r="K971" s="190"/>
      <c r="L971" s="190"/>
    </row>
    <row r="972">
      <c r="A972" s="190"/>
      <c r="B972" s="190"/>
      <c r="C972" s="190"/>
      <c r="D972" s="190"/>
      <c r="E972" s="190"/>
      <c r="F972" s="190"/>
      <c r="G972" s="190"/>
      <c r="H972" s="190"/>
      <c r="I972" s="190"/>
      <c r="J972" s="190"/>
      <c r="K972" s="190"/>
      <c r="L972" s="190"/>
    </row>
    <row r="973">
      <c r="A973" s="190"/>
      <c r="B973" s="190"/>
      <c r="C973" s="190"/>
      <c r="D973" s="190"/>
      <c r="E973" s="190"/>
      <c r="F973" s="190"/>
      <c r="G973" s="190"/>
      <c r="H973" s="190"/>
      <c r="I973" s="190"/>
      <c r="J973" s="190"/>
      <c r="K973" s="190"/>
      <c r="L973" s="190"/>
    </row>
    <row r="974">
      <c r="A974" s="190"/>
      <c r="B974" s="190"/>
      <c r="C974" s="190"/>
      <c r="D974" s="190"/>
      <c r="E974" s="190"/>
      <c r="F974" s="190"/>
      <c r="G974" s="190"/>
      <c r="H974" s="190"/>
      <c r="I974" s="190"/>
      <c r="J974" s="190"/>
      <c r="K974" s="190"/>
      <c r="L974" s="190"/>
    </row>
    <row r="975">
      <c r="A975" s="190"/>
      <c r="B975" s="190"/>
      <c r="C975" s="190"/>
      <c r="D975" s="190"/>
      <c r="E975" s="190"/>
      <c r="F975" s="190"/>
      <c r="G975" s="190"/>
      <c r="H975" s="190"/>
      <c r="I975" s="190"/>
      <c r="J975" s="190"/>
      <c r="K975" s="190"/>
      <c r="L975" s="190"/>
    </row>
    <row r="976">
      <c r="A976" s="190"/>
      <c r="B976" s="190"/>
      <c r="C976" s="190"/>
      <c r="D976" s="190"/>
      <c r="E976" s="190"/>
      <c r="F976" s="190"/>
      <c r="G976" s="190"/>
      <c r="H976" s="190"/>
      <c r="I976" s="190"/>
      <c r="J976" s="190"/>
      <c r="K976" s="190"/>
      <c r="L976" s="190"/>
    </row>
    <row r="977">
      <c r="A977" s="190"/>
      <c r="B977" s="190"/>
      <c r="C977" s="190"/>
      <c r="D977" s="190"/>
      <c r="E977" s="190"/>
      <c r="F977" s="190"/>
      <c r="G977" s="190"/>
      <c r="H977" s="190"/>
      <c r="I977" s="190"/>
      <c r="J977" s="190"/>
      <c r="K977" s="190"/>
      <c r="L977" s="190"/>
    </row>
    <row r="978">
      <c r="A978" s="190"/>
      <c r="B978" s="190"/>
      <c r="C978" s="190"/>
      <c r="D978" s="190"/>
      <c r="E978" s="190"/>
      <c r="F978" s="190"/>
      <c r="G978" s="190"/>
      <c r="H978" s="190"/>
      <c r="I978" s="190"/>
      <c r="J978" s="190"/>
      <c r="K978" s="190"/>
      <c r="L978" s="190"/>
    </row>
    <row r="979">
      <c r="A979" s="190"/>
      <c r="B979" s="190"/>
      <c r="C979" s="190"/>
      <c r="D979" s="190"/>
      <c r="E979" s="190"/>
      <c r="F979" s="190"/>
      <c r="G979" s="190"/>
      <c r="H979" s="190"/>
      <c r="I979" s="190"/>
      <c r="J979" s="190"/>
      <c r="K979" s="190"/>
      <c r="L979" s="190"/>
    </row>
    <row r="980">
      <c r="A980" s="190"/>
      <c r="B980" s="190"/>
      <c r="C980" s="190"/>
      <c r="D980" s="190"/>
      <c r="E980" s="190"/>
      <c r="F980" s="190"/>
      <c r="G980" s="190"/>
      <c r="H980" s="190"/>
      <c r="I980" s="190"/>
      <c r="J980" s="190"/>
      <c r="K980" s="190"/>
      <c r="L980" s="190"/>
    </row>
    <row r="981">
      <c r="A981" s="190"/>
      <c r="B981" s="190"/>
      <c r="C981" s="190"/>
      <c r="D981" s="190"/>
      <c r="E981" s="190"/>
      <c r="F981" s="190"/>
      <c r="G981" s="190"/>
      <c r="H981" s="190"/>
      <c r="I981" s="190"/>
      <c r="J981" s="190"/>
      <c r="K981" s="190"/>
      <c r="L981" s="190"/>
    </row>
    <row r="982">
      <c r="A982" s="190"/>
      <c r="B982" s="190"/>
      <c r="C982" s="190"/>
      <c r="D982" s="190"/>
      <c r="E982" s="190"/>
      <c r="F982" s="190"/>
      <c r="G982" s="190"/>
      <c r="H982" s="190"/>
      <c r="I982" s="190"/>
      <c r="J982" s="190"/>
      <c r="K982" s="190"/>
      <c r="L982" s="190"/>
    </row>
    <row r="983">
      <c r="A983" s="190"/>
      <c r="B983" s="190"/>
      <c r="C983" s="190"/>
      <c r="D983" s="190"/>
      <c r="E983" s="190"/>
      <c r="F983" s="190"/>
      <c r="G983" s="190"/>
      <c r="H983" s="190"/>
      <c r="I983" s="190"/>
      <c r="J983" s="190"/>
      <c r="K983" s="190"/>
      <c r="L983" s="190"/>
    </row>
    <row r="984">
      <c r="A984" s="190"/>
      <c r="B984" s="190"/>
      <c r="C984" s="190"/>
      <c r="D984" s="190"/>
      <c r="E984" s="190"/>
      <c r="F984" s="190"/>
      <c r="G984" s="190"/>
      <c r="H984" s="190"/>
      <c r="I984" s="190"/>
      <c r="J984" s="190"/>
      <c r="K984" s="190"/>
      <c r="L984" s="190"/>
    </row>
    <row r="985">
      <c r="A985" s="190"/>
      <c r="B985" s="190"/>
      <c r="C985" s="190"/>
      <c r="D985" s="190"/>
      <c r="E985" s="190"/>
      <c r="F985" s="190"/>
      <c r="G985" s="190"/>
      <c r="H985" s="190"/>
      <c r="I985" s="190"/>
      <c r="J985" s="190"/>
      <c r="K985" s="190"/>
      <c r="L985" s="190"/>
    </row>
    <row r="986">
      <c r="A986" s="190"/>
      <c r="B986" s="190"/>
      <c r="C986" s="190"/>
      <c r="D986" s="190"/>
      <c r="E986" s="190"/>
      <c r="F986" s="190"/>
      <c r="G986" s="190"/>
      <c r="H986" s="190"/>
      <c r="I986" s="190"/>
      <c r="J986" s="190"/>
      <c r="K986" s="190"/>
      <c r="L986" s="190"/>
    </row>
    <row r="987">
      <c r="A987" s="190"/>
      <c r="B987" s="190"/>
      <c r="C987" s="190"/>
      <c r="D987" s="190"/>
      <c r="E987" s="190"/>
      <c r="F987" s="190"/>
      <c r="G987" s="190"/>
      <c r="H987" s="190"/>
      <c r="I987" s="190"/>
      <c r="J987" s="190"/>
      <c r="K987" s="190"/>
      <c r="L987" s="190"/>
    </row>
    <row r="988">
      <c r="A988" s="190"/>
      <c r="B988" s="190"/>
      <c r="C988" s="190"/>
      <c r="D988" s="190"/>
      <c r="E988" s="190"/>
      <c r="F988" s="190"/>
      <c r="G988" s="190"/>
      <c r="H988" s="190"/>
      <c r="I988" s="190"/>
      <c r="J988" s="190"/>
      <c r="K988" s="190"/>
      <c r="L988" s="190"/>
    </row>
    <row r="989">
      <c r="A989" s="190"/>
      <c r="B989" s="190"/>
      <c r="C989" s="190"/>
      <c r="D989" s="190"/>
      <c r="E989" s="190"/>
      <c r="F989" s="190"/>
      <c r="G989" s="190"/>
      <c r="H989" s="190"/>
      <c r="I989" s="190"/>
      <c r="J989" s="190"/>
      <c r="K989" s="190"/>
      <c r="L989" s="190"/>
    </row>
    <row r="990">
      <c r="A990" s="190"/>
      <c r="B990" s="190"/>
      <c r="C990" s="190"/>
      <c r="D990" s="190"/>
      <c r="E990" s="190"/>
      <c r="F990" s="190"/>
      <c r="G990" s="190"/>
      <c r="H990" s="190"/>
      <c r="I990" s="190"/>
      <c r="J990" s="190"/>
      <c r="K990" s="190"/>
      <c r="L990" s="190"/>
    </row>
    <row r="991">
      <c r="A991" s="190"/>
      <c r="B991" s="190"/>
      <c r="C991" s="190"/>
      <c r="D991" s="190"/>
      <c r="E991" s="190"/>
      <c r="F991" s="190"/>
      <c r="G991" s="190"/>
      <c r="H991" s="190"/>
      <c r="I991" s="190"/>
      <c r="J991" s="190"/>
      <c r="K991" s="190"/>
      <c r="L991" s="190"/>
    </row>
    <row r="992">
      <c r="A992" s="190"/>
      <c r="B992" s="190"/>
      <c r="C992" s="190"/>
      <c r="D992" s="190"/>
      <c r="E992" s="190"/>
      <c r="F992" s="190"/>
      <c r="G992" s="190"/>
      <c r="H992" s="190"/>
      <c r="I992" s="190"/>
      <c r="J992" s="190"/>
      <c r="K992" s="190"/>
      <c r="L992" s="190"/>
    </row>
    <row r="993">
      <c r="A993" s="190"/>
      <c r="B993" s="190"/>
      <c r="C993" s="190"/>
      <c r="D993" s="190"/>
      <c r="E993" s="190"/>
      <c r="F993" s="190"/>
      <c r="G993" s="190"/>
      <c r="H993" s="190"/>
      <c r="I993" s="190"/>
      <c r="J993" s="190"/>
      <c r="K993" s="190"/>
      <c r="L993" s="190"/>
    </row>
    <row r="994">
      <c r="A994" s="190"/>
      <c r="B994" s="190"/>
      <c r="C994" s="190"/>
      <c r="D994" s="190"/>
      <c r="E994" s="190"/>
      <c r="F994" s="190"/>
      <c r="G994" s="190"/>
      <c r="H994" s="190"/>
      <c r="I994" s="190"/>
      <c r="J994" s="190"/>
      <c r="K994" s="190"/>
      <c r="L994" s="190"/>
    </row>
    <row r="995">
      <c r="A995" s="190"/>
      <c r="B995" s="190"/>
      <c r="C995" s="190"/>
      <c r="D995" s="190"/>
      <c r="E995" s="190"/>
      <c r="F995" s="190"/>
      <c r="G995" s="190"/>
      <c r="H995" s="190"/>
      <c r="I995" s="190"/>
      <c r="J995" s="190"/>
      <c r="K995" s="190"/>
      <c r="L995" s="190"/>
    </row>
    <row r="996">
      <c r="A996" s="190"/>
      <c r="B996" s="190"/>
      <c r="C996" s="190"/>
      <c r="D996" s="190"/>
      <c r="E996" s="190"/>
      <c r="F996" s="190"/>
      <c r="G996" s="190"/>
      <c r="H996" s="190"/>
      <c r="I996" s="190"/>
      <c r="J996" s="190"/>
      <c r="K996" s="190"/>
      <c r="L996" s="190"/>
    </row>
    <row r="997">
      <c r="A997" s="190"/>
      <c r="B997" s="190"/>
      <c r="C997" s="190"/>
      <c r="D997" s="190"/>
      <c r="E997" s="190"/>
      <c r="F997" s="190"/>
      <c r="G997" s="190"/>
      <c r="H997" s="190"/>
      <c r="I997" s="190"/>
      <c r="J997" s="190"/>
      <c r="K997" s="190"/>
      <c r="L997" s="190"/>
    </row>
    <row r="998">
      <c r="A998" s="190"/>
      <c r="B998" s="190"/>
      <c r="C998" s="190"/>
      <c r="D998" s="190"/>
      <c r="E998" s="190"/>
      <c r="F998" s="190"/>
      <c r="G998" s="190"/>
      <c r="H998" s="190"/>
      <c r="I998" s="190"/>
      <c r="J998" s="190"/>
      <c r="K998" s="190"/>
      <c r="L998" s="190"/>
    </row>
    <row r="999">
      <c r="A999" s="190"/>
      <c r="B999" s="190"/>
      <c r="C999" s="190"/>
      <c r="D999" s="190"/>
      <c r="E999" s="190"/>
      <c r="F999" s="190"/>
      <c r="G999" s="190"/>
      <c r="H999" s="190"/>
      <c r="I999" s="190"/>
      <c r="J999" s="190"/>
      <c r="K999" s="190"/>
      <c r="L999" s="190"/>
    </row>
    <row r="1000">
      <c r="A1000" s="190"/>
      <c r="B1000" s="190"/>
      <c r="C1000" s="190"/>
      <c r="D1000" s="190"/>
      <c r="E1000" s="190"/>
      <c r="F1000" s="190"/>
      <c r="G1000" s="190"/>
      <c r="H1000" s="190"/>
      <c r="I1000" s="190"/>
      <c r="J1000" s="190"/>
      <c r="K1000" s="190"/>
      <c r="L1000" s="19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
    <col customWidth="1" min="2" max="2" width="7.0"/>
    <col customWidth="1" min="3" max="3" width="23.43"/>
    <col customWidth="1" min="4" max="4" width="11.71"/>
    <col customWidth="1" min="5" max="5" width="21.57"/>
    <col customWidth="1" min="6" max="6" width="21.14"/>
    <col customWidth="1" min="7" max="7" width="18.43"/>
    <col customWidth="1" min="8" max="8" width="18.57"/>
    <col customWidth="1" min="9" max="9" width="16.86"/>
    <col customWidth="1" min="10" max="10" width="17.43"/>
    <col customWidth="1" min="11" max="11" width="19.71"/>
  </cols>
  <sheetData>
    <row r="1" ht="14.25" customHeight="1">
      <c r="A1" s="283"/>
      <c r="B1" s="284" t="s">
        <v>8029</v>
      </c>
      <c r="C1" s="285" t="s">
        <v>8031</v>
      </c>
      <c r="D1" s="286">
        <v>43090.0</v>
      </c>
      <c r="E1" s="285" t="s">
        <v>8033</v>
      </c>
      <c r="F1" s="287" t="s">
        <v>8034</v>
      </c>
      <c r="G1" s="288" t="s">
        <v>8035</v>
      </c>
      <c r="H1" s="289" t="s">
        <v>8038</v>
      </c>
      <c r="I1" s="290" t="s">
        <v>8039</v>
      </c>
      <c r="J1" s="291" t="s">
        <v>8041</v>
      </c>
      <c r="K1" s="292"/>
      <c r="L1" s="283"/>
      <c r="M1" s="283"/>
      <c r="N1" s="283"/>
      <c r="O1" s="283"/>
      <c r="P1" s="283"/>
      <c r="Q1" s="283"/>
      <c r="R1" s="283"/>
      <c r="S1" s="283"/>
      <c r="T1" s="283"/>
      <c r="U1" s="283"/>
      <c r="V1" s="283"/>
      <c r="W1" s="283"/>
      <c r="X1" s="283"/>
      <c r="Y1" s="283"/>
      <c r="Z1" s="283"/>
    </row>
    <row r="2" ht="14.25" customHeight="1">
      <c r="A2" s="283"/>
      <c r="B2" s="293" t="s">
        <v>8044</v>
      </c>
      <c r="C2" s="293" t="s">
        <v>8045</v>
      </c>
      <c r="D2" s="294" t="s">
        <v>8046</v>
      </c>
      <c r="E2" s="295"/>
      <c r="F2" s="295"/>
      <c r="G2" s="295"/>
      <c r="H2" s="295"/>
      <c r="I2" s="295"/>
      <c r="J2" s="295"/>
      <c r="K2" s="296"/>
      <c r="L2" s="283"/>
      <c r="M2" s="283"/>
      <c r="N2" s="283"/>
      <c r="O2" s="283"/>
      <c r="P2" s="283"/>
      <c r="Q2" s="283"/>
      <c r="R2" s="283"/>
      <c r="S2" s="283"/>
      <c r="T2" s="283"/>
      <c r="U2" s="283"/>
      <c r="V2" s="283"/>
      <c r="W2" s="283"/>
      <c r="X2" s="283"/>
      <c r="Y2" s="283"/>
      <c r="Z2" s="283"/>
    </row>
    <row r="3" ht="14.25" customHeight="1">
      <c r="A3" s="283"/>
      <c r="B3" s="297" t="s">
        <v>8048</v>
      </c>
      <c r="C3" s="298" t="s">
        <v>8050</v>
      </c>
      <c r="D3" s="299"/>
      <c r="E3" s="299"/>
      <c r="F3" s="299"/>
      <c r="G3" s="299"/>
      <c r="H3" s="299"/>
      <c r="I3" s="299"/>
      <c r="J3" s="299"/>
      <c r="K3" s="299"/>
      <c r="L3" s="283"/>
      <c r="M3" s="283"/>
      <c r="N3" s="283"/>
      <c r="O3" s="283"/>
      <c r="P3" s="283"/>
      <c r="Q3" s="283"/>
      <c r="R3" s="283"/>
      <c r="S3" s="283"/>
      <c r="T3" s="283"/>
      <c r="U3" s="283"/>
      <c r="V3" s="283"/>
      <c r="W3" s="283"/>
      <c r="X3" s="283"/>
      <c r="Y3" s="283"/>
      <c r="Z3" s="283"/>
    </row>
    <row r="4" ht="14.25" customHeight="1">
      <c r="A4" s="283"/>
      <c r="B4" s="254"/>
      <c r="C4" s="298" t="s">
        <v>8052</v>
      </c>
      <c r="D4" s="299"/>
      <c r="E4" s="284" t="s">
        <v>8053</v>
      </c>
      <c r="F4" s="299"/>
      <c r="G4" s="299"/>
      <c r="H4" s="299"/>
      <c r="I4" s="299"/>
      <c r="J4" s="299"/>
      <c r="K4" s="299"/>
      <c r="L4" s="283"/>
      <c r="M4" s="283"/>
      <c r="N4" s="283"/>
      <c r="O4" s="283"/>
      <c r="P4" s="283"/>
      <c r="Q4" s="283"/>
      <c r="R4" s="283"/>
      <c r="S4" s="283"/>
      <c r="T4" s="283"/>
      <c r="U4" s="283"/>
      <c r="V4" s="283"/>
      <c r="W4" s="283"/>
      <c r="X4" s="283"/>
      <c r="Y4" s="283"/>
      <c r="Z4" s="283"/>
    </row>
    <row r="5" ht="14.25" customHeight="1">
      <c r="A5" s="283"/>
      <c r="B5" s="254"/>
      <c r="C5" s="300" t="s">
        <v>8054</v>
      </c>
      <c r="D5" s="301" t="s">
        <v>8055</v>
      </c>
      <c r="E5" s="284" t="s">
        <v>8056</v>
      </c>
      <c r="F5" s="284" t="s">
        <v>8057</v>
      </c>
      <c r="G5" s="284" t="s">
        <v>8058</v>
      </c>
      <c r="H5" s="299"/>
      <c r="I5" s="299"/>
      <c r="J5" s="299"/>
      <c r="K5" s="299"/>
      <c r="L5" s="283"/>
      <c r="M5" s="283"/>
      <c r="N5" s="283"/>
      <c r="O5" s="283"/>
      <c r="P5" s="283"/>
      <c r="Q5" s="283"/>
      <c r="R5" s="283"/>
      <c r="S5" s="283"/>
      <c r="T5" s="283"/>
      <c r="U5" s="283"/>
      <c r="V5" s="283"/>
      <c r="W5" s="283"/>
      <c r="X5" s="283"/>
      <c r="Y5" s="283"/>
      <c r="Z5" s="283"/>
    </row>
    <row r="6" ht="14.25" customHeight="1">
      <c r="A6" s="283"/>
      <c r="B6" s="258"/>
      <c r="C6" s="300" t="s">
        <v>8059</v>
      </c>
      <c r="D6" s="301" t="s">
        <v>8055</v>
      </c>
      <c r="E6" s="284" t="s">
        <v>8060</v>
      </c>
      <c r="F6" s="299"/>
      <c r="G6" s="299"/>
      <c r="H6" s="299"/>
      <c r="I6" s="299"/>
      <c r="J6" s="299"/>
      <c r="K6" s="299"/>
      <c r="L6" s="283"/>
      <c r="M6" s="283"/>
      <c r="N6" s="283"/>
      <c r="O6" s="283"/>
      <c r="P6" s="283"/>
      <c r="Q6" s="283"/>
      <c r="R6" s="283"/>
      <c r="S6" s="283"/>
      <c r="T6" s="283"/>
      <c r="U6" s="283"/>
      <c r="V6" s="283"/>
      <c r="W6" s="283"/>
      <c r="X6" s="283"/>
      <c r="Y6" s="283"/>
      <c r="Z6" s="283"/>
    </row>
    <row r="7" ht="14.25" customHeight="1">
      <c r="A7" s="283"/>
      <c r="B7" s="297" t="s">
        <v>8061</v>
      </c>
      <c r="C7" s="300" t="s">
        <v>8062</v>
      </c>
      <c r="D7" s="302" t="s">
        <v>8055</v>
      </c>
      <c r="E7" s="302" t="s">
        <v>8063</v>
      </c>
      <c r="F7" s="302" t="s">
        <v>8064</v>
      </c>
      <c r="G7" s="302" t="s">
        <v>8065</v>
      </c>
      <c r="H7" s="299"/>
      <c r="I7" s="299"/>
      <c r="J7" s="299"/>
      <c r="K7" s="299"/>
      <c r="L7" s="283"/>
      <c r="M7" s="283"/>
      <c r="N7" s="283"/>
      <c r="O7" s="283"/>
      <c r="P7" s="283"/>
      <c r="Q7" s="283"/>
      <c r="R7" s="283"/>
      <c r="S7" s="283"/>
      <c r="T7" s="283"/>
      <c r="U7" s="283"/>
      <c r="V7" s="283"/>
      <c r="W7" s="283"/>
      <c r="X7" s="283"/>
      <c r="Y7" s="283"/>
      <c r="Z7" s="283"/>
    </row>
    <row r="8" ht="14.25" customHeight="1">
      <c r="A8" s="283"/>
      <c r="B8" s="254"/>
      <c r="C8" s="300" t="s">
        <v>8066</v>
      </c>
      <c r="D8" s="302" t="s">
        <v>8055</v>
      </c>
      <c r="E8" s="301" t="s">
        <v>8067</v>
      </c>
      <c r="F8" s="301" t="s">
        <v>8068</v>
      </c>
      <c r="G8" s="299"/>
      <c r="H8" s="299"/>
      <c r="I8" s="299"/>
      <c r="J8" s="299"/>
      <c r="K8" s="299"/>
      <c r="L8" s="283"/>
      <c r="M8" s="283"/>
      <c r="N8" s="283"/>
      <c r="O8" s="283"/>
      <c r="P8" s="283"/>
      <c r="Q8" s="283"/>
      <c r="R8" s="283"/>
      <c r="S8" s="283"/>
      <c r="T8" s="283"/>
      <c r="U8" s="283"/>
      <c r="V8" s="283"/>
      <c r="W8" s="283"/>
      <c r="X8" s="283"/>
      <c r="Y8" s="283"/>
      <c r="Z8" s="283"/>
    </row>
    <row r="9" ht="14.25" customHeight="1">
      <c r="A9" s="283"/>
      <c r="B9" s="254"/>
      <c r="C9" s="300" t="s">
        <v>8069</v>
      </c>
      <c r="D9" s="302" t="s">
        <v>8055</v>
      </c>
      <c r="E9" s="301" t="s">
        <v>8070</v>
      </c>
      <c r="F9" s="301" t="s">
        <v>8071</v>
      </c>
      <c r="G9" s="301" t="s">
        <v>8072</v>
      </c>
      <c r="H9" s="299"/>
      <c r="I9" s="299"/>
      <c r="J9" s="299"/>
      <c r="K9" s="299"/>
      <c r="L9" s="283"/>
      <c r="M9" s="283"/>
      <c r="N9" s="283"/>
      <c r="O9" s="283"/>
      <c r="P9" s="283"/>
      <c r="Q9" s="283"/>
      <c r="R9" s="283"/>
      <c r="S9" s="283"/>
      <c r="T9" s="283"/>
      <c r="U9" s="283"/>
      <c r="V9" s="283"/>
      <c r="W9" s="283"/>
      <c r="X9" s="283"/>
      <c r="Y9" s="283"/>
      <c r="Z9" s="283"/>
    </row>
    <row r="10" ht="14.25" customHeight="1">
      <c r="A10" s="283"/>
      <c r="B10" s="254"/>
      <c r="C10" s="300" t="s">
        <v>8073</v>
      </c>
      <c r="D10" s="302" t="s">
        <v>8055</v>
      </c>
      <c r="E10" s="301" t="s">
        <v>8074</v>
      </c>
      <c r="F10" s="299"/>
      <c r="G10" s="299"/>
      <c r="H10" s="299"/>
      <c r="I10" s="299"/>
      <c r="J10" s="299"/>
      <c r="K10" s="299"/>
      <c r="L10" s="283"/>
      <c r="M10" s="283"/>
      <c r="N10" s="283"/>
      <c r="O10" s="283"/>
      <c r="P10" s="283"/>
      <c r="Q10" s="283"/>
      <c r="R10" s="283"/>
      <c r="S10" s="283"/>
      <c r="T10" s="283"/>
      <c r="U10" s="283"/>
      <c r="V10" s="283"/>
      <c r="W10" s="283"/>
      <c r="X10" s="283"/>
      <c r="Y10" s="283"/>
      <c r="Z10" s="283"/>
    </row>
    <row r="11" ht="14.25" customHeight="1">
      <c r="A11" s="283"/>
      <c r="B11" s="254"/>
      <c r="C11" s="303" t="s">
        <v>8075</v>
      </c>
      <c r="D11" s="301" t="s">
        <v>8055</v>
      </c>
      <c r="E11" s="284" t="s">
        <v>8077</v>
      </c>
      <c r="F11" s="284" t="s">
        <v>8078</v>
      </c>
      <c r="G11" s="302" t="s">
        <v>8079</v>
      </c>
      <c r="H11" s="301" t="s">
        <v>8080</v>
      </c>
      <c r="I11" s="284" t="s">
        <v>8081</v>
      </c>
      <c r="J11" s="301" t="s">
        <v>8082</v>
      </c>
      <c r="K11" s="284" t="s">
        <v>8083</v>
      </c>
      <c r="L11" s="283"/>
      <c r="M11" s="283"/>
      <c r="N11" s="283"/>
      <c r="O11" s="283"/>
      <c r="P11" s="283"/>
      <c r="Q11" s="283"/>
      <c r="R11" s="283"/>
      <c r="S11" s="283"/>
      <c r="T11" s="283"/>
      <c r="U11" s="283"/>
      <c r="V11" s="283"/>
      <c r="W11" s="283"/>
      <c r="X11" s="283"/>
      <c r="Y11" s="283"/>
      <c r="Z11" s="283"/>
    </row>
    <row r="12" ht="14.25" customHeight="1">
      <c r="A12" s="283"/>
      <c r="B12" s="254"/>
      <c r="C12" s="258"/>
      <c r="D12" s="299"/>
      <c r="E12" s="284" t="s">
        <v>8084</v>
      </c>
      <c r="F12" s="198" t="s">
        <v>8085</v>
      </c>
      <c r="G12" s="302" t="s">
        <v>8086</v>
      </c>
      <c r="H12" s="301" t="s">
        <v>8088</v>
      </c>
      <c r="I12" s="284" t="s">
        <v>8089</v>
      </c>
      <c r="J12" s="299"/>
      <c r="K12" s="299"/>
      <c r="L12" s="283"/>
      <c r="M12" s="283"/>
      <c r="N12" s="283"/>
      <c r="O12" s="283"/>
      <c r="P12" s="283"/>
      <c r="Q12" s="283"/>
      <c r="R12" s="283"/>
      <c r="S12" s="283"/>
      <c r="T12" s="283"/>
      <c r="U12" s="283"/>
      <c r="V12" s="283"/>
      <c r="W12" s="283"/>
      <c r="X12" s="283"/>
      <c r="Y12" s="283"/>
      <c r="Z12" s="283"/>
    </row>
    <row r="13" ht="14.25" customHeight="1">
      <c r="A13" s="283"/>
      <c r="B13" s="254"/>
      <c r="C13" s="303" t="s">
        <v>8090</v>
      </c>
      <c r="D13" s="302" t="s">
        <v>8055</v>
      </c>
      <c r="E13" s="302" t="s">
        <v>8091</v>
      </c>
      <c r="F13" s="301" t="s">
        <v>8092</v>
      </c>
      <c r="G13" s="301" t="s">
        <v>8093</v>
      </c>
      <c r="H13" s="301" t="s">
        <v>8094</v>
      </c>
      <c r="I13" s="284" t="s">
        <v>8095</v>
      </c>
      <c r="J13" s="284" t="s">
        <v>8096</v>
      </c>
      <c r="K13" s="284" t="s">
        <v>8097</v>
      </c>
      <c r="L13" s="283"/>
      <c r="M13" s="283"/>
      <c r="N13" s="283"/>
      <c r="O13" s="283"/>
      <c r="P13" s="283"/>
      <c r="Q13" s="283"/>
      <c r="R13" s="283"/>
      <c r="S13" s="283"/>
      <c r="T13" s="283"/>
      <c r="U13" s="283"/>
      <c r="V13" s="283"/>
      <c r="W13" s="283"/>
      <c r="X13" s="283"/>
      <c r="Y13" s="283"/>
      <c r="Z13" s="283"/>
    </row>
    <row r="14" ht="14.25" customHeight="1">
      <c r="A14" s="283"/>
      <c r="B14" s="254"/>
      <c r="C14" s="258"/>
      <c r="D14" s="299"/>
      <c r="E14" s="299"/>
      <c r="F14" s="299"/>
      <c r="G14" s="299"/>
      <c r="H14" s="299"/>
      <c r="I14" s="299"/>
      <c r="J14" s="299"/>
      <c r="K14" s="299"/>
      <c r="L14" s="283"/>
      <c r="M14" s="283"/>
      <c r="N14" s="283"/>
      <c r="O14" s="283"/>
      <c r="P14" s="283"/>
      <c r="Q14" s="283"/>
      <c r="R14" s="283"/>
      <c r="S14" s="283"/>
      <c r="T14" s="283"/>
      <c r="U14" s="283"/>
      <c r="V14" s="283"/>
      <c r="W14" s="283"/>
      <c r="X14" s="283"/>
      <c r="Y14" s="283"/>
      <c r="Z14" s="283"/>
    </row>
    <row r="15" ht="14.25" customHeight="1">
      <c r="A15" s="283"/>
      <c r="B15" s="254"/>
      <c r="C15" s="303" t="s">
        <v>8098</v>
      </c>
      <c r="D15" s="284" t="s">
        <v>8055</v>
      </c>
      <c r="E15" s="302" t="s">
        <v>8099</v>
      </c>
      <c r="F15" s="284" t="s">
        <v>8100</v>
      </c>
      <c r="G15" s="284" t="s">
        <v>8101</v>
      </c>
      <c r="H15" s="284" t="s">
        <v>8102</v>
      </c>
      <c r="I15" s="302" t="s">
        <v>8103</v>
      </c>
      <c r="J15" s="302" t="s">
        <v>8104</v>
      </c>
      <c r="K15" s="299"/>
      <c r="L15" s="283"/>
      <c r="M15" s="283"/>
      <c r="N15" s="283"/>
      <c r="O15" s="283"/>
      <c r="P15" s="283"/>
      <c r="Q15" s="283"/>
      <c r="R15" s="283"/>
      <c r="S15" s="283"/>
      <c r="T15" s="283"/>
      <c r="U15" s="283"/>
      <c r="V15" s="283"/>
      <c r="W15" s="283"/>
      <c r="X15" s="283"/>
      <c r="Y15" s="283"/>
      <c r="Z15" s="283"/>
    </row>
    <row r="16" ht="14.25" customHeight="1">
      <c r="A16" s="283"/>
      <c r="B16" s="254"/>
      <c r="C16" s="258"/>
      <c r="D16" s="299"/>
      <c r="E16" s="284" t="s">
        <v>8084</v>
      </c>
      <c r="F16" s="284" t="s">
        <v>8105</v>
      </c>
      <c r="G16" s="299"/>
      <c r="H16" s="299"/>
      <c r="I16" s="299"/>
      <c r="J16" s="299"/>
      <c r="K16" s="299"/>
      <c r="L16" s="283"/>
      <c r="M16" s="283"/>
      <c r="N16" s="283"/>
      <c r="O16" s="283"/>
      <c r="P16" s="283"/>
      <c r="Q16" s="283"/>
      <c r="R16" s="283"/>
      <c r="S16" s="283"/>
      <c r="T16" s="283"/>
      <c r="U16" s="283"/>
      <c r="V16" s="283"/>
      <c r="W16" s="283"/>
      <c r="X16" s="283"/>
      <c r="Y16" s="283"/>
      <c r="Z16" s="283"/>
    </row>
    <row r="17" ht="14.25" customHeight="1">
      <c r="A17" s="283"/>
      <c r="B17" s="254"/>
      <c r="C17" s="300" t="s">
        <v>8106</v>
      </c>
      <c r="D17" s="301" t="s">
        <v>8055</v>
      </c>
      <c r="E17" s="302" t="s">
        <v>8107</v>
      </c>
      <c r="F17" s="302" t="s">
        <v>8108</v>
      </c>
      <c r="G17" s="299"/>
      <c r="H17" s="299"/>
      <c r="I17" s="299"/>
      <c r="J17" s="299"/>
      <c r="K17" s="299"/>
      <c r="L17" s="283"/>
      <c r="M17" s="283"/>
      <c r="N17" s="283"/>
      <c r="O17" s="283"/>
      <c r="P17" s="283"/>
      <c r="Q17" s="283"/>
      <c r="R17" s="283"/>
      <c r="S17" s="283"/>
      <c r="T17" s="283"/>
      <c r="U17" s="283"/>
      <c r="V17" s="283"/>
      <c r="W17" s="283"/>
      <c r="X17" s="283"/>
      <c r="Y17" s="283"/>
      <c r="Z17" s="283"/>
    </row>
    <row r="18" ht="14.25" customHeight="1">
      <c r="A18" s="283"/>
      <c r="B18" s="254"/>
      <c r="C18" s="300" t="s">
        <v>8109</v>
      </c>
      <c r="D18" s="301" t="s">
        <v>8055</v>
      </c>
      <c r="E18" s="301" t="s">
        <v>8110</v>
      </c>
      <c r="F18" s="301" t="s">
        <v>8111</v>
      </c>
      <c r="G18" s="301"/>
      <c r="H18" s="299"/>
      <c r="I18" s="299"/>
      <c r="J18" s="299"/>
      <c r="K18" s="299"/>
      <c r="L18" s="283"/>
      <c r="M18" s="283"/>
      <c r="N18" s="283"/>
      <c r="O18" s="283"/>
      <c r="P18" s="283"/>
      <c r="Q18" s="283"/>
      <c r="R18" s="283"/>
      <c r="S18" s="283"/>
      <c r="T18" s="283"/>
      <c r="U18" s="283"/>
      <c r="V18" s="283"/>
      <c r="W18" s="283"/>
      <c r="X18" s="283"/>
      <c r="Y18" s="283"/>
      <c r="Z18" s="283"/>
    </row>
    <row r="19" ht="14.25" customHeight="1">
      <c r="A19" s="283"/>
      <c r="B19" s="258"/>
      <c r="C19" s="300" t="s">
        <v>8112</v>
      </c>
      <c r="D19" s="301" t="s">
        <v>8055</v>
      </c>
      <c r="E19" s="284" t="s">
        <v>8113</v>
      </c>
      <c r="F19" s="284" t="s">
        <v>8114</v>
      </c>
      <c r="G19" s="301" t="s">
        <v>8115</v>
      </c>
      <c r="H19" s="299"/>
      <c r="I19" s="299"/>
      <c r="J19" s="299"/>
      <c r="K19" s="299"/>
      <c r="L19" s="283"/>
      <c r="M19" s="283"/>
      <c r="N19" s="283"/>
      <c r="O19" s="283"/>
      <c r="P19" s="283"/>
      <c r="Q19" s="283"/>
      <c r="R19" s="283"/>
      <c r="S19" s="283"/>
      <c r="T19" s="283"/>
      <c r="U19" s="283"/>
      <c r="V19" s="283"/>
      <c r="W19" s="283"/>
      <c r="X19" s="283"/>
      <c r="Y19" s="283"/>
      <c r="Z19" s="283"/>
    </row>
    <row r="20" ht="14.25" customHeight="1">
      <c r="A20" s="283"/>
      <c r="B20" s="297" t="s">
        <v>7245</v>
      </c>
      <c r="C20" s="298" t="s">
        <v>8117</v>
      </c>
      <c r="D20" s="299"/>
      <c r="E20" s="299"/>
      <c r="F20" s="299"/>
      <c r="G20" s="299"/>
      <c r="H20" s="299"/>
      <c r="I20" s="299"/>
      <c r="J20" s="299"/>
      <c r="K20" s="299"/>
      <c r="L20" s="283"/>
      <c r="M20" s="283"/>
      <c r="N20" s="283"/>
      <c r="O20" s="283"/>
      <c r="P20" s="283"/>
      <c r="Q20" s="283"/>
      <c r="R20" s="283"/>
      <c r="S20" s="283"/>
      <c r="T20" s="283"/>
      <c r="U20" s="283"/>
      <c r="V20" s="283"/>
      <c r="W20" s="283"/>
      <c r="X20" s="283"/>
      <c r="Y20" s="283"/>
      <c r="Z20" s="283"/>
    </row>
    <row r="21" ht="14.25" customHeight="1">
      <c r="A21" s="283"/>
      <c r="B21" s="254"/>
      <c r="C21" s="298" t="s">
        <v>8118</v>
      </c>
      <c r="D21" s="299"/>
      <c r="E21" s="299"/>
      <c r="F21" s="299"/>
      <c r="G21" s="299"/>
      <c r="H21" s="299"/>
      <c r="I21" s="299"/>
      <c r="J21" s="299"/>
      <c r="K21" s="299"/>
      <c r="L21" s="283"/>
      <c r="M21" s="283"/>
      <c r="N21" s="283"/>
      <c r="O21" s="283"/>
      <c r="P21" s="283"/>
      <c r="Q21" s="283"/>
      <c r="R21" s="283"/>
      <c r="S21" s="283"/>
      <c r="T21" s="283"/>
      <c r="U21" s="283"/>
      <c r="V21" s="283"/>
      <c r="W21" s="283"/>
      <c r="X21" s="283"/>
      <c r="Y21" s="283"/>
      <c r="Z21" s="283"/>
    </row>
    <row r="22" ht="14.25" customHeight="1">
      <c r="A22" s="283"/>
      <c r="B22" s="254"/>
      <c r="C22" s="298" t="s">
        <v>8119</v>
      </c>
      <c r="D22" s="299"/>
      <c r="E22" s="299"/>
      <c r="F22" s="299"/>
      <c r="G22" s="299"/>
      <c r="H22" s="299"/>
      <c r="I22" s="299"/>
      <c r="J22" s="299"/>
      <c r="K22" s="299"/>
      <c r="L22" s="283"/>
      <c r="M22" s="283"/>
      <c r="N22" s="283"/>
      <c r="O22" s="283"/>
      <c r="P22" s="283"/>
      <c r="Q22" s="283"/>
      <c r="R22" s="283"/>
      <c r="S22" s="283"/>
      <c r="T22" s="283"/>
      <c r="U22" s="283"/>
      <c r="V22" s="283"/>
      <c r="W22" s="283"/>
      <c r="X22" s="283"/>
      <c r="Y22" s="283"/>
      <c r="Z22" s="283"/>
    </row>
    <row r="23" ht="14.25" customHeight="1">
      <c r="A23" s="283"/>
      <c r="B23" s="258"/>
      <c r="C23" s="298" t="s">
        <v>8120</v>
      </c>
      <c r="D23" s="299"/>
      <c r="E23" s="299"/>
      <c r="F23" s="299"/>
      <c r="G23" s="299"/>
      <c r="H23" s="299"/>
      <c r="I23" s="299"/>
      <c r="J23" s="299"/>
      <c r="K23" s="299"/>
      <c r="L23" s="283"/>
      <c r="M23" s="283"/>
      <c r="N23" s="283"/>
      <c r="O23" s="283"/>
      <c r="P23" s="283"/>
      <c r="Q23" s="283"/>
      <c r="R23" s="283"/>
      <c r="S23" s="283"/>
      <c r="T23" s="283"/>
      <c r="U23" s="283"/>
      <c r="V23" s="283"/>
      <c r="W23" s="283"/>
      <c r="X23" s="283"/>
      <c r="Y23" s="283"/>
      <c r="Z23" s="283"/>
    </row>
    <row r="24" ht="14.25" customHeight="1">
      <c r="A24" s="283"/>
      <c r="B24" s="297" t="s">
        <v>8121</v>
      </c>
      <c r="C24" s="300" t="s">
        <v>8122</v>
      </c>
      <c r="D24" s="284" t="s">
        <v>8055</v>
      </c>
      <c r="E24" s="284" t="s">
        <v>8123</v>
      </c>
      <c r="F24" s="284" t="s">
        <v>8124</v>
      </c>
      <c r="G24" s="284" t="s">
        <v>8125</v>
      </c>
      <c r="H24" s="284" t="s">
        <v>8126</v>
      </c>
      <c r="I24" s="301" t="s">
        <v>8127</v>
      </c>
      <c r="J24" s="301" t="s">
        <v>8128</v>
      </c>
      <c r="K24" s="299"/>
      <c r="L24" s="283"/>
      <c r="M24" s="283"/>
      <c r="N24" s="283"/>
      <c r="O24" s="283"/>
      <c r="P24" s="283"/>
      <c r="Q24" s="283"/>
      <c r="R24" s="283"/>
      <c r="S24" s="283"/>
      <c r="T24" s="283"/>
      <c r="U24" s="283"/>
      <c r="V24" s="283"/>
      <c r="W24" s="283"/>
      <c r="X24" s="283"/>
      <c r="Y24" s="283"/>
      <c r="Z24" s="283"/>
    </row>
    <row r="25" ht="14.25" customHeight="1">
      <c r="A25" s="283"/>
      <c r="B25" s="254"/>
      <c r="C25" s="300" t="s">
        <v>8129</v>
      </c>
      <c r="D25" s="284" t="s">
        <v>8055</v>
      </c>
      <c r="E25" s="284" t="s">
        <v>8130</v>
      </c>
      <c r="F25" s="301" t="s">
        <v>8131</v>
      </c>
      <c r="G25" s="301" t="s">
        <v>8132</v>
      </c>
      <c r="H25" s="299"/>
      <c r="I25" s="299"/>
      <c r="J25" s="299"/>
      <c r="K25" s="299"/>
      <c r="L25" s="283"/>
      <c r="M25" s="283"/>
      <c r="N25" s="283"/>
      <c r="O25" s="283"/>
      <c r="P25" s="283"/>
      <c r="Q25" s="283"/>
      <c r="R25" s="283"/>
      <c r="S25" s="283"/>
      <c r="T25" s="283"/>
      <c r="U25" s="283"/>
      <c r="V25" s="283"/>
      <c r="W25" s="283"/>
      <c r="X25" s="283"/>
      <c r="Y25" s="283"/>
      <c r="Z25" s="283"/>
    </row>
    <row r="26" ht="14.25" customHeight="1">
      <c r="A26" s="283"/>
      <c r="B26" s="258"/>
      <c r="C26" s="300" t="s">
        <v>8133</v>
      </c>
      <c r="D26" s="284" t="s">
        <v>8055</v>
      </c>
      <c r="E26" s="299"/>
      <c r="F26" s="299"/>
      <c r="G26" s="299"/>
      <c r="H26" s="299"/>
      <c r="I26" s="299"/>
      <c r="J26" s="299"/>
      <c r="K26" s="299"/>
      <c r="L26" s="283"/>
      <c r="M26" s="283"/>
      <c r="N26" s="283"/>
      <c r="O26" s="283"/>
      <c r="P26" s="283"/>
      <c r="Q26" s="283"/>
      <c r="R26" s="283"/>
      <c r="S26" s="283"/>
      <c r="T26" s="283"/>
      <c r="U26" s="283"/>
      <c r="V26" s="283"/>
      <c r="W26" s="283"/>
      <c r="X26" s="283"/>
      <c r="Y26" s="283"/>
      <c r="Z26" s="283"/>
    </row>
    <row r="27" ht="14.25" customHeight="1">
      <c r="A27" s="283"/>
      <c r="B27" s="304"/>
      <c r="C27" s="305"/>
      <c r="D27" s="299"/>
      <c r="E27" s="299"/>
      <c r="F27" s="299"/>
      <c r="G27" s="299"/>
      <c r="H27" s="299"/>
      <c r="I27" s="299"/>
      <c r="J27" s="299"/>
      <c r="K27" s="299"/>
      <c r="L27" s="283"/>
      <c r="M27" s="283"/>
      <c r="N27" s="283"/>
      <c r="O27" s="283"/>
      <c r="P27" s="283"/>
      <c r="Q27" s="283"/>
      <c r="R27" s="283"/>
      <c r="S27" s="283"/>
      <c r="T27" s="283"/>
      <c r="U27" s="283"/>
      <c r="V27" s="283"/>
      <c r="W27" s="283"/>
      <c r="X27" s="283"/>
      <c r="Y27" s="283"/>
      <c r="Z27" s="283"/>
    </row>
    <row r="28" ht="14.25" customHeight="1">
      <c r="A28" s="283"/>
      <c r="B28" s="297" t="s">
        <v>8134</v>
      </c>
      <c r="C28" s="306"/>
      <c r="D28" s="299"/>
      <c r="E28" s="284" t="s">
        <v>8136</v>
      </c>
      <c r="F28" s="284" t="s">
        <v>8137</v>
      </c>
      <c r="G28" s="284" t="s">
        <v>8138</v>
      </c>
      <c r="H28" s="284" t="s">
        <v>8139</v>
      </c>
      <c r="I28" s="299"/>
      <c r="J28" s="299"/>
      <c r="K28" s="299"/>
      <c r="L28" s="283"/>
      <c r="M28" s="283"/>
      <c r="N28" s="283"/>
      <c r="O28" s="283"/>
      <c r="P28" s="283"/>
      <c r="Q28" s="283"/>
      <c r="R28" s="283"/>
      <c r="S28" s="283"/>
      <c r="T28" s="283"/>
      <c r="U28" s="283"/>
      <c r="V28" s="283"/>
      <c r="W28" s="283"/>
      <c r="X28" s="283"/>
      <c r="Y28" s="283"/>
      <c r="Z28" s="283"/>
    </row>
    <row r="29" ht="14.25" customHeight="1">
      <c r="A29" s="283"/>
      <c r="B29" s="258"/>
      <c r="C29" s="306"/>
      <c r="D29" s="299"/>
      <c r="E29" s="284" t="s">
        <v>8140</v>
      </c>
      <c r="F29" s="284" t="s">
        <v>8141</v>
      </c>
      <c r="G29" s="299"/>
      <c r="H29" s="299"/>
      <c r="I29" s="299"/>
      <c r="J29" s="299"/>
      <c r="K29" s="299"/>
      <c r="L29" s="283"/>
      <c r="M29" s="283"/>
      <c r="N29" s="283"/>
      <c r="O29" s="283"/>
      <c r="P29" s="283"/>
      <c r="Q29" s="283"/>
      <c r="R29" s="283"/>
      <c r="S29" s="283"/>
      <c r="T29" s="283"/>
      <c r="U29" s="283"/>
      <c r="V29" s="283"/>
      <c r="W29" s="283"/>
      <c r="X29" s="283"/>
      <c r="Y29" s="283"/>
      <c r="Z29" s="283"/>
    </row>
    <row r="30" ht="14.25" customHeight="1">
      <c r="A30" s="283"/>
      <c r="B30" s="283"/>
      <c r="C30" s="283"/>
      <c r="D30" s="283"/>
      <c r="E30" s="283"/>
      <c r="F30" s="283"/>
      <c r="G30" s="283"/>
      <c r="H30" s="283"/>
      <c r="I30" s="283"/>
      <c r="J30" s="283"/>
      <c r="K30" s="283"/>
      <c r="L30" s="283"/>
      <c r="M30" s="283"/>
      <c r="N30" s="283"/>
      <c r="O30" s="283"/>
      <c r="P30" s="283"/>
      <c r="Q30" s="283"/>
      <c r="R30" s="283"/>
      <c r="S30" s="283"/>
      <c r="T30" s="283"/>
      <c r="U30" s="283"/>
      <c r="V30" s="283"/>
      <c r="W30" s="283"/>
      <c r="X30" s="283"/>
      <c r="Y30" s="283"/>
      <c r="Z30" s="283"/>
    </row>
    <row r="31" ht="14.25" customHeight="1">
      <c r="A31" s="283"/>
      <c r="B31" s="283"/>
      <c r="C31" s="283"/>
      <c r="D31" s="283"/>
      <c r="E31" s="283"/>
      <c r="F31" s="283"/>
      <c r="G31" s="283"/>
      <c r="H31" s="283"/>
      <c r="I31" s="283"/>
      <c r="J31" s="283"/>
      <c r="K31" s="283"/>
      <c r="L31" s="283"/>
      <c r="M31" s="283"/>
      <c r="N31" s="283"/>
      <c r="O31" s="283"/>
      <c r="P31" s="283"/>
      <c r="Q31" s="283"/>
      <c r="R31" s="283"/>
      <c r="S31" s="283"/>
      <c r="T31" s="283"/>
      <c r="U31" s="283"/>
      <c r="V31" s="283"/>
      <c r="W31" s="283"/>
      <c r="X31" s="283"/>
      <c r="Y31" s="283"/>
      <c r="Z31" s="283"/>
    </row>
    <row r="32" ht="14.25" customHeight="1">
      <c r="A32" s="283"/>
      <c r="B32" s="283"/>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3"/>
    </row>
    <row r="33" ht="14.25" customHeight="1">
      <c r="A33" s="283"/>
      <c r="B33" s="283"/>
      <c r="C33" s="283"/>
      <c r="D33" s="283"/>
      <c r="E33" s="283"/>
      <c r="F33" s="283"/>
      <c r="G33" s="283"/>
      <c r="H33" s="283"/>
      <c r="I33" s="283"/>
      <c r="J33" s="283"/>
      <c r="K33" s="283"/>
      <c r="L33" s="283"/>
      <c r="M33" s="283"/>
      <c r="N33" s="283"/>
      <c r="O33" s="283"/>
      <c r="P33" s="283"/>
      <c r="Q33" s="283"/>
      <c r="R33" s="283"/>
      <c r="S33" s="283"/>
      <c r="T33" s="283"/>
      <c r="U33" s="283"/>
      <c r="V33" s="283"/>
      <c r="W33" s="283"/>
      <c r="X33" s="283"/>
      <c r="Y33" s="283"/>
      <c r="Z33" s="283"/>
    </row>
    <row r="34" ht="14.25" customHeight="1">
      <c r="A34" s="283"/>
      <c r="B34" s="283"/>
      <c r="C34" s="283"/>
      <c r="D34" s="283"/>
      <c r="E34" s="283"/>
      <c r="F34" s="283"/>
      <c r="G34" s="283"/>
      <c r="H34" s="283"/>
      <c r="I34" s="283"/>
      <c r="J34" s="283"/>
      <c r="K34" s="283"/>
      <c r="L34" s="283"/>
      <c r="M34" s="283"/>
      <c r="N34" s="283"/>
      <c r="O34" s="283"/>
      <c r="P34" s="283"/>
      <c r="Q34" s="283"/>
      <c r="R34" s="283"/>
      <c r="S34" s="283"/>
      <c r="T34" s="283"/>
      <c r="U34" s="283"/>
      <c r="V34" s="283"/>
      <c r="W34" s="283"/>
      <c r="X34" s="283"/>
      <c r="Y34" s="283"/>
      <c r="Z34" s="283"/>
    </row>
    <row r="35" ht="14.25" customHeight="1">
      <c r="A35" s="283"/>
      <c r="B35" s="283"/>
      <c r="C35" s="283"/>
      <c r="D35" s="283"/>
      <c r="E35" s="283"/>
      <c r="F35" s="283"/>
      <c r="G35" s="283"/>
      <c r="H35" s="283"/>
      <c r="I35" s="283"/>
      <c r="J35" s="283"/>
      <c r="K35" s="283"/>
      <c r="L35" s="283"/>
      <c r="M35" s="283"/>
      <c r="N35" s="283"/>
      <c r="O35" s="283"/>
      <c r="P35" s="283"/>
      <c r="Q35" s="283"/>
      <c r="R35" s="283"/>
      <c r="S35" s="283"/>
      <c r="T35" s="283"/>
      <c r="U35" s="283"/>
      <c r="V35" s="283"/>
      <c r="W35" s="283"/>
      <c r="X35" s="283"/>
      <c r="Y35" s="283"/>
      <c r="Z35" s="283"/>
    </row>
    <row r="36" ht="14.25" customHeight="1">
      <c r="A36" s="283"/>
      <c r="B36" s="283"/>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3"/>
    </row>
    <row r="37" ht="14.25" customHeight="1">
      <c r="A37" s="283"/>
      <c r="B37" s="283"/>
      <c r="C37" s="283"/>
      <c r="D37" s="283"/>
      <c r="E37" s="283"/>
      <c r="F37" s="283"/>
      <c r="G37" s="283"/>
      <c r="H37" s="283"/>
      <c r="I37" s="283"/>
      <c r="J37" s="283"/>
      <c r="K37" s="283"/>
      <c r="L37" s="283"/>
      <c r="M37" s="283"/>
      <c r="N37" s="283"/>
      <c r="O37" s="283"/>
      <c r="P37" s="283"/>
      <c r="Q37" s="283"/>
      <c r="R37" s="283"/>
      <c r="S37" s="283"/>
      <c r="T37" s="283"/>
      <c r="U37" s="283"/>
      <c r="V37" s="283"/>
      <c r="W37" s="283"/>
      <c r="X37" s="283"/>
      <c r="Y37" s="283"/>
      <c r="Z37" s="283"/>
    </row>
    <row r="38" ht="14.25" customHeight="1">
      <c r="A38" s="283"/>
      <c r="B38" s="283"/>
      <c r="C38" s="283"/>
      <c r="D38" s="283"/>
      <c r="E38" s="283"/>
      <c r="F38" s="283"/>
      <c r="G38" s="283"/>
      <c r="H38" s="283"/>
      <c r="I38" s="283"/>
      <c r="J38" s="283"/>
      <c r="K38" s="283"/>
      <c r="L38" s="283"/>
      <c r="M38" s="283"/>
      <c r="N38" s="283"/>
      <c r="O38" s="283"/>
      <c r="P38" s="283"/>
      <c r="Q38" s="283"/>
      <c r="R38" s="283"/>
      <c r="S38" s="283"/>
      <c r="T38" s="283"/>
      <c r="U38" s="283"/>
      <c r="V38" s="283"/>
      <c r="W38" s="283"/>
      <c r="X38" s="283"/>
      <c r="Y38" s="283"/>
      <c r="Z38" s="283"/>
    </row>
    <row r="39" ht="14.25" customHeight="1">
      <c r="A39" s="283"/>
      <c r="B39" s="283"/>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3"/>
    </row>
    <row r="40" ht="14.25" customHeight="1">
      <c r="A40" s="283"/>
      <c r="B40" s="283"/>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row>
    <row r="41" ht="14.25" customHeight="1">
      <c r="A41" s="283"/>
      <c r="B41" s="283"/>
      <c r="C41" s="283"/>
      <c r="D41" s="283"/>
      <c r="E41" s="283"/>
      <c r="F41" s="283"/>
      <c r="G41" s="283"/>
      <c r="H41" s="283"/>
      <c r="I41" s="283"/>
      <c r="J41" s="283"/>
      <c r="K41" s="283"/>
      <c r="L41" s="283"/>
      <c r="M41" s="283"/>
      <c r="N41" s="283"/>
      <c r="O41" s="283"/>
      <c r="P41" s="283"/>
      <c r="Q41" s="283"/>
      <c r="R41" s="283"/>
      <c r="S41" s="283"/>
      <c r="T41" s="283"/>
      <c r="U41" s="283"/>
      <c r="V41" s="283"/>
      <c r="W41" s="283"/>
      <c r="X41" s="283"/>
      <c r="Y41" s="283"/>
      <c r="Z41" s="283"/>
    </row>
    <row r="42" ht="14.25" customHeight="1">
      <c r="A42" s="283"/>
      <c r="B42" s="283"/>
      <c r="C42" s="283"/>
      <c r="D42" s="283"/>
      <c r="E42" s="283"/>
      <c r="F42" s="283"/>
      <c r="G42" s="283"/>
      <c r="H42" s="283"/>
      <c r="I42" s="283"/>
      <c r="J42" s="283"/>
      <c r="K42" s="283"/>
      <c r="L42" s="283"/>
      <c r="M42" s="283"/>
      <c r="N42" s="283"/>
      <c r="O42" s="283"/>
      <c r="P42" s="283"/>
      <c r="Q42" s="283"/>
      <c r="R42" s="283"/>
      <c r="S42" s="283"/>
      <c r="T42" s="283"/>
      <c r="U42" s="283"/>
      <c r="V42" s="283"/>
      <c r="W42" s="283"/>
      <c r="X42" s="283"/>
      <c r="Y42" s="283"/>
      <c r="Z42" s="283"/>
    </row>
    <row r="43" ht="14.25" customHeight="1">
      <c r="A43" s="283"/>
      <c r="B43" s="283"/>
      <c r="C43" s="283"/>
      <c r="D43" s="283"/>
      <c r="E43" s="283"/>
      <c r="F43" s="283"/>
      <c r="G43" s="283"/>
      <c r="H43" s="283"/>
      <c r="I43" s="283"/>
      <c r="J43" s="283"/>
      <c r="K43" s="283"/>
      <c r="L43" s="283"/>
      <c r="M43" s="283"/>
      <c r="N43" s="283"/>
      <c r="O43" s="283"/>
      <c r="P43" s="283"/>
      <c r="Q43" s="283"/>
      <c r="R43" s="283"/>
      <c r="S43" s="283"/>
      <c r="T43" s="283"/>
      <c r="U43" s="283"/>
      <c r="V43" s="283"/>
      <c r="W43" s="283"/>
      <c r="X43" s="283"/>
      <c r="Y43" s="283"/>
      <c r="Z43" s="283"/>
    </row>
    <row r="44" ht="14.25" customHeight="1">
      <c r="A44" s="283"/>
      <c r="B44" s="283"/>
      <c r="C44" s="283"/>
      <c r="D44" s="283"/>
      <c r="E44" s="283"/>
      <c r="F44" s="283"/>
      <c r="G44" s="283"/>
      <c r="H44" s="283"/>
      <c r="I44" s="283"/>
      <c r="J44" s="283"/>
      <c r="K44" s="283"/>
      <c r="L44" s="283"/>
      <c r="M44" s="283"/>
      <c r="N44" s="283"/>
      <c r="O44" s="283"/>
      <c r="P44" s="283"/>
      <c r="Q44" s="283"/>
      <c r="R44" s="283"/>
      <c r="S44" s="283"/>
      <c r="T44" s="283"/>
      <c r="U44" s="283"/>
      <c r="V44" s="283"/>
      <c r="W44" s="283"/>
      <c r="X44" s="283"/>
      <c r="Y44" s="283"/>
      <c r="Z44" s="283"/>
    </row>
    <row r="45" ht="14.25" customHeight="1">
      <c r="A45" s="283"/>
      <c r="B45" s="283"/>
      <c r="C45" s="283"/>
      <c r="D45" s="283"/>
      <c r="E45" s="283"/>
      <c r="F45" s="283"/>
      <c r="G45" s="283"/>
      <c r="H45" s="283"/>
      <c r="I45" s="283"/>
      <c r="J45" s="283"/>
      <c r="K45" s="283"/>
      <c r="L45" s="283"/>
      <c r="M45" s="283"/>
      <c r="N45" s="283"/>
      <c r="O45" s="283"/>
      <c r="P45" s="283"/>
      <c r="Q45" s="283"/>
      <c r="R45" s="283"/>
      <c r="S45" s="283"/>
      <c r="T45" s="283"/>
      <c r="U45" s="283"/>
      <c r="V45" s="283"/>
      <c r="W45" s="283"/>
      <c r="X45" s="283"/>
      <c r="Y45" s="283"/>
      <c r="Z45" s="283"/>
    </row>
    <row r="46" ht="14.25" customHeight="1">
      <c r="A46" s="283"/>
      <c r="B46" s="283"/>
      <c r="C46" s="283"/>
      <c r="D46" s="283"/>
      <c r="E46" s="283"/>
      <c r="F46" s="283"/>
      <c r="G46" s="283"/>
      <c r="H46" s="283"/>
      <c r="I46" s="283"/>
      <c r="J46" s="283"/>
      <c r="K46" s="283"/>
      <c r="L46" s="283"/>
      <c r="M46" s="283"/>
      <c r="N46" s="283"/>
      <c r="O46" s="283"/>
      <c r="P46" s="283"/>
      <c r="Q46" s="283"/>
      <c r="R46" s="283"/>
      <c r="S46" s="283"/>
      <c r="T46" s="283"/>
      <c r="U46" s="283"/>
      <c r="V46" s="283"/>
      <c r="W46" s="283"/>
      <c r="X46" s="283"/>
      <c r="Y46" s="283"/>
      <c r="Z46" s="283"/>
    </row>
    <row r="47" ht="14.25" customHeight="1">
      <c r="A47" s="283"/>
      <c r="B47" s="283"/>
      <c r="C47" s="283"/>
      <c r="D47" s="283"/>
      <c r="E47" s="283"/>
      <c r="F47" s="283"/>
      <c r="G47" s="283"/>
      <c r="H47" s="283"/>
      <c r="I47" s="283"/>
      <c r="J47" s="283"/>
      <c r="K47" s="283"/>
      <c r="L47" s="283"/>
      <c r="M47" s="283"/>
      <c r="N47" s="283"/>
      <c r="O47" s="283"/>
      <c r="P47" s="283"/>
      <c r="Q47" s="283"/>
      <c r="R47" s="283"/>
      <c r="S47" s="283"/>
      <c r="T47" s="283"/>
      <c r="U47" s="283"/>
      <c r="V47" s="283"/>
      <c r="W47" s="283"/>
      <c r="X47" s="283"/>
      <c r="Y47" s="283"/>
      <c r="Z47" s="283"/>
    </row>
    <row r="48" ht="14.25" customHeight="1">
      <c r="A48" s="283"/>
      <c r="B48" s="283"/>
      <c r="C48" s="283"/>
      <c r="D48" s="283"/>
      <c r="E48" s="283"/>
      <c r="F48" s="283"/>
      <c r="G48" s="283"/>
      <c r="H48" s="283"/>
      <c r="I48" s="283"/>
      <c r="J48" s="283"/>
      <c r="K48" s="283"/>
      <c r="L48" s="283"/>
      <c r="M48" s="283"/>
      <c r="N48" s="283"/>
      <c r="O48" s="283"/>
      <c r="P48" s="283"/>
      <c r="Q48" s="283"/>
      <c r="R48" s="283"/>
      <c r="S48" s="283"/>
      <c r="T48" s="283"/>
      <c r="U48" s="283"/>
      <c r="V48" s="283"/>
      <c r="W48" s="283"/>
      <c r="X48" s="283"/>
      <c r="Y48" s="283"/>
      <c r="Z48" s="283"/>
    </row>
    <row r="49" ht="14.25" customHeight="1">
      <c r="A49" s="283"/>
      <c r="B49" s="283"/>
      <c r="C49" s="283"/>
      <c r="D49" s="283"/>
      <c r="E49" s="283"/>
      <c r="F49" s="283"/>
      <c r="G49" s="283"/>
      <c r="H49" s="283"/>
      <c r="I49" s="283"/>
      <c r="J49" s="283"/>
      <c r="K49" s="283"/>
      <c r="L49" s="283"/>
      <c r="M49" s="283"/>
      <c r="N49" s="283"/>
      <c r="O49" s="283"/>
      <c r="P49" s="283"/>
      <c r="Q49" s="283"/>
      <c r="R49" s="283"/>
      <c r="S49" s="283"/>
      <c r="T49" s="283"/>
      <c r="U49" s="283"/>
      <c r="V49" s="283"/>
      <c r="W49" s="283"/>
      <c r="X49" s="283"/>
      <c r="Y49" s="283"/>
      <c r="Z49" s="283"/>
    </row>
    <row r="50" ht="14.25" customHeight="1">
      <c r="A50" s="283"/>
      <c r="B50" s="283"/>
      <c r="C50" s="283"/>
      <c r="D50" s="283"/>
      <c r="E50" s="283"/>
      <c r="F50" s="283"/>
      <c r="G50" s="283"/>
      <c r="H50" s="283"/>
      <c r="I50" s="283"/>
      <c r="J50" s="283"/>
      <c r="K50" s="283"/>
      <c r="L50" s="283"/>
      <c r="M50" s="283"/>
      <c r="N50" s="283"/>
      <c r="O50" s="283"/>
      <c r="P50" s="283"/>
      <c r="Q50" s="283"/>
      <c r="R50" s="283"/>
      <c r="S50" s="283"/>
      <c r="T50" s="283"/>
      <c r="U50" s="283"/>
      <c r="V50" s="283"/>
      <c r="W50" s="283"/>
      <c r="X50" s="283"/>
      <c r="Y50" s="283"/>
      <c r="Z50" s="283"/>
    </row>
    <row r="51" ht="14.25" customHeight="1">
      <c r="A51" s="283"/>
      <c r="B51" s="283"/>
      <c r="C51" s="283"/>
      <c r="D51" s="283"/>
      <c r="E51" s="283"/>
      <c r="F51" s="283"/>
      <c r="G51" s="283"/>
      <c r="H51" s="283"/>
      <c r="I51" s="283"/>
      <c r="J51" s="283"/>
      <c r="K51" s="283"/>
      <c r="L51" s="283"/>
      <c r="M51" s="283"/>
      <c r="N51" s="283"/>
      <c r="O51" s="283"/>
      <c r="P51" s="283"/>
      <c r="Q51" s="283"/>
      <c r="R51" s="283"/>
      <c r="S51" s="283"/>
      <c r="T51" s="283"/>
      <c r="U51" s="283"/>
      <c r="V51" s="283"/>
      <c r="W51" s="283"/>
      <c r="X51" s="283"/>
      <c r="Y51" s="283"/>
      <c r="Z51" s="283"/>
    </row>
    <row r="52" ht="14.25" customHeight="1">
      <c r="A52" s="283"/>
      <c r="B52" s="283"/>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83"/>
    </row>
    <row r="53" ht="14.25" customHeight="1">
      <c r="A53" s="283"/>
      <c r="B53" s="283"/>
      <c r="C53" s="283"/>
      <c r="D53" s="283"/>
      <c r="E53" s="283"/>
      <c r="F53" s="283"/>
      <c r="G53" s="283"/>
      <c r="H53" s="283"/>
      <c r="I53" s="283"/>
      <c r="J53" s="283"/>
      <c r="K53" s="283"/>
      <c r="L53" s="283"/>
      <c r="M53" s="283"/>
      <c r="N53" s="283"/>
      <c r="O53" s="283"/>
      <c r="P53" s="283"/>
      <c r="Q53" s="283"/>
      <c r="R53" s="283"/>
      <c r="S53" s="283"/>
      <c r="T53" s="283"/>
      <c r="U53" s="283"/>
      <c r="V53" s="283"/>
      <c r="W53" s="283"/>
      <c r="X53" s="283"/>
      <c r="Y53" s="283"/>
      <c r="Z53" s="283"/>
    </row>
    <row r="54" ht="14.25" customHeight="1">
      <c r="A54" s="283"/>
      <c r="B54" s="283"/>
      <c r="C54" s="283"/>
      <c r="D54" s="283"/>
      <c r="E54" s="283"/>
      <c r="F54" s="283"/>
      <c r="G54" s="283"/>
      <c r="H54" s="283"/>
      <c r="I54" s="283"/>
      <c r="J54" s="283"/>
      <c r="K54" s="283"/>
      <c r="L54" s="283"/>
      <c r="M54" s="283"/>
      <c r="N54" s="283"/>
      <c r="O54" s="283"/>
      <c r="P54" s="283"/>
      <c r="Q54" s="283"/>
      <c r="R54" s="283"/>
      <c r="S54" s="283"/>
      <c r="T54" s="283"/>
      <c r="U54" s="283"/>
      <c r="V54" s="283"/>
      <c r="W54" s="283"/>
      <c r="X54" s="283"/>
      <c r="Y54" s="283"/>
      <c r="Z54" s="283"/>
    </row>
    <row r="55" ht="14.25" customHeight="1">
      <c r="A55" s="283"/>
      <c r="B55" s="283"/>
      <c r="C55" s="283"/>
      <c r="D55" s="283"/>
      <c r="E55" s="283"/>
      <c r="F55" s="283"/>
      <c r="G55" s="283"/>
      <c r="H55" s="283"/>
      <c r="I55" s="283"/>
      <c r="J55" s="283"/>
      <c r="K55" s="283"/>
      <c r="L55" s="283"/>
      <c r="M55" s="283"/>
      <c r="N55" s="283"/>
      <c r="O55" s="283"/>
      <c r="P55" s="283"/>
      <c r="Q55" s="283"/>
      <c r="R55" s="283"/>
      <c r="S55" s="283"/>
      <c r="T55" s="283"/>
      <c r="U55" s="283"/>
      <c r="V55" s="283"/>
      <c r="W55" s="283"/>
      <c r="X55" s="283"/>
      <c r="Y55" s="283"/>
      <c r="Z55" s="283"/>
    </row>
    <row r="56" ht="14.25" customHeight="1">
      <c r="A56" s="283"/>
      <c r="B56" s="283"/>
      <c r="C56" s="283"/>
      <c r="D56" s="283"/>
      <c r="E56" s="283"/>
      <c r="F56" s="283"/>
      <c r="G56" s="283"/>
      <c r="H56" s="283"/>
      <c r="I56" s="283"/>
      <c r="J56" s="283"/>
      <c r="K56" s="283"/>
      <c r="L56" s="283"/>
      <c r="M56" s="283"/>
      <c r="N56" s="283"/>
      <c r="O56" s="283"/>
      <c r="P56" s="283"/>
      <c r="Q56" s="283"/>
      <c r="R56" s="283"/>
      <c r="S56" s="283"/>
      <c r="T56" s="283"/>
      <c r="U56" s="283"/>
      <c r="V56" s="283"/>
      <c r="W56" s="283"/>
      <c r="X56" s="283"/>
      <c r="Y56" s="283"/>
      <c r="Z56" s="283"/>
    </row>
    <row r="57" ht="14.25" customHeight="1">
      <c r="A57" s="283"/>
      <c r="B57" s="283"/>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83"/>
    </row>
    <row r="58" ht="14.25" customHeight="1">
      <c r="A58" s="283"/>
      <c r="B58" s="283"/>
      <c r="C58" s="283"/>
      <c r="D58" s="283"/>
      <c r="E58" s="283"/>
      <c r="F58" s="283"/>
      <c r="G58" s="283"/>
      <c r="H58" s="283"/>
      <c r="I58" s="283"/>
      <c r="J58" s="283"/>
      <c r="K58" s="283"/>
      <c r="L58" s="283"/>
      <c r="M58" s="283"/>
      <c r="N58" s="283"/>
      <c r="O58" s="283"/>
      <c r="P58" s="283"/>
      <c r="Q58" s="283"/>
      <c r="R58" s="283"/>
      <c r="S58" s="283"/>
      <c r="T58" s="283"/>
      <c r="U58" s="283"/>
      <c r="V58" s="283"/>
      <c r="W58" s="283"/>
      <c r="X58" s="283"/>
      <c r="Y58" s="283"/>
      <c r="Z58" s="283"/>
    </row>
    <row r="59" ht="14.25" customHeight="1">
      <c r="A59" s="283"/>
      <c r="B59" s="283"/>
      <c r="C59" s="283"/>
      <c r="D59" s="283"/>
      <c r="E59" s="283"/>
      <c r="F59" s="283"/>
      <c r="G59" s="283"/>
      <c r="H59" s="283"/>
      <c r="I59" s="283"/>
      <c r="J59" s="283"/>
      <c r="K59" s="283"/>
      <c r="L59" s="283"/>
      <c r="M59" s="283"/>
      <c r="N59" s="283"/>
      <c r="O59" s="283"/>
      <c r="P59" s="283"/>
      <c r="Q59" s="283"/>
      <c r="R59" s="283"/>
      <c r="S59" s="283"/>
      <c r="T59" s="283"/>
      <c r="U59" s="283"/>
      <c r="V59" s="283"/>
      <c r="W59" s="283"/>
      <c r="X59" s="283"/>
      <c r="Y59" s="283"/>
      <c r="Z59" s="283"/>
    </row>
    <row r="60" ht="14.25" customHeight="1">
      <c r="A60" s="283"/>
      <c r="B60" s="283"/>
      <c r="C60" s="283"/>
      <c r="D60" s="283"/>
      <c r="E60" s="283"/>
      <c r="F60" s="283"/>
      <c r="G60" s="283"/>
      <c r="H60" s="283"/>
      <c r="I60" s="283"/>
      <c r="J60" s="283"/>
      <c r="K60" s="283"/>
      <c r="L60" s="283"/>
      <c r="M60" s="283"/>
      <c r="N60" s="283"/>
      <c r="O60" s="283"/>
      <c r="P60" s="283"/>
      <c r="Q60" s="283"/>
      <c r="R60" s="283"/>
      <c r="S60" s="283"/>
      <c r="T60" s="283"/>
      <c r="U60" s="283"/>
      <c r="V60" s="283"/>
      <c r="W60" s="283"/>
      <c r="X60" s="283"/>
      <c r="Y60" s="283"/>
      <c r="Z60" s="283"/>
    </row>
    <row r="61" ht="14.25" customHeight="1">
      <c r="A61" s="283"/>
      <c r="B61" s="283"/>
      <c r="C61" s="283"/>
      <c r="D61" s="283"/>
      <c r="E61" s="283"/>
      <c r="F61" s="283"/>
      <c r="G61" s="283"/>
      <c r="H61" s="283"/>
      <c r="I61" s="283"/>
      <c r="J61" s="283"/>
      <c r="K61" s="283"/>
      <c r="L61" s="283"/>
      <c r="M61" s="283"/>
      <c r="N61" s="283"/>
      <c r="O61" s="283"/>
      <c r="P61" s="283"/>
      <c r="Q61" s="283"/>
      <c r="R61" s="283"/>
      <c r="S61" s="283"/>
      <c r="T61" s="283"/>
      <c r="U61" s="283"/>
      <c r="V61" s="283"/>
      <c r="W61" s="283"/>
      <c r="X61" s="283"/>
      <c r="Y61" s="283"/>
      <c r="Z61" s="283"/>
    </row>
    <row r="62" ht="14.25" customHeight="1">
      <c r="A62" s="283"/>
      <c r="B62" s="283"/>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row>
    <row r="63" ht="14.25" customHeight="1">
      <c r="A63" s="283"/>
      <c r="B63" s="283"/>
      <c r="C63" s="283"/>
      <c r="D63" s="283"/>
      <c r="E63" s="283"/>
      <c r="F63" s="283"/>
      <c r="G63" s="283"/>
      <c r="H63" s="283"/>
      <c r="I63" s="283"/>
      <c r="J63" s="283"/>
      <c r="K63" s="283"/>
      <c r="L63" s="283"/>
      <c r="M63" s="283"/>
      <c r="N63" s="283"/>
      <c r="O63" s="283"/>
      <c r="P63" s="283"/>
      <c r="Q63" s="283"/>
      <c r="R63" s="283"/>
      <c r="S63" s="283"/>
      <c r="T63" s="283"/>
      <c r="U63" s="283"/>
      <c r="V63" s="283"/>
      <c r="W63" s="283"/>
      <c r="X63" s="283"/>
      <c r="Y63" s="283"/>
      <c r="Z63" s="283"/>
    </row>
    <row r="64" ht="14.25" customHeight="1">
      <c r="A64" s="283"/>
      <c r="B64" s="283"/>
      <c r="C64" s="283"/>
      <c r="D64" s="283"/>
      <c r="E64" s="283"/>
      <c r="F64" s="283"/>
      <c r="G64" s="283"/>
      <c r="H64" s="283"/>
      <c r="I64" s="283"/>
      <c r="J64" s="283"/>
      <c r="K64" s="283"/>
      <c r="L64" s="283"/>
      <c r="M64" s="283"/>
      <c r="N64" s="283"/>
      <c r="O64" s="283"/>
      <c r="P64" s="283"/>
      <c r="Q64" s="283"/>
      <c r="R64" s="283"/>
      <c r="S64" s="283"/>
      <c r="T64" s="283"/>
      <c r="U64" s="283"/>
      <c r="V64" s="283"/>
      <c r="W64" s="283"/>
      <c r="X64" s="283"/>
      <c r="Y64" s="283"/>
      <c r="Z64" s="283"/>
    </row>
    <row r="65" ht="14.25" customHeight="1">
      <c r="A65" s="283"/>
      <c r="B65" s="283"/>
      <c r="C65" s="283"/>
      <c r="D65" s="283"/>
      <c r="E65" s="283"/>
      <c r="F65" s="283"/>
      <c r="G65" s="283"/>
      <c r="H65" s="283"/>
      <c r="I65" s="283"/>
      <c r="J65" s="283"/>
      <c r="K65" s="283"/>
      <c r="L65" s="283"/>
      <c r="M65" s="283"/>
      <c r="N65" s="283"/>
      <c r="O65" s="283"/>
      <c r="P65" s="283"/>
      <c r="Q65" s="283"/>
      <c r="R65" s="283"/>
      <c r="S65" s="283"/>
      <c r="T65" s="283"/>
      <c r="U65" s="283"/>
      <c r="V65" s="283"/>
      <c r="W65" s="283"/>
      <c r="X65" s="283"/>
      <c r="Y65" s="283"/>
      <c r="Z65" s="283"/>
    </row>
    <row r="66" ht="14.25" customHeight="1">
      <c r="A66" s="283"/>
      <c r="B66" s="283"/>
      <c r="C66" s="283"/>
      <c r="D66" s="283"/>
      <c r="E66" s="283"/>
      <c r="F66" s="283"/>
      <c r="G66" s="283"/>
      <c r="H66" s="283"/>
      <c r="I66" s="283"/>
      <c r="J66" s="283"/>
      <c r="K66" s="283"/>
      <c r="L66" s="283"/>
      <c r="M66" s="283"/>
      <c r="N66" s="283"/>
      <c r="O66" s="283"/>
      <c r="P66" s="283"/>
      <c r="Q66" s="283"/>
      <c r="R66" s="283"/>
      <c r="S66" s="283"/>
      <c r="T66" s="283"/>
      <c r="U66" s="283"/>
      <c r="V66" s="283"/>
      <c r="W66" s="283"/>
      <c r="X66" s="283"/>
      <c r="Y66" s="283"/>
      <c r="Z66" s="283"/>
    </row>
    <row r="67" ht="14.25" customHeight="1">
      <c r="A67" s="283"/>
      <c r="B67" s="283"/>
      <c r="C67" s="283"/>
      <c r="D67" s="283"/>
      <c r="E67" s="283"/>
      <c r="F67" s="283"/>
      <c r="G67" s="283"/>
      <c r="H67" s="283"/>
      <c r="I67" s="283"/>
      <c r="J67" s="283"/>
      <c r="K67" s="283"/>
      <c r="L67" s="283"/>
      <c r="M67" s="283"/>
      <c r="N67" s="283"/>
      <c r="O67" s="283"/>
      <c r="P67" s="283"/>
      <c r="Q67" s="283"/>
      <c r="R67" s="283"/>
      <c r="S67" s="283"/>
      <c r="T67" s="283"/>
      <c r="U67" s="283"/>
      <c r="V67" s="283"/>
      <c r="W67" s="283"/>
      <c r="X67" s="283"/>
      <c r="Y67" s="283"/>
      <c r="Z67" s="283"/>
    </row>
    <row r="68" ht="14.25" customHeight="1">
      <c r="A68" s="283"/>
      <c r="B68" s="283"/>
      <c r="C68" s="283"/>
      <c r="D68" s="283"/>
      <c r="E68" s="283"/>
      <c r="F68" s="283"/>
      <c r="G68" s="283"/>
      <c r="H68" s="283"/>
      <c r="I68" s="283"/>
      <c r="J68" s="283"/>
      <c r="K68" s="283"/>
      <c r="L68" s="283"/>
      <c r="M68" s="283"/>
      <c r="N68" s="283"/>
      <c r="O68" s="283"/>
      <c r="P68" s="283"/>
      <c r="Q68" s="283"/>
      <c r="R68" s="283"/>
      <c r="S68" s="283"/>
      <c r="T68" s="283"/>
      <c r="U68" s="283"/>
      <c r="V68" s="283"/>
      <c r="W68" s="283"/>
      <c r="X68" s="283"/>
      <c r="Y68" s="283"/>
      <c r="Z68" s="283"/>
    </row>
    <row r="69" ht="14.25" customHeight="1">
      <c r="A69" s="283"/>
      <c r="B69" s="283"/>
      <c r="C69" s="283"/>
      <c r="D69" s="283"/>
      <c r="E69" s="283"/>
      <c r="F69" s="283"/>
      <c r="G69" s="283"/>
      <c r="H69" s="283"/>
      <c r="I69" s="283"/>
      <c r="J69" s="283"/>
      <c r="K69" s="283"/>
      <c r="L69" s="283"/>
      <c r="M69" s="283"/>
      <c r="N69" s="283"/>
      <c r="O69" s="283"/>
      <c r="P69" s="283"/>
      <c r="Q69" s="283"/>
      <c r="R69" s="283"/>
      <c r="S69" s="283"/>
      <c r="T69" s="283"/>
      <c r="U69" s="283"/>
      <c r="V69" s="283"/>
      <c r="W69" s="283"/>
      <c r="X69" s="283"/>
      <c r="Y69" s="283"/>
      <c r="Z69" s="283"/>
    </row>
    <row r="70" ht="14.25" customHeight="1">
      <c r="A70" s="283"/>
      <c r="B70" s="283"/>
      <c r="C70" s="283"/>
      <c r="D70" s="283"/>
      <c r="E70" s="283"/>
      <c r="F70" s="283"/>
      <c r="G70" s="283"/>
      <c r="H70" s="283"/>
      <c r="I70" s="283"/>
      <c r="J70" s="283"/>
      <c r="K70" s="283"/>
      <c r="L70" s="283"/>
      <c r="M70" s="283"/>
      <c r="N70" s="283"/>
      <c r="O70" s="283"/>
      <c r="P70" s="283"/>
      <c r="Q70" s="283"/>
      <c r="R70" s="283"/>
      <c r="S70" s="283"/>
      <c r="T70" s="283"/>
      <c r="U70" s="283"/>
      <c r="V70" s="283"/>
      <c r="W70" s="283"/>
      <c r="X70" s="283"/>
      <c r="Y70" s="283"/>
      <c r="Z70" s="283"/>
    </row>
    <row r="71" ht="14.25" customHeight="1">
      <c r="A71" s="283"/>
      <c r="B71" s="283"/>
      <c r="C71" s="283"/>
      <c r="D71" s="283"/>
      <c r="E71" s="283"/>
      <c r="F71" s="283"/>
      <c r="G71" s="283"/>
      <c r="H71" s="283"/>
      <c r="I71" s="283"/>
      <c r="J71" s="283"/>
      <c r="K71" s="283"/>
      <c r="L71" s="283"/>
      <c r="M71" s="283"/>
      <c r="N71" s="283"/>
      <c r="O71" s="283"/>
      <c r="P71" s="283"/>
      <c r="Q71" s="283"/>
      <c r="R71" s="283"/>
      <c r="S71" s="283"/>
      <c r="T71" s="283"/>
      <c r="U71" s="283"/>
      <c r="V71" s="283"/>
      <c r="W71" s="283"/>
      <c r="X71" s="283"/>
      <c r="Y71" s="283"/>
      <c r="Z71" s="283"/>
    </row>
    <row r="72" ht="14.25" customHeight="1">
      <c r="A72" s="283"/>
      <c r="B72" s="283"/>
      <c r="C72" s="283"/>
      <c r="D72" s="283"/>
      <c r="E72" s="283"/>
      <c r="F72" s="283"/>
      <c r="G72" s="283"/>
      <c r="H72" s="283"/>
      <c r="I72" s="283"/>
      <c r="J72" s="283"/>
      <c r="K72" s="283"/>
      <c r="L72" s="283"/>
      <c r="M72" s="283"/>
      <c r="N72" s="283"/>
      <c r="O72" s="283"/>
      <c r="P72" s="283"/>
      <c r="Q72" s="283"/>
      <c r="R72" s="283"/>
      <c r="S72" s="283"/>
      <c r="T72" s="283"/>
      <c r="U72" s="283"/>
      <c r="V72" s="283"/>
      <c r="W72" s="283"/>
      <c r="X72" s="283"/>
      <c r="Y72" s="283"/>
      <c r="Z72" s="283"/>
    </row>
    <row r="73" ht="14.25" customHeight="1">
      <c r="A73" s="283"/>
      <c r="B73" s="283"/>
      <c r="C73" s="283"/>
      <c r="D73" s="283"/>
      <c r="E73" s="283"/>
      <c r="F73" s="283"/>
      <c r="G73" s="283"/>
      <c r="H73" s="283"/>
      <c r="I73" s="283"/>
      <c r="J73" s="283"/>
      <c r="K73" s="283"/>
      <c r="L73" s="283"/>
      <c r="M73" s="283"/>
      <c r="N73" s="283"/>
      <c r="O73" s="283"/>
      <c r="P73" s="283"/>
      <c r="Q73" s="283"/>
      <c r="R73" s="283"/>
      <c r="S73" s="283"/>
      <c r="T73" s="283"/>
      <c r="U73" s="283"/>
      <c r="V73" s="283"/>
      <c r="W73" s="283"/>
      <c r="X73" s="283"/>
      <c r="Y73" s="283"/>
      <c r="Z73" s="283"/>
    </row>
    <row r="74" ht="14.25" customHeight="1">
      <c r="A74" s="283"/>
      <c r="B74" s="283"/>
      <c r="C74" s="283"/>
      <c r="D74" s="283"/>
      <c r="E74" s="283"/>
      <c r="F74" s="283"/>
      <c r="G74" s="283"/>
      <c r="H74" s="283"/>
      <c r="I74" s="283"/>
      <c r="J74" s="283"/>
      <c r="K74" s="283"/>
      <c r="L74" s="283"/>
      <c r="M74" s="283"/>
      <c r="N74" s="283"/>
      <c r="O74" s="283"/>
      <c r="P74" s="283"/>
      <c r="Q74" s="283"/>
      <c r="R74" s="283"/>
      <c r="S74" s="283"/>
      <c r="T74" s="283"/>
      <c r="U74" s="283"/>
      <c r="V74" s="283"/>
      <c r="W74" s="283"/>
      <c r="X74" s="283"/>
      <c r="Y74" s="283"/>
      <c r="Z74" s="283"/>
    </row>
    <row r="75" ht="14.25" customHeight="1">
      <c r="A75" s="283"/>
      <c r="B75" s="283"/>
      <c r="C75" s="283"/>
      <c r="D75" s="283"/>
      <c r="E75" s="283"/>
      <c r="F75" s="283"/>
      <c r="G75" s="283"/>
      <c r="H75" s="283"/>
      <c r="I75" s="283"/>
      <c r="J75" s="283"/>
      <c r="K75" s="283"/>
      <c r="L75" s="283"/>
      <c r="M75" s="283"/>
      <c r="N75" s="283"/>
      <c r="O75" s="283"/>
      <c r="P75" s="283"/>
      <c r="Q75" s="283"/>
      <c r="R75" s="283"/>
      <c r="S75" s="283"/>
      <c r="T75" s="283"/>
      <c r="U75" s="283"/>
      <c r="V75" s="283"/>
      <c r="W75" s="283"/>
      <c r="X75" s="283"/>
      <c r="Y75" s="283"/>
      <c r="Z75" s="283"/>
    </row>
    <row r="76" ht="14.25" customHeight="1">
      <c r="A76" s="283"/>
      <c r="B76" s="283"/>
      <c r="C76" s="283"/>
      <c r="D76" s="283"/>
      <c r="E76" s="283"/>
      <c r="F76" s="283"/>
      <c r="G76" s="283"/>
      <c r="H76" s="283"/>
      <c r="I76" s="283"/>
      <c r="J76" s="283"/>
      <c r="K76" s="283"/>
      <c r="L76" s="283"/>
      <c r="M76" s="283"/>
      <c r="N76" s="283"/>
      <c r="O76" s="283"/>
      <c r="P76" s="283"/>
      <c r="Q76" s="283"/>
      <c r="R76" s="283"/>
      <c r="S76" s="283"/>
      <c r="T76" s="283"/>
      <c r="U76" s="283"/>
      <c r="V76" s="283"/>
      <c r="W76" s="283"/>
      <c r="X76" s="283"/>
      <c r="Y76" s="283"/>
      <c r="Z76" s="283"/>
    </row>
    <row r="77" ht="14.25" customHeight="1">
      <c r="A77" s="283"/>
      <c r="B77" s="283"/>
      <c r="C77" s="283"/>
      <c r="D77" s="283"/>
      <c r="E77" s="283"/>
      <c r="F77" s="283"/>
      <c r="G77" s="283"/>
      <c r="H77" s="283"/>
      <c r="I77" s="283"/>
      <c r="J77" s="283"/>
      <c r="K77" s="283"/>
      <c r="L77" s="283"/>
      <c r="M77" s="283"/>
      <c r="N77" s="283"/>
      <c r="O77" s="283"/>
      <c r="P77" s="283"/>
      <c r="Q77" s="283"/>
      <c r="R77" s="283"/>
      <c r="S77" s="283"/>
      <c r="T77" s="283"/>
      <c r="U77" s="283"/>
      <c r="V77" s="283"/>
      <c r="W77" s="283"/>
      <c r="X77" s="283"/>
      <c r="Y77" s="283"/>
      <c r="Z77" s="283"/>
    </row>
    <row r="78" ht="14.25" customHeight="1">
      <c r="A78" s="283"/>
      <c r="B78" s="283"/>
      <c r="C78" s="283"/>
      <c r="D78" s="283"/>
      <c r="E78" s="283"/>
      <c r="F78" s="283"/>
      <c r="G78" s="283"/>
      <c r="H78" s="283"/>
      <c r="I78" s="283"/>
      <c r="J78" s="283"/>
      <c r="K78" s="283"/>
      <c r="L78" s="283"/>
      <c r="M78" s="283"/>
      <c r="N78" s="283"/>
      <c r="O78" s="283"/>
      <c r="P78" s="283"/>
      <c r="Q78" s="283"/>
      <c r="R78" s="283"/>
      <c r="S78" s="283"/>
      <c r="T78" s="283"/>
      <c r="U78" s="283"/>
      <c r="V78" s="283"/>
      <c r="W78" s="283"/>
      <c r="X78" s="283"/>
      <c r="Y78" s="283"/>
      <c r="Z78" s="283"/>
    </row>
    <row r="79" ht="14.25" customHeight="1">
      <c r="A79" s="283"/>
      <c r="B79" s="283"/>
      <c r="C79" s="283"/>
      <c r="D79" s="283"/>
      <c r="E79" s="283"/>
      <c r="F79" s="283"/>
      <c r="G79" s="283"/>
      <c r="H79" s="283"/>
      <c r="I79" s="283"/>
      <c r="J79" s="283"/>
      <c r="K79" s="283"/>
      <c r="L79" s="283"/>
      <c r="M79" s="283"/>
      <c r="N79" s="283"/>
      <c r="O79" s="283"/>
      <c r="P79" s="283"/>
      <c r="Q79" s="283"/>
      <c r="R79" s="283"/>
      <c r="S79" s="283"/>
      <c r="T79" s="283"/>
      <c r="U79" s="283"/>
      <c r="V79" s="283"/>
      <c r="W79" s="283"/>
      <c r="X79" s="283"/>
      <c r="Y79" s="283"/>
      <c r="Z79" s="283"/>
    </row>
    <row r="80" ht="14.25" customHeight="1">
      <c r="A80" s="283"/>
      <c r="B80" s="283"/>
      <c r="C80" s="283"/>
      <c r="D80" s="283"/>
      <c r="E80" s="283"/>
      <c r="F80" s="283"/>
      <c r="G80" s="283"/>
      <c r="H80" s="283"/>
      <c r="I80" s="283"/>
      <c r="J80" s="283"/>
      <c r="K80" s="283"/>
      <c r="L80" s="283"/>
      <c r="M80" s="283"/>
      <c r="N80" s="283"/>
      <c r="O80" s="283"/>
      <c r="P80" s="283"/>
      <c r="Q80" s="283"/>
      <c r="R80" s="283"/>
      <c r="S80" s="283"/>
      <c r="T80" s="283"/>
      <c r="U80" s="283"/>
      <c r="V80" s="283"/>
      <c r="W80" s="283"/>
      <c r="X80" s="283"/>
      <c r="Y80" s="283"/>
      <c r="Z80" s="283"/>
    </row>
    <row r="81" ht="14.25" customHeight="1">
      <c r="A81" s="283"/>
      <c r="B81" s="283"/>
      <c r="C81" s="283"/>
      <c r="D81" s="283"/>
      <c r="E81" s="283"/>
      <c r="F81" s="283"/>
      <c r="G81" s="283"/>
      <c r="H81" s="283"/>
      <c r="I81" s="283"/>
      <c r="J81" s="283"/>
      <c r="K81" s="283"/>
      <c r="L81" s="283"/>
      <c r="M81" s="283"/>
      <c r="N81" s="283"/>
      <c r="O81" s="283"/>
      <c r="P81" s="283"/>
      <c r="Q81" s="283"/>
      <c r="R81" s="283"/>
      <c r="S81" s="283"/>
      <c r="T81" s="283"/>
      <c r="U81" s="283"/>
      <c r="V81" s="283"/>
      <c r="W81" s="283"/>
      <c r="X81" s="283"/>
      <c r="Y81" s="283"/>
      <c r="Z81" s="283"/>
    </row>
    <row r="82" ht="14.25" customHeight="1">
      <c r="A82" s="283"/>
      <c r="B82" s="283"/>
      <c r="C82" s="283"/>
      <c r="D82" s="283"/>
      <c r="E82" s="283"/>
      <c r="F82" s="283"/>
      <c r="G82" s="283"/>
      <c r="H82" s="283"/>
      <c r="I82" s="283"/>
      <c r="J82" s="283"/>
      <c r="K82" s="283"/>
      <c r="L82" s="283"/>
      <c r="M82" s="283"/>
      <c r="N82" s="283"/>
      <c r="O82" s="283"/>
      <c r="P82" s="283"/>
      <c r="Q82" s="283"/>
      <c r="R82" s="283"/>
      <c r="S82" s="283"/>
      <c r="T82" s="283"/>
      <c r="U82" s="283"/>
      <c r="V82" s="283"/>
      <c r="W82" s="283"/>
      <c r="X82" s="283"/>
      <c r="Y82" s="283"/>
      <c r="Z82" s="283"/>
    </row>
    <row r="83" ht="14.25" customHeight="1">
      <c r="A83" s="283"/>
      <c r="B83" s="283"/>
      <c r="C83" s="283"/>
      <c r="D83" s="283"/>
      <c r="E83" s="283"/>
      <c r="F83" s="283"/>
      <c r="G83" s="283"/>
      <c r="H83" s="283"/>
      <c r="I83" s="283"/>
      <c r="J83" s="283"/>
      <c r="K83" s="283"/>
      <c r="L83" s="283"/>
      <c r="M83" s="283"/>
      <c r="N83" s="283"/>
      <c r="O83" s="283"/>
      <c r="P83" s="283"/>
      <c r="Q83" s="283"/>
      <c r="R83" s="283"/>
      <c r="S83" s="283"/>
      <c r="T83" s="283"/>
      <c r="U83" s="283"/>
      <c r="V83" s="283"/>
      <c r="W83" s="283"/>
      <c r="X83" s="283"/>
      <c r="Y83" s="283"/>
      <c r="Z83" s="283"/>
    </row>
    <row r="84" ht="14.25" customHeight="1">
      <c r="A84" s="283"/>
      <c r="B84" s="283"/>
      <c r="C84" s="283"/>
      <c r="D84" s="283"/>
      <c r="E84" s="283"/>
      <c r="F84" s="283"/>
      <c r="G84" s="283"/>
      <c r="H84" s="283"/>
      <c r="I84" s="283"/>
      <c r="J84" s="283"/>
      <c r="K84" s="283"/>
      <c r="L84" s="283"/>
      <c r="M84" s="283"/>
      <c r="N84" s="283"/>
      <c r="O84" s="283"/>
      <c r="P84" s="283"/>
      <c r="Q84" s="283"/>
      <c r="R84" s="283"/>
      <c r="S84" s="283"/>
      <c r="T84" s="283"/>
      <c r="U84" s="283"/>
      <c r="V84" s="283"/>
      <c r="W84" s="283"/>
      <c r="X84" s="283"/>
      <c r="Y84" s="283"/>
      <c r="Z84" s="283"/>
    </row>
    <row r="85" ht="14.25" customHeight="1">
      <c r="A85" s="283"/>
      <c r="B85" s="283"/>
      <c r="C85" s="283"/>
      <c r="D85" s="283"/>
      <c r="E85" s="283"/>
      <c r="F85" s="283"/>
      <c r="G85" s="283"/>
      <c r="H85" s="283"/>
      <c r="I85" s="283"/>
      <c r="J85" s="283"/>
      <c r="K85" s="283"/>
      <c r="L85" s="283"/>
      <c r="M85" s="283"/>
      <c r="N85" s="283"/>
      <c r="O85" s="283"/>
      <c r="P85" s="283"/>
      <c r="Q85" s="283"/>
      <c r="R85" s="283"/>
      <c r="S85" s="283"/>
      <c r="T85" s="283"/>
      <c r="U85" s="283"/>
      <c r="V85" s="283"/>
      <c r="W85" s="283"/>
      <c r="X85" s="283"/>
      <c r="Y85" s="283"/>
      <c r="Z85" s="283"/>
    </row>
    <row r="86" ht="14.25" customHeight="1">
      <c r="A86" s="283"/>
      <c r="B86" s="283"/>
      <c r="C86" s="283"/>
      <c r="D86" s="283"/>
      <c r="E86" s="283"/>
      <c r="F86" s="283"/>
      <c r="G86" s="283"/>
      <c r="H86" s="283"/>
      <c r="I86" s="283"/>
      <c r="J86" s="283"/>
      <c r="K86" s="283"/>
      <c r="L86" s="283"/>
      <c r="M86" s="283"/>
      <c r="N86" s="283"/>
      <c r="O86" s="283"/>
      <c r="P86" s="283"/>
      <c r="Q86" s="283"/>
      <c r="R86" s="283"/>
      <c r="S86" s="283"/>
      <c r="T86" s="283"/>
      <c r="U86" s="283"/>
      <c r="V86" s="283"/>
      <c r="W86" s="283"/>
      <c r="X86" s="283"/>
      <c r="Y86" s="283"/>
      <c r="Z86" s="283"/>
    </row>
    <row r="87" ht="14.25" customHeight="1">
      <c r="A87" s="283"/>
      <c r="B87" s="283"/>
      <c r="C87" s="283"/>
      <c r="D87" s="283"/>
      <c r="E87" s="283"/>
      <c r="F87" s="283"/>
      <c r="G87" s="283"/>
      <c r="H87" s="283"/>
      <c r="I87" s="283"/>
      <c r="J87" s="283"/>
      <c r="K87" s="283"/>
      <c r="L87" s="283"/>
      <c r="M87" s="283"/>
      <c r="N87" s="283"/>
      <c r="O87" s="283"/>
      <c r="P87" s="283"/>
      <c r="Q87" s="283"/>
      <c r="R87" s="283"/>
      <c r="S87" s="283"/>
      <c r="T87" s="283"/>
      <c r="U87" s="283"/>
      <c r="V87" s="283"/>
      <c r="W87" s="283"/>
      <c r="X87" s="283"/>
      <c r="Y87" s="283"/>
      <c r="Z87" s="283"/>
    </row>
    <row r="88" ht="14.25" customHeight="1">
      <c r="A88" s="283"/>
      <c r="B88" s="283"/>
      <c r="C88" s="283"/>
      <c r="D88" s="283"/>
      <c r="E88" s="283"/>
      <c r="F88" s="283"/>
      <c r="G88" s="283"/>
      <c r="H88" s="283"/>
      <c r="I88" s="283"/>
      <c r="J88" s="283"/>
      <c r="K88" s="283"/>
      <c r="L88" s="283"/>
      <c r="M88" s="283"/>
      <c r="N88" s="283"/>
      <c r="O88" s="283"/>
      <c r="P88" s="283"/>
      <c r="Q88" s="283"/>
      <c r="R88" s="283"/>
      <c r="S88" s="283"/>
      <c r="T88" s="283"/>
      <c r="U88" s="283"/>
      <c r="V88" s="283"/>
      <c r="W88" s="283"/>
      <c r="X88" s="283"/>
      <c r="Y88" s="283"/>
      <c r="Z88" s="283"/>
    </row>
    <row r="89" ht="14.25" customHeight="1">
      <c r="A89" s="283"/>
      <c r="B89" s="283"/>
      <c r="C89" s="283"/>
      <c r="D89" s="283"/>
      <c r="E89" s="283"/>
      <c r="F89" s="283"/>
      <c r="G89" s="283"/>
      <c r="H89" s="283"/>
      <c r="I89" s="283"/>
      <c r="J89" s="283"/>
      <c r="K89" s="283"/>
      <c r="L89" s="283"/>
      <c r="M89" s="283"/>
      <c r="N89" s="283"/>
      <c r="O89" s="283"/>
      <c r="P89" s="283"/>
      <c r="Q89" s="283"/>
      <c r="R89" s="283"/>
      <c r="S89" s="283"/>
      <c r="T89" s="283"/>
      <c r="U89" s="283"/>
      <c r="V89" s="283"/>
      <c r="W89" s="283"/>
      <c r="X89" s="283"/>
      <c r="Y89" s="283"/>
      <c r="Z89" s="283"/>
    </row>
    <row r="90" ht="14.25" customHeight="1">
      <c r="A90" s="283"/>
      <c r="B90" s="283"/>
      <c r="C90" s="283"/>
      <c r="D90" s="283"/>
      <c r="E90" s="283"/>
      <c r="F90" s="283"/>
      <c r="G90" s="283"/>
      <c r="H90" s="283"/>
      <c r="I90" s="283"/>
      <c r="J90" s="283"/>
      <c r="K90" s="283"/>
      <c r="L90" s="283"/>
      <c r="M90" s="283"/>
      <c r="N90" s="283"/>
      <c r="O90" s="283"/>
      <c r="P90" s="283"/>
      <c r="Q90" s="283"/>
      <c r="R90" s="283"/>
      <c r="S90" s="283"/>
      <c r="T90" s="283"/>
      <c r="U90" s="283"/>
      <c r="V90" s="283"/>
      <c r="W90" s="283"/>
      <c r="X90" s="283"/>
      <c r="Y90" s="283"/>
      <c r="Z90" s="283"/>
    </row>
    <row r="91" ht="14.25" customHeight="1">
      <c r="A91" s="283"/>
      <c r="B91" s="283"/>
      <c r="C91" s="283"/>
      <c r="D91" s="283"/>
      <c r="E91" s="283"/>
      <c r="F91" s="283"/>
      <c r="G91" s="283"/>
      <c r="H91" s="283"/>
      <c r="I91" s="283"/>
      <c r="J91" s="283"/>
      <c r="K91" s="283"/>
      <c r="L91" s="283"/>
      <c r="M91" s="283"/>
      <c r="N91" s="283"/>
      <c r="O91" s="283"/>
      <c r="P91" s="283"/>
      <c r="Q91" s="283"/>
      <c r="R91" s="283"/>
      <c r="S91" s="283"/>
      <c r="T91" s="283"/>
      <c r="U91" s="283"/>
      <c r="V91" s="283"/>
      <c r="W91" s="283"/>
      <c r="X91" s="283"/>
      <c r="Y91" s="283"/>
      <c r="Z91" s="283"/>
    </row>
    <row r="92" ht="14.25" customHeight="1">
      <c r="A92" s="283"/>
      <c r="B92" s="283"/>
      <c r="C92" s="283"/>
      <c r="D92" s="283"/>
      <c r="E92" s="283"/>
      <c r="F92" s="283"/>
      <c r="G92" s="283"/>
      <c r="H92" s="283"/>
      <c r="I92" s="283"/>
      <c r="J92" s="283"/>
      <c r="K92" s="283"/>
      <c r="L92" s="283"/>
      <c r="M92" s="283"/>
      <c r="N92" s="283"/>
      <c r="O92" s="283"/>
      <c r="P92" s="283"/>
      <c r="Q92" s="283"/>
      <c r="R92" s="283"/>
      <c r="S92" s="283"/>
      <c r="T92" s="283"/>
      <c r="U92" s="283"/>
      <c r="V92" s="283"/>
      <c r="W92" s="283"/>
      <c r="X92" s="283"/>
      <c r="Y92" s="283"/>
      <c r="Z92" s="283"/>
    </row>
    <row r="93" ht="14.25" customHeight="1">
      <c r="A93" s="283"/>
      <c r="B93" s="283"/>
      <c r="C93" s="283"/>
      <c r="D93" s="283"/>
      <c r="E93" s="283"/>
      <c r="F93" s="283"/>
      <c r="G93" s="283"/>
      <c r="H93" s="283"/>
      <c r="I93" s="283"/>
      <c r="J93" s="283"/>
      <c r="K93" s="283"/>
      <c r="L93" s="283"/>
      <c r="M93" s="283"/>
      <c r="N93" s="283"/>
      <c r="O93" s="283"/>
      <c r="P93" s="283"/>
      <c r="Q93" s="283"/>
      <c r="R93" s="283"/>
      <c r="S93" s="283"/>
      <c r="T93" s="283"/>
      <c r="U93" s="283"/>
      <c r="V93" s="283"/>
      <c r="W93" s="283"/>
      <c r="X93" s="283"/>
      <c r="Y93" s="283"/>
      <c r="Z93" s="283"/>
    </row>
    <row r="94" ht="14.25" customHeight="1">
      <c r="A94" s="283"/>
      <c r="B94" s="283"/>
      <c r="C94" s="283"/>
      <c r="D94" s="283"/>
      <c r="E94" s="283"/>
      <c r="F94" s="283"/>
      <c r="G94" s="283"/>
      <c r="H94" s="283"/>
      <c r="I94" s="283"/>
      <c r="J94" s="283"/>
      <c r="K94" s="283"/>
      <c r="L94" s="283"/>
      <c r="M94" s="283"/>
      <c r="N94" s="283"/>
      <c r="O94" s="283"/>
      <c r="P94" s="283"/>
      <c r="Q94" s="283"/>
      <c r="R94" s="283"/>
      <c r="S94" s="283"/>
      <c r="T94" s="283"/>
      <c r="U94" s="283"/>
      <c r="V94" s="283"/>
      <c r="W94" s="283"/>
      <c r="X94" s="283"/>
      <c r="Y94" s="283"/>
      <c r="Z94" s="283"/>
    </row>
    <row r="95" ht="14.25" customHeight="1">
      <c r="A95" s="283"/>
      <c r="B95" s="283"/>
      <c r="C95" s="283"/>
      <c r="D95" s="283"/>
      <c r="E95" s="283"/>
      <c r="F95" s="283"/>
      <c r="G95" s="283"/>
      <c r="H95" s="283"/>
      <c r="I95" s="283"/>
      <c r="J95" s="283"/>
      <c r="K95" s="283"/>
      <c r="L95" s="283"/>
      <c r="M95" s="283"/>
      <c r="N95" s="283"/>
      <c r="O95" s="283"/>
      <c r="P95" s="283"/>
      <c r="Q95" s="283"/>
      <c r="R95" s="283"/>
      <c r="S95" s="283"/>
      <c r="T95" s="283"/>
      <c r="U95" s="283"/>
      <c r="V95" s="283"/>
      <c r="W95" s="283"/>
      <c r="X95" s="283"/>
      <c r="Y95" s="283"/>
      <c r="Z95" s="283"/>
    </row>
    <row r="96" ht="14.25" customHeight="1">
      <c r="A96" s="283"/>
      <c r="B96" s="283"/>
      <c r="C96" s="283"/>
      <c r="D96" s="283"/>
      <c r="E96" s="283"/>
      <c r="F96" s="283"/>
      <c r="G96" s="283"/>
      <c r="H96" s="283"/>
      <c r="I96" s="283"/>
      <c r="J96" s="283"/>
      <c r="K96" s="283"/>
      <c r="L96" s="283"/>
      <c r="M96" s="283"/>
      <c r="N96" s="283"/>
      <c r="O96" s="283"/>
      <c r="P96" s="283"/>
      <c r="Q96" s="283"/>
      <c r="R96" s="283"/>
      <c r="S96" s="283"/>
      <c r="T96" s="283"/>
      <c r="U96" s="283"/>
      <c r="V96" s="283"/>
      <c r="W96" s="283"/>
      <c r="X96" s="283"/>
      <c r="Y96" s="283"/>
      <c r="Z96" s="283"/>
    </row>
    <row r="97" ht="14.25" customHeight="1">
      <c r="A97" s="283"/>
      <c r="B97" s="283"/>
      <c r="C97" s="283"/>
      <c r="D97" s="283"/>
      <c r="E97" s="283"/>
      <c r="F97" s="283"/>
      <c r="G97" s="283"/>
      <c r="H97" s="283"/>
      <c r="I97" s="283"/>
      <c r="J97" s="283"/>
      <c r="K97" s="283"/>
      <c r="L97" s="283"/>
      <c r="M97" s="283"/>
      <c r="N97" s="283"/>
      <c r="O97" s="283"/>
      <c r="P97" s="283"/>
      <c r="Q97" s="283"/>
      <c r="R97" s="283"/>
      <c r="S97" s="283"/>
      <c r="T97" s="283"/>
      <c r="U97" s="283"/>
      <c r="V97" s="283"/>
      <c r="W97" s="283"/>
      <c r="X97" s="283"/>
      <c r="Y97" s="283"/>
      <c r="Z97" s="283"/>
    </row>
    <row r="98" ht="14.25" customHeight="1">
      <c r="A98" s="283"/>
      <c r="B98" s="283"/>
      <c r="C98" s="283"/>
      <c r="D98" s="283"/>
      <c r="E98" s="283"/>
      <c r="F98" s="283"/>
      <c r="G98" s="283"/>
      <c r="H98" s="283"/>
      <c r="I98" s="283"/>
      <c r="J98" s="283"/>
      <c r="K98" s="283"/>
      <c r="L98" s="283"/>
      <c r="M98" s="283"/>
      <c r="N98" s="283"/>
      <c r="O98" s="283"/>
      <c r="P98" s="283"/>
      <c r="Q98" s="283"/>
      <c r="R98" s="283"/>
      <c r="S98" s="283"/>
      <c r="T98" s="283"/>
      <c r="U98" s="283"/>
      <c r="V98" s="283"/>
      <c r="W98" s="283"/>
      <c r="X98" s="283"/>
      <c r="Y98" s="283"/>
      <c r="Z98" s="283"/>
    </row>
    <row r="99" ht="14.25" customHeight="1">
      <c r="A99" s="283"/>
      <c r="B99" s="283"/>
      <c r="C99" s="283"/>
      <c r="D99" s="283"/>
      <c r="E99" s="283"/>
      <c r="F99" s="283"/>
      <c r="G99" s="283"/>
      <c r="H99" s="283"/>
      <c r="I99" s="283"/>
      <c r="J99" s="283"/>
      <c r="K99" s="283"/>
      <c r="L99" s="283"/>
      <c r="M99" s="283"/>
      <c r="N99" s="283"/>
      <c r="O99" s="283"/>
      <c r="P99" s="283"/>
      <c r="Q99" s="283"/>
      <c r="R99" s="283"/>
      <c r="S99" s="283"/>
      <c r="T99" s="283"/>
      <c r="U99" s="283"/>
      <c r="V99" s="283"/>
      <c r="W99" s="283"/>
      <c r="X99" s="283"/>
      <c r="Y99" s="283"/>
      <c r="Z99" s="283"/>
    </row>
    <row r="100" ht="14.25" customHeight="1">
      <c r="A100" s="283"/>
      <c r="B100" s="283"/>
      <c r="C100" s="283"/>
      <c r="D100" s="283"/>
      <c r="E100" s="283"/>
      <c r="F100" s="283"/>
      <c r="G100" s="283"/>
      <c r="H100" s="283"/>
      <c r="I100" s="283"/>
      <c r="J100" s="283"/>
      <c r="K100" s="283"/>
      <c r="L100" s="283"/>
      <c r="M100" s="283"/>
      <c r="N100" s="283"/>
      <c r="O100" s="283"/>
      <c r="P100" s="283"/>
      <c r="Q100" s="283"/>
      <c r="R100" s="283"/>
      <c r="S100" s="283"/>
      <c r="T100" s="283"/>
      <c r="U100" s="283"/>
      <c r="V100" s="283"/>
      <c r="W100" s="283"/>
      <c r="X100" s="283"/>
      <c r="Y100" s="283"/>
      <c r="Z100" s="283"/>
    </row>
    <row r="101" ht="14.25" customHeight="1">
      <c r="A101" s="283"/>
      <c r="B101" s="283"/>
      <c r="C101" s="283"/>
      <c r="D101" s="283"/>
      <c r="E101" s="283"/>
      <c r="F101" s="283"/>
      <c r="G101" s="283"/>
      <c r="H101" s="283"/>
      <c r="I101" s="283"/>
      <c r="J101" s="283"/>
      <c r="K101" s="283"/>
      <c r="L101" s="283"/>
      <c r="M101" s="283"/>
      <c r="N101" s="283"/>
      <c r="O101" s="283"/>
      <c r="P101" s="283"/>
      <c r="Q101" s="283"/>
      <c r="R101" s="283"/>
      <c r="S101" s="283"/>
      <c r="T101" s="283"/>
      <c r="U101" s="283"/>
      <c r="V101" s="283"/>
      <c r="W101" s="283"/>
      <c r="X101" s="283"/>
      <c r="Y101" s="283"/>
      <c r="Z101" s="283"/>
    </row>
    <row r="102" ht="14.25" customHeight="1">
      <c r="A102" s="283"/>
      <c r="B102" s="283"/>
      <c r="C102" s="283"/>
      <c r="D102" s="283"/>
      <c r="E102" s="283"/>
      <c r="F102" s="283"/>
      <c r="G102" s="283"/>
      <c r="H102" s="283"/>
      <c r="I102" s="283"/>
      <c r="J102" s="283"/>
      <c r="K102" s="283"/>
      <c r="L102" s="283"/>
      <c r="M102" s="283"/>
      <c r="N102" s="283"/>
      <c r="O102" s="283"/>
      <c r="P102" s="283"/>
      <c r="Q102" s="283"/>
      <c r="R102" s="283"/>
      <c r="S102" s="283"/>
      <c r="T102" s="283"/>
      <c r="U102" s="283"/>
      <c r="V102" s="283"/>
      <c r="W102" s="283"/>
      <c r="X102" s="283"/>
      <c r="Y102" s="283"/>
      <c r="Z102" s="283"/>
    </row>
    <row r="103" ht="14.25" customHeight="1">
      <c r="A103" s="283"/>
      <c r="B103" s="283"/>
      <c r="C103" s="283"/>
      <c r="D103" s="283"/>
      <c r="E103" s="283"/>
      <c r="F103" s="283"/>
      <c r="G103" s="283"/>
      <c r="H103" s="283"/>
      <c r="I103" s="283"/>
      <c r="J103" s="283"/>
      <c r="K103" s="283"/>
      <c r="L103" s="283"/>
      <c r="M103" s="283"/>
      <c r="N103" s="283"/>
      <c r="O103" s="283"/>
      <c r="P103" s="283"/>
      <c r="Q103" s="283"/>
      <c r="R103" s="283"/>
      <c r="S103" s="283"/>
      <c r="T103" s="283"/>
      <c r="U103" s="283"/>
      <c r="V103" s="283"/>
      <c r="W103" s="283"/>
      <c r="X103" s="283"/>
      <c r="Y103" s="283"/>
      <c r="Z103" s="283"/>
    </row>
    <row r="104" ht="14.25" customHeight="1">
      <c r="A104" s="283"/>
      <c r="B104" s="283"/>
      <c r="C104" s="283"/>
      <c r="D104" s="283"/>
      <c r="E104" s="283"/>
      <c r="F104" s="283"/>
      <c r="G104" s="283"/>
      <c r="H104" s="283"/>
      <c r="I104" s="283"/>
      <c r="J104" s="283"/>
      <c r="K104" s="283"/>
      <c r="L104" s="283"/>
      <c r="M104" s="283"/>
      <c r="N104" s="283"/>
      <c r="O104" s="283"/>
      <c r="P104" s="283"/>
      <c r="Q104" s="283"/>
      <c r="R104" s="283"/>
      <c r="S104" s="283"/>
      <c r="T104" s="283"/>
      <c r="U104" s="283"/>
      <c r="V104" s="283"/>
      <c r="W104" s="283"/>
      <c r="X104" s="283"/>
      <c r="Y104" s="283"/>
      <c r="Z104" s="283"/>
    </row>
    <row r="105" ht="14.25" customHeight="1">
      <c r="A105" s="283"/>
      <c r="B105" s="283"/>
      <c r="C105" s="283"/>
      <c r="D105" s="283"/>
      <c r="E105" s="283"/>
      <c r="F105" s="283"/>
      <c r="G105" s="283"/>
      <c r="H105" s="283"/>
      <c r="I105" s="283"/>
      <c r="J105" s="283"/>
      <c r="K105" s="283"/>
      <c r="L105" s="283"/>
      <c r="M105" s="283"/>
      <c r="N105" s="283"/>
      <c r="O105" s="283"/>
      <c r="P105" s="283"/>
      <c r="Q105" s="283"/>
      <c r="R105" s="283"/>
      <c r="S105" s="283"/>
      <c r="T105" s="283"/>
      <c r="U105" s="283"/>
      <c r="V105" s="283"/>
      <c r="W105" s="283"/>
      <c r="X105" s="283"/>
      <c r="Y105" s="283"/>
      <c r="Z105" s="283"/>
    </row>
    <row r="106" ht="14.25" customHeight="1">
      <c r="A106" s="283"/>
      <c r="B106" s="283"/>
      <c r="C106" s="283"/>
      <c r="D106" s="283"/>
      <c r="E106" s="283"/>
      <c r="F106" s="283"/>
      <c r="G106" s="283"/>
      <c r="H106" s="283"/>
      <c r="I106" s="283"/>
      <c r="J106" s="283"/>
      <c r="K106" s="283"/>
      <c r="L106" s="283"/>
      <c r="M106" s="283"/>
      <c r="N106" s="283"/>
      <c r="O106" s="283"/>
      <c r="P106" s="283"/>
      <c r="Q106" s="283"/>
      <c r="R106" s="283"/>
      <c r="S106" s="283"/>
      <c r="T106" s="283"/>
      <c r="U106" s="283"/>
      <c r="V106" s="283"/>
      <c r="W106" s="283"/>
      <c r="X106" s="283"/>
      <c r="Y106" s="283"/>
      <c r="Z106" s="283"/>
    </row>
    <row r="107" ht="14.25" customHeight="1">
      <c r="A107" s="283"/>
      <c r="B107" s="283"/>
      <c r="C107" s="283"/>
      <c r="D107" s="283"/>
      <c r="E107" s="283"/>
      <c r="F107" s="283"/>
      <c r="G107" s="283"/>
      <c r="H107" s="283"/>
      <c r="I107" s="283"/>
      <c r="J107" s="283"/>
      <c r="K107" s="283"/>
      <c r="L107" s="283"/>
      <c r="M107" s="283"/>
      <c r="N107" s="283"/>
      <c r="O107" s="283"/>
      <c r="P107" s="283"/>
      <c r="Q107" s="283"/>
      <c r="R107" s="283"/>
      <c r="S107" s="283"/>
      <c r="T107" s="283"/>
      <c r="U107" s="283"/>
      <c r="V107" s="283"/>
      <c r="W107" s="283"/>
      <c r="X107" s="283"/>
      <c r="Y107" s="283"/>
      <c r="Z107" s="283"/>
    </row>
    <row r="108" ht="14.25" customHeight="1">
      <c r="A108" s="283"/>
      <c r="B108" s="283"/>
      <c r="C108" s="283"/>
      <c r="D108" s="283"/>
      <c r="E108" s="283"/>
      <c r="F108" s="283"/>
      <c r="G108" s="283"/>
      <c r="H108" s="283"/>
      <c r="I108" s="283"/>
      <c r="J108" s="283"/>
      <c r="K108" s="283"/>
      <c r="L108" s="283"/>
      <c r="M108" s="283"/>
      <c r="N108" s="283"/>
      <c r="O108" s="283"/>
      <c r="P108" s="283"/>
      <c r="Q108" s="283"/>
      <c r="R108" s="283"/>
      <c r="S108" s="283"/>
      <c r="T108" s="283"/>
      <c r="U108" s="283"/>
      <c r="V108" s="283"/>
      <c r="W108" s="283"/>
      <c r="X108" s="283"/>
      <c r="Y108" s="283"/>
      <c r="Z108" s="283"/>
    </row>
    <row r="109" ht="14.25" customHeight="1">
      <c r="A109" s="283"/>
      <c r="B109" s="283"/>
      <c r="C109" s="283"/>
      <c r="D109" s="283"/>
      <c r="E109" s="283"/>
      <c r="F109" s="283"/>
      <c r="G109" s="283"/>
      <c r="H109" s="283"/>
      <c r="I109" s="283"/>
      <c r="J109" s="283"/>
      <c r="K109" s="283"/>
      <c r="L109" s="283"/>
      <c r="M109" s="283"/>
      <c r="N109" s="283"/>
      <c r="O109" s="283"/>
      <c r="P109" s="283"/>
      <c r="Q109" s="283"/>
      <c r="R109" s="283"/>
      <c r="S109" s="283"/>
      <c r="T109" s="283"/>
      <c r="U109" s="283"/>
      <c r="V109" s="283"/>
      <c r="W109" s="283"/>
      <c r="X109" s="283"/>
      <c r="Y109" s="283"/>
      <c r="Z109" s="283"/>
    </row>
    <row r="110" ht="14.25" customHeight="1">
      <c r="A110" s="283"/>
      <c r="B110" s="283"/>
      <c r="C110" s="283"/>
      <c r="D110" s="283"/>
      <c r="E110" s="283"/>
      <c r="F110" s="283"/>
      <c r="G110" s="283"/>
      <c r="H110" s="283"/>
      <c r="I110" s="283"/>
      <c r="J110" s="283"/>
      <c r="K110" s="283"/>
      <c r="L110" s="283"/>
      <c r="M110" s="283"/>
      <c r="N110" s="283"/>
      <c r="O110" s="283"/>
      <c r="P110" s="283"/>
      <c r="Q110" s="283"/>
      <c r="R110" s="283"/>
      <c r="S110" s="283"/>
      <c r="T110" s="283"/>
      <c r="U110" s="283"/>
      <c r="V110" s="283"/>
      <c r="W110" s="283"/>
      <c r="X110" s="283"/>
      <c r="Y110" s="283"/>
      <c r="Z110" s="283"/>
    </row>
    <row r="111" ht="14.25" customHeight="1">
      <c r="A111" s="283"/>
      <c r="B111" s="283"/>
      <c r="C111" s="283"/>
      <c r="D111" s="283"/>
      <c r="E111" s="283"/>
      <c r="F111" s="283"/>
      <c r="G111" s="283"/>
      <c r="H111" s="283"/>
      <c r="I111" s="283"/>
      <c r="J111" s="283"/>
      <c r="K111" s="283"/>
      <c r="L111" s="283"/>
      <c r="M111" s="283"/>
      <c r="N111" s="283"/>
      <c r="O111" s="283"/>
      <c r="P111" s="283"/>
      <c r="Q111" s="283"/>
      <c r="R111" s="283"/>
      <c r="S111" s="283"/>
      <c r="T111" s="283"/>
      <c r="U111" s="283"/>
      <c r="V111" s="283"/>
      <c r="W111" s="283"/>
      <c r="X111" s="283"/>
      <c r="Y111" s="283"/>
      <c r="Z111" s="283"/>
    </row>
    <row r="112" ht="14.25" customHeight="1">
      <c r="A112" s="283"/>
      <c r="B112" s="283"/>
      <c r="C112" s="283"/>
      <c r="D112" s="283"/>
      <c r="E112" s="283"/>
      <c r="F112" s="283"/>
      <c r="G112" s="283"/>
      <c r="H112" s="283"/>
      <c r="I112" s="283"/>
      <c r="J112" s="283"/>
      <c r="K112" s="283"/>
      <c r="L112" s="283"/>
      <c r="M112" s="283"/>
      <c r="N112" s="283"/>
      <c r="O112" s="283"/>
      <c r="P112" s="283"/>
      <c r="Q112" s="283"/>
      <c r="R112" s="283"/>
      <c r="S112" s="283"/>
      <c r="T112" s="283"/>
      <c r="U112" s="283"/>
      <c r="V112" s="283"/>
      <c r="W112" s="283"/>
      <c r="X112" s="283"/>
      <c r="Y112" s="283"/>
      <c r="Z112" s="283"/>
    </row>
    <row r="113" ht="14.25" customHeight="1">
      <c r="A113" s="283"/>
      <c r="B113" s="283"/>
      <c r="C113" s="283"/>
      <c r="D113" s="283"/>
      <c r="E113" s="283"/>
      <c r="F113" s="283"/>
      <c r="G113" s="283"/>
      <c r="H113" s="283"/>
      <c r="I113" s="283"/>
      <c r="J113" s="283"/>
      <c r="K113" s="283"/>
      <c r="L113" s="283"/>
      <c r="M113" s="283"/>
      <c r="N113" s="283"/>
      <c r="O113" s="283"/>
      <c r="P113" s="283"/>
      <c r="Q113" s="283"/>
      <c r="R113" s="283"/>
      <c r="S113" s="283"/>
      <c r="T113" s="283"/>
      <c r="U113" s="283"/>
      <c r="V113" s="283"/>
      <c r="W113" s="283"/>
      <c r="X113" s="283"/>
      <c r="Y113" s="283"/>
      <c r="Z113" s="283"/>
    </row>
    <row r="114" ht="14.25" customHeight="1">
      <c r="A114" s="283"/>
      <c r="B114" s="283"/>
      <c r="C114" s="283"/>
      <c r="D114" s="283"/>
      <c r="E114" s="283"/>
      <c r="F114" s="283"/>
      <c r="G114" s="283"/>
      <c r="H114" s="283"/>
      <c r="I114" s="283"/>
      <c r="J114" s="283"/>
      <c r="K114" s="283"/>
      <c r="L114" s="283"/>
      <c r="M114" s="283"/>
      <c r="N114" s="283"/>
      <c r="O114" s="283"/>
      <c r="P114" s="283"/>
      <c r="Q114" s="283"/>
      <c r="R114" s="283"/>
      <c r="S114" s="283"/>
      <c r="T114" s="283"/>
      <c r="U114" s="283"/>
      <c r="V114" s="283"/>
      <c r="W114" s="283"/>
      <c r="X114" s="283"/>
      <c r="Y114" s="283"/>
      <c r="Z114" s="283"/>
    </row>
    <row r="115" ht="14.25" customHeight="1">
      <c r="A115" s="283"/>
      <c r="B115" s="283"/>
      <c r="C115" s="283"/>
      <c r="D115" s="283"/>
      <c r="E115" s="283"/>
      <c r="F115" s="283"/>
      <c r="G115" s="283"/>
      <c r="H115" s="283"/>
      <c r="I115" s="283"/>
      <c r="J115" s="283"/>
      <c r="K115" s="283"/>
      <c r="L115" s="283"/>
      <c r="M115" s="283"/>
      <c r="N115" s="283"/>
      <c r="O115" s="283"/>
      <c r="P115" s="283"/>
      <c r="Q115" s="283"/>
      <c r="R115" s="283"/>
      <c r="S115" s="283"/>
      <c r="T115" s="283"/>
      <c r="U115" s="283"/>
      <c r="V115" s="283"/>
      <c r="W115" s="283"/>
      <c r="X115" s="283"/>
      <c r="Y115" s="283"/>
      <c r="Z115" s="283"/>
    </row>
    <row r="116" ht="14.25" customHeight="1">
      <c r="A116" s="283"/>
      <c r="B116" s="283"/>
      <c r="C116" s="283"/>
      <c r="D116" s="283"/>
      <c r="E116" s="283"/>
      <c r="F116" s="283"/>
      <c r="G116" s="283"/>
      <c r="H116" s="283"/>
      <c r="I116" s="283"/>
      <c r="J116" s="283"/>
      <c r="K116" s="283"/>
      <c r="L116" s="283"/>
      <c r="M116" s="283"/>
      <c r="N116" s="283"/>
      <c r="O116" s="283"/>
      <c r="P116" s="283"/>
      <c r="Q116" s="283"/>
      <c r="R116" s="283"/>
      <c r="S116" s="283"/>
      <c r="T116" s="283"/>
      <c r="U116" s="283"/>
      <c r="V116" s="283"/>
      <c r="W116" s="283"/>
      <c r="X116" s="283"/>
      <c r="Y116" s="283"/>
      <c r="Z116" s="283"/>
    </row>
    <row r="117" ht="14.25" customHeight="1">
      <c r="A117" s="283"/>
      <c r="B117" s="283"/>
      <c r="C117" s="283"/>
      <c r="D117" s="283"/>
      <c r="E117" s="283"/>
      <c r="F117" s="283"/>
      <c r="G117" s="283"/>
      <c r="H117" s="283"/>
      <c r="I117" s="283"/>
      <c r="J117" s="283"/>
      <c r="K117" s="283"/>
      <c r="L117" s="283"/>
      <c r="M117" s="283"/>
      <c r="N117" s="283"/>
      <c r="O117" s="283"/>
      <c r="P117" s="283"/>
      <c r="Q117" s="283"/>
      <c r="R117" s="283"/>
      <c r="S117" s="283"/>
      <c r="T117" s="283"/>
      <c r="U117" s="283"/>
      <c r="V117" s="283"/>
      <c r="W117" s="283"/>
      <c r="X117" s="283"/>
      <c r="Y117" s="283"/>
      <c r="Z117" s="283"/>
    </row>
    <row r="118" ht="14.25" customHeight="1">
      <c r="A118" s="283"/>
      <c r="B118" s="283"/>
      <c r="C118" s="283"/>
      <c r="D118" s="283"/>
      <c r="E118" s="283"/>
      <c r="F118" s="283"/>
      <c r="G118" s="283"/>
      <c r="H118" s="283"/>
      <c r="I118" s="283"/>
      <c r="J118" s="283"/>
      <c r="K118" s="283"/>
      <c r="L118" s="283"/>
      <c r="M118" s="283"/>
      <c r="N118" s="283"/>
      <c r="O118" s="283"/>
      <c r="P118" s="283"/>
      <c r="Q118" s="283"/>
      <c r="R118" s="283"/>
      <c r="S118" s="283"/>
      <c r="T118" s="283"/>
      <c r="U118" s="283"/>
      <c r="V118" s="283"/>
      <c r="W118" s="283"/>
      <c r="X118" s="283"/>
      <c r="Y118" s="283"/>
      <c r="Z118" s="283"/>
    </row>
    <row r="119" ht="14.25" customHeight="1">
      <c r="A119" s="283"/>
      <c r="B119" s="283"/>
      <c r="C119" s="283"/>
      <c r="D119" s="283"/>
      <c r="E119" s="283"/>
      <c r="F119" s="283"/>
      <c r="G119" s="283"/>
      <c r="H119" s="283"/>
      <c r="I119" s="283"/>
      <c r="J119" s="283"/>
      <c r="K119" s="283"/>
      <c r="L119" s="283"/>
      <c r="M119" s="283"/>
      <c r="N119" s="283"/>
      <c r="O119" s="283"/>
      <c r="P119" s="283"/>
      <c r="Q119" s="283"/>
      <c r="R119" s="283"/>
      <c r="S119" s="283"/>
      <c r="T119" s="283"/>
      <c r="U119" s="283"/>
      <c r="V119" s="283"/>
      <c r="W119" s="283"/>
      <c r="X119" s="283"/>
      <c r="Y119" s="283"/>
      <c r="Z119" s="283"/>
    </row>
    <row r="120" ht="14.25" customHeight="1">
      <c r="A120" s="283"/>
      <c r="B120" s="283"/>
      <c r="C120" s="283"/>
      <c r="D120" s="283"/>
      <c r="E120" s="283"/>
      <c r="F120" s="283"/>
      <c r="G120" s="283"/>
      <c r="H120" s="283"/>
      <c r="I120" s="283"/>
      <c r="J120" s="283"/>
      <c r="K120" s="283"/>
      <c r="L120" s="283"/>
      <c r="M120" s="283"/>
      <c r="N120" s="283"/>
      <c r="O120" s="283"/>
      <c r="P120" s="283"/>
      <c r="Q120" s="283"/>
      <c r="R120" s="283"/>
      <c r="S120" s="283"/>
      <c r="T120" s="283"/>
      <c r="U120" s="283"/>
      <c r="V120" s="283"/>
      <c r="W120" s="283"/>
      <c r="X120" s="283"/>
      <c r="Y120" s="283"/>
      <c r="Z120" s="283"/>
    </row>
    <row r="121" ht="14.25" customHeight="1">
      <c r="A121" s="283"/>
      <c r="B121" s="283"/>
      <c r="C121" s="283"/>
      <c r="D121" s="283"/>
      <c r="E121" s="283"/>
      <c r="F121" s="283"/>
      <c r="G121" s="283"/>
      <c r="H121" s="283"/>
      <c r="I121" s="283"/>
      <c r="J121" s="283"/>
      <c r="K121" s="283"/>
      <c r="L121" s="283"/>
      <c r="M121" s="283"/>
      <c r="N121" s="283"/>
      <c r="O121" s="283"/>
      <c r="P121" s="283"/>
      <c r="Q121" s="283"/>
      <c r="R121" s="283"/>
      <c r="S121" s="283"/>
      <c r="T121" s="283"/>
      <c r="U121" s="283"/>
      <c r="V121" s="283"/>
      <c r="W121" s="283"/>
      <c r="X121" s="283"/>
      <c r="Y121" s="283"/>
      <c r="Z121" s="283"/>
    </row>
    <row r="122" ht="14.25" customHeight="1">
      <c r="A122" s="283"/>
      <c r="B122" s="283"/>
      <c r="C122" s="283"/>
      <c r="D122" s="283"/>
      <c r="E122" s="283"/>
      <c r="F122" s="283"/>
      <c r="G122" s="283"/>
      <c r="H122" s="283"/>
      <c r="I122" s="283"/>
      <c r="J122" s="283"/>
      <c r="K122" s="283"/>
      <c r="L122" s="283"/>
      <c r="M122" s="283"/>
      <c r="N122" s="283"/>
      <c r="O122" s="283"/>
      <c r="P122" s="283"/>
      <c r="Q122" s="283"/>
      <c r="R122" s="283"/>
      <c r="S122" s="283"/>
      <c r="T122" s="283"/>
      <c r="U122" s="283"/>
      <c r="V122" s="283"/>
      <c r="W122" s="283"/>
      <c r="X122" s="283"/>
      <c r="Y122" s="283"/>
      <c r="Z122" s="283"/>
    </row>
    <row r="123" ht="14.25" customHeight="1">
      <c r="A123" s="283"/>
      <c r="B123" s="283"/>
      <c r="C123" s="283"/>
      <c r="D123" s="283"/>
      <c r="E123" s="283"/>
      <c r="F123" s="283"/>
      <c r="G123" s="283"/>
      <c r="H123" s="283"/>
      <c r="I123" s="283"/>
      <c r="J123" s="283"/>
      <c r="K123" s="283"/>
      <c r="L123" s="283"/>
      <c r="M123" s="283"/>
      <c r="N123" s="283"/>
      <c r="O123" s="283"/>
      <c r="P123" s="283"/>
      <c r="Q123" s="283"/>
      <c r="R123" s="283"/>
      <c r="S123" s="283"/>
      <c r="T123" s="283"/>
      <c r="U123" s="283"/>
      <c r="V123" s="283"/>
      <c r="W123" s="283"/>
      <c r="X123" s="283"/>
      <c r="Y123" s="283"/>
      <c r="Z123" s="283"/>
    </row>
    <row r="124" ht="14.25" customHeight="1">
      <c r="A124" s="283"/>
      <c r="B124" s="283"/>
      <c r="C124" s="283"/>
      <c r="D124" s="283"/>
      <c r="E124" s="283"/>
      <c r="F124" s="283"/>
      <c r="G124" s="283"/>
      <c r="H124" s="283"/>
      <c r="I124" s="283"/>
      <c r="J124" s="283"/>
      <c r="K124" s="283"/>
      <c r="L124" s="283"/>
      <c r="M124" s="283"/>
      <c r="N124" s="283"/>
      <c r="O124" s="283"/>
      <c r="P124" s="283"/>
      <c r="Q124" s="283"/>
      <c r="R124" s="283"/>
      <c r="S124" s="283"/>
      <c r="T124" s="283"/>
      <c r="U124" s="283"/>
      <c r="V124" s="283"/>
      <c r="W124" s="283"/>
      <c r="X124" s="283"/>
      <c r="Y124" s="283"/>
      <c r="Z124" s="283"/>
    </row>
    <row r="125" ht="14.25" customHeight="1">
      <c r="A125" s="283"/>
      <c r="B125" s="283"/>
      <c r="C125" s="283"/>
      <c r="D125" s="283"/>
      <c r="E125" s="283"/>
      <c r="F125" s="283"/>
      <c r="G125" s="283"/>
      <c r="H125" s="283"/>
      <c r="I125" s="283"/>
      <c r="J125" s="283"/>
      <c r="K125" s="283"/>
      <c r="L125" s="283"/>
      <c r="M125" s="283"/>
      <c r="N125" s="283"/>
      <c r="O125" s="283"/>
      <c r="P125" s="283"/>
      <c r="Q125" s="283"/>
      <c r="R125" s="283"/>
      <c r="S125" s="283"/>
      <c r="T125" s="283"/>
      <c r="U125" s="283"/>
      <c r="V125" s="283"/>
      <c r="W125" s="283"/>
      <c r="X125" s="283"/>
      <c r="Y125" s="283"/>
      <c r="Z125" s="283"/>
    </row>
    <row r="126" ht="14.25" customHeight="1">
      <c r="A126" s="283"/>
      <c r="B126" s="283"/>
      <c r="C126" s="283"/>
      <c r="D126" s="283"/>
      <c r="E126" s="283"/>
      <c r="F126" s="283"/>
      <c r="G126" s="283"/>
      <c r="H126" s="283"/>
      <c r="I126" s="283"/>
      <c r="J126" s="283"/>
      <c r="K126" s="283"/>
      <c r="L126" s="283"/>
      <c r="M126" s="283"/>
      <c r="N126" s="283"/>
      <c r="O126" s="283"/>
      <c r="P126" s="283"/>
      <c r="Q126" s="283"/>
      <c r="R126" s="283"/>
      <c r="S126" s="283"/>
      <c r="T126" s="283"/>
      <c r="U126" s="283"/>
      <c r="V126" s="283"/>
      <c r="W126" s="283"/>
      <c r="X126" s="283"/>
      <c r="Y126" s="283"/>
      <c r="Z126" s="283"/>
    </row>
    <row r="127" ht="14.25" customHeight="1">
      <c r="A127" s="283"/>
      <c r="B127" s="283"/>
      <c r="C127" s="283"/>
      <c r="D127" s="283"/>
      <c r="E127" s="283"/>
      <c r="F127" s="283"/>
      <c r="G127" s="283"/>
      <c r="H127" s="283"/>
      <c r="I127" s="283"/>
      <c r="J127" s="283"/>
      <c r="K127" s="283"/>
      <c r="L127" s="283"/>
      <c r="M127" s="283"/>
      <c r="N127" s="283"/>
      <c r="O127" s="283"/>
      <c r="P127" s="283"/>
      <c r="Q127" s="283"/>
      <c r="R127" s="283"/>
      <c r="S127" s="283"/>
      <c r="T127" s="283"/>
      <c r="U127" s="283"/>
      <c r="V127" s="283"/>
      <c r="W127" s="283"/>
      <c r="X127" s="283"/>
      <c r="Y127" s="283"/>
      <c r="Z127" s="283"/>
    </row>
    <row r="128" ht="14.25" customHeight="1">
      <c r="A128" s="283"/>
      <c r="B128" s="283"/>
      <c r="C128" s="283"/>
      <c r="D128" s="283"/>
      <c r="E128" s="283"/>
      <c r="F128" s="283"/>
      <c r="G128" s="283"/>
      <c r="H128" s="283"/>
      <c r="I128" s="283"/>
      <c r="J128" s="283"/>
      <c r="K128" s="283"/>
      <c r="L128" s="283"/>
      <c r="M128" s="283"/>
      <c r="N128" s="283"/>
      <c r="O128" s="283"/>
      <c r="P128" s="283"/>
      <c r="Q128" s="283"/>
      <c r="R128" s="283"/>
      <c r="S128" s="283"/>
      <c r="T128" s="283"/>
      <c r="U128" s="283"/>
      <c r="V128" s="283"/>
      <c r="W128" s="283"/>
      <c r="X128" s="283"/>
      <c r="Y128" s="283"/>
      <c r="Z128" s="283"/>
    </row>
    <row r="129" ht="14.25" customHeight="1">
      <c r="A129" s="283"/>
      <c r="B129" s="283"/>
      <c r="C129" s="283"/>
      <c r="D129" s="283"/>
      <c r="E129" s="283"/>
      <c r="F129" s="283"/>
      <c r="G129" s="283"/>
      <c r="H129" s="283"/>
      <c r="I129" s="283"/>
      <c r="J129" s="283"/>
      <c r="K129" s="283"/>
      <c r="L129" s="283"/>
      <c r="M129" s="283"/>
      <c r="N129" s="283"/>
      <c r="O129" s="283"/>
      <c r="P129" s="283"/>
      <c r="Q129" s="283"/>
      <c r="R129" s="283"/>
      <c r="S129" s="283"/>
      <c r="T129" s="283"/>
      <c r="U129" s="283"/>
      <c r="V129" s="283"/>
      <c r="W129" s="283"/>
      <c r="X129" s="283"/>
      <c r="Y129" s="283"/>
      <c r="Z129" s="283"/>
    </row>
    <row r="130" ht="14.25" customHeight="1">
      <c r="A130" s="283"/>
      <c r="B130" s="283"/>
      <c r="C130" s="283"/>
      <c r="D130" s="283"/>
      <c r="E130" s="283"/>
      <c r="F130" s="283"/>
      <c r="G130" s="283"/>
      <c r="H130" s="283"/>
      <c r="I130" s="283"/>
      <c r="J130" s="283"/>
      <c r="K130" s="283"/>
      <c r="L130" s="283"/>
      <c r="M130" s="283"/>
      <c r="N130" s="283"/>
      <c r="O130" s="283"/>
      <c r="P130" s="283"/>
      <c r="Q130" s="283"/>
      <c r="R130" s="283"/>
      <c r="S130" s="283"/>
      <c r="T130" s="283"/>
      <c r="U130" s="283"/>
      <c r="V130" s="283"/>
      <c r="W130" s="283"/>
      <c r="X130" s="283"/>
      <c r="Y130" s="283"/>
      <c r="Z130" s="283"/>
    </row>
    <row r="131" ht="14.25" customHeight="1">
      <c r="A131" s="283"/>
      <c r="B131" s="283"/>
      <c r="C131" s="283"/>
      <c r="D131" s="283"/>
      <c r="E131" s="283"/>
      <c r="F131" s="283"/>
      <c r="G131" s="283"/>
      <c r="H131" s="283"/>
      <c r="I131" s="283"/>
      <c r="J131" s="283"/>
      <c r="K131" s="283"/>
      <c r="L131" s="283"/>
      <c r="M131" s="283"/>
      <c r="N131" s="283"/>
      <c r="O131" s="283"/>
      <c r="P131" s="283"/>
      <c r="Q131" s="283"/>
      <c r="R131" s="283"/>
      <c r="S131" s="283"/>
      <c r="T131" s="283"/>
      <c r="U131" s="283"/>
      <c r="V131" s="283"/>
      <c r="W131" s="283"/>
      <c r="X131" s="283"/>
      <c r="Y131" s="283"/>
      <c r="Z131" s="283"/>
    </row>
    <row r="132" ht="14.25" customHeight="1">
      <c r="A132" s="283"/>
      <c r="B132" s="283"/>
      <c r="C132" s="283"/>
      <c r="D132" s="283"/>
      <c r="E132" s="283"/>
      <c r="F132" s="283"/>
      <c r="G132" s="283"/>
      <c r="H132" s="283"/>
      <c r="I132" s="283"/>
      <c r="J132" s="283"/>
      <c r="K132" s="283"/>
      <c r="L132" s="283"/>
      <c r="M132" s="283"/>
      <c r="N132" s="283"/>
      <c r="O132" s="283"/>
      <c r="P132" s="283"/>
      <c r="Q132" s="283"/>
      <c r="R132" s="283"/>
      <c r="S132" s="283"/>
      <c r="T132" s="283"/>
      <c r="U132" s="283"/>
      <c r="V132" s="283"/>
      <c r="W132" s="283"/>
      <c r="X132" s="283"/>
      <c r="Y132" s="283"/>
      <c r="Z132" s="283"/>
    </row>
    <row r="133" ht="14.25" customHeight="1">
      <c r="A133" s="283"/>
      <c r="B133" s="283"/>
      <c r="C133" s="283"/>
      <c r="D133" s="283"/>
      <c r="E133" s="283"/>
      <c r="F133" s="283"/>
      <c r="G133" s="283"/>
      <c r="H133" s="283"/>
      <c r="I133" s="283"/>
      <c r="J133" s="283"/>
      <c r="K133" s="283"/>
      <c r="L133" s="283"/>
      <c r="M133" s="283"/>
      <c r="N133" s="283"/>
      <c r="O133" s="283"/>
      <c r="P133" s="283"/>
      <c r="Q133" s="283"/>
      <c r="R133" s="283"/>
      <c r="S133" s="283"/>
      <c r="T133" s="283"/>
      <c r="U133" s="283"/>
      <c r="V133" s="283"/>
      <c r="W133" s="283"/>
      <c r="X133" s="283"/>
      <c r="Y133" s="283"/>
      <c r="Z133" s="283"/>
    </row>
    <row r="134" ht="14.25" customHeight="1">
      <c r="A134" s="283"/>
      <c r="B134" s="283"/>
      <c r="C134" s="283"/>
      <c r="D134" s="283"/>
      <c r="E134" s="283"/>
      <c r="F134" s="283"/>
      <c r="G134" s="283"/>
      <c r="H134" s="283"/>
      <c r="I134" s="283"/>
      <c r="J134" s="283"/>
      <c r="K134" s="283"/>
      <c r="L134" s="283"/>
      <c r="M134" s="283"/>
      <c r="N134" s="283"/>
      <c r="O134" s="283"/>
      <c r="P134" s="283"/>
      <c r="Q134" s="283"/>
      <c r="R134" s="283"/>
      <c r="S134" s="283"/>
      <c r="T134" s="283"/>
      <c r="U134" s="283"/>
      <c r="V134" s="283"/>
      <c r="W134" s="283"/>
      <c r="X134" s="283"/>
      <c r="Y134" s="283"/>
      <c r="Z134" s="283"/>
    </row>
    <row r="135" ht="14.25" customHeight="1">
      <c r="A135" s="283"/>
      <c r="B135" s="283"/>
      <c r="C135" s="283"/>
      <c r="D135" s="283"/>
      <c r="E135" s="283"/>
      <c r="F135" s="283"/>
      <c r="G135" s="283"/>
      <c r="H135" s="283"/>
      <c r="I135" s="283"/>
      <c r="J135" s="283"/>
      <c r="K135" s="283"/>
      <c r="L135" s="283"/>
      <c r="M135" s="283"/>
      <c r="N135" s="283"/>
      <c r="O135" s="283"/>
      <c r="P135" s="283"/>
      <c r="Q135" s="283"/>
      <c r="R135" s="283"/>
      <c r="S135" s="283"/>
      <c r="T135" s="283"/>
      <c r="U135" s="283"/>
      <c r="V135" s="283"/>
      <c r="W135" s="283"/>
      <c r="X135" s="283"/>
      <c r="Y135" s="283"/>
      <c r="Z135" s="283"/>
    </row>
    <row r="136" ht="14.25" customHeight="1">
      <c r="A136" s="283"/>
      <c r="B136" s="283"/>
      <c r="C136" s="283"/>
      <c r="D136" s="283"/>
      <c r="E136" s="283"/>
      <c r="F136" s="283"/>
      <c r="G136" s="283"/>
      <c r="H136" s="283"/>
      <c r="I136" s="283"/>
      <c r="J136" s="283"/>
      <c r="K136" s="283"/>
      <c r="L136" s="283"/>
      <c r="M136" s="283"/>
      <c r="N136" s="283"/>
      <c r="O136" s="283"/>
      <c r="P136" s="283"/>
      <c r="Q136" s="283"/>
      <c r="R136" s="283"/>
      <c r="S136" s="283"/>
      <c r="T136" s="283"/>
      <c r="U136" s="283"/>
      <c r="V136" s="283"/>
      <c r="W136" s="283"/>
      <c r="X136" s="283"/>
      <c r="Y136" s="283"/>
      <c r="Z136" s="283"/>
    </row>
    <row r="137" ht="14.25" customHeight="1">
      <c r="A137" s="283"/>
      <c r="B137" s="283"/>
      <c r="C137" s="283"/>
      <c r="D137" s="283"/>
      <c r="E137" s="283"/>
      <c r="F137" s="283"/>
      <c r="G137" s="283"/>
      <c r="H137" s="283"/>
      <c r="I137" s="283"/>
      <c r="J137" s="283"/>
      <c r="K137" s="283"/>
      <c r="L137" s="283"/>
      <c r="M137" s="283"/>
      <c r="N137" s="283"/>
      <c r="O137" s="283"/>
      <c r="P137" s="283"/>
      <c r="Q137" s="283"/>
      <c r="R137" s="283"/>
      <c r="S137" s="283"/>
      <c r="T137" s="283"/>
      <c r="U137" s="283"/>
      <c r="V137" s="283"/>
      <c r="W137" s="283"/>
      <c r="X137" s="283"/>
      <c r="Y137" s="283"/>
      <c r="Z137" s="283"/>
    </row>
    <row r="138" ht="14.25" customHeight="1">
      <c r="A138" s="283"/>
      <c r="B138" s="283"/>
      <c r="C138" s="283"/>
      <c r="D138" s="283"/>
      <c r="E138" s="283"/>
      <c r="F138" s="283"/>
      <c r="G138" s="283"/>
      <c r="H138" s="283"/>
      <c r="I138" s="283"/>
      <c r="J138" s="283"/>
      <c r="K138" s="283"/>
      <c r="L138" s="283"/>
      <c r="M138" s="283"/>
      <c r="N138" s="283"/>
      <c r="O138" s="283"/>
      <c r="P138" s="283"/>
      <c r="Q138" s="283"/>
      <c r="R138" s="283"/>
      <c r="S138" s="283"/>
      <c r="T138" s="283"/>
      <c r="U138" s="283"/>
      <c r="V138" s="283"/>
      <c r="W138" s="283"/>
      <c r="X138" s="283"/>
      <c r="Y138" s="283"/>
      <c r="Z138" s="283"/>
    </row>
    <row r="139" ht="14.25" customHeight="1">
      <c r="A139" s="283"/>
      <c r="B139" s="283"/>
      <c r="C139" s="283"/>
      <c r="D139" s="283"/>
      <c r="E139" s="283"/>
      <c r="F139" s="283"/>
      <c r="G139" s="283"/>
      <c r="H139" s="283"/>
      <c r="I139" s="283"/>
      <c r="J139" s="283"/>
      <c r="K139" s="283"/>
      <c r="L139" s="283"/>
      <c r="M139" s="283"/>
      <c r="N139" s="283"/>
      <c r="O139" s="283"/>
      <c r="P139" s="283"/>
      <c r="Q139" s="283"/>
      <c r="R139" s="283"/>
      <c r="S139" s="283"/>
      <c r="T139" s="283"/>
      <c r="U139" s="283"/>
      <c r="V139" s="283"/>
      <c r="W139" s="283"/>
      <c r="X139" s="283"/>
      <c r="Y139" s="283"/>
      <c r="Z139" s="283"/>
    </row>
    <row r="140" ht="14.25" customHeight="1">
      <c r="A140" s="283"/>
      <c r="B140" s="283"/>
      <c r="C140" s="283"/>
      <c r="D140" s="283"/>
      <c r="E140" s="283"/>
      <c r="F140" s="283"/>
      <c r="G140" s="283"/>
      <c r="H140" s="283"/>
      <c r="I140" s="283"/>
      <c r="J140" s="283"/>
      <c r="K140" s="283"/>
      <c r="L140" s="283"/>
      <c r="M140" s="283"/>
      <c r="N140" s="283"/>
      <c r="O140" s="283"/>
      <c r="P140" s="283"/>
      <c r="Q140" s="283"/>
      <c r="R140" s="283"/>
      <c r="S140" s="283"/>
      <c r="T140" s="283"/>
      <c r="U140" s="283"/>
      <c r="V140" s="283"/>
      <c r="W140" s="283"/>
      <c r="X140" s="283"/>
      <c r="Y140" s="283"/>
      <c r="Z140" s="283"/>
    </row>
    <row r="141" ht="14.25" customHeight="1">
      <c r="A141" s="283"/>
      <c r="B141" s="283"/>
      <c r="C141" s="283"/>
      <c r="D141" s="283"/>
      <c r="E141" s="283"/>
      <c r="F141" s="283"/>
      <c r="G141" s="283"/>
      <c r="H141" s="283"/>
      <c r="I141" s="283"/>
      <c r="J141" s="283"/>
      <c r="K141" s="283"/>
      <c r="L141" s="283"/>
      <c r="M141" s="283"/>
      <c r="N141" s="283"/>
      <c r="O141" s="283"/>
      <c r="P141" s="283"/>
      <c r="Q141" s="283"/>
      <c r="R141" s="283"/>
      <c r="S141" s="283"/>
      <c r="T141" s="283"/>
      <c r="U141" s="283"/>
      <c r="V141" s="283"/>
      <c r="W141" s="283"/>
      <c r="X141" s="283"/>
      <c r="Y141" s="283"/>
      <c r="Z141" s="283"/>
    </row>
    <row r="142" ht="14.25" customHeight="1">
      <c r="A142" s="283"/>
      <c r="B142" s="283"/>
      <c r="C142" s="283"/>
      <c r="D142" s="283"/>
      <c r="E142" s="283"/>
      <c r="F142" s="283"/>
      <c r="G142" s="283"/>
      <c r="H142" s="283"/>
      <c r="I142" s="283"/>
      <c r="J142" s="283"/>
      <c r="K142" s="283"/>
      <c r="L142" s="283"/>
      <c r="M142" s="283"/>
      <c r="N142" s="283"/>
      <c r="O142" s="283"/>
      <c r="P142" s="283"/>
      <c r="Q142" s="283"/>
      <c r="R142" s="283"/>
      <c r="S142" s="283"/>
      <c r="T142" s="283"/>
      <c r="U142" s="283"/>
      <c r="V142" s="283"/>
      <c r="W142" s="283"/>
      <c r="X142" s="283"/>
      <c r="Y142" s="283"/>
      <c r="Z142" s="283"/>
    </row>
    <row r="143" ht="14.25" customHeight="1">
      <c r="A143" s="283"/>
      <c r="B143" s="283"/>
      <c r="C143" s="283"/>
      <c r="D143" s="283"/>
      <c r="E143" s="283"/>
      <c r="F143" s="283"/>
      <c r="G143" s="283"/>
      <c r="H143" s="283"/>
      <c r="I143" s="283"/>
      <c r="J143" s="283"/>
      <c r="K143" s="283"/>
      <c r="L143" s="283"/>
      <c r="M143" s="283"/>
      <c r="N143" s="283"/>
      <c r="O143" s="283"/>
      <c r="P143" s="283"/>
      <c r="Q143" s="283"/>
      <c r="R143" s="283"/>
      <c r="S143" s="283"/>
      <c r="T143" s="283"/>
      <c r="U143" s="283"/>
      <c r="V143" s="283"/>
      <c r="W143" s="283"/>
      <c r="X143" s="283"/>
      <c r="Y143" s="283"/>
      <c r="Z143" s="283"/>
    </row>
    <row r="144" ht="14.25" customHeight="1">
      <c r="A144" s="283"/>
      <c r="B144" s="283"/>
      <c r="C144" s="283"/>
      <c r="D144" s="283"/>
      <c r="E144" s="283"/>
      <c r="F144" s="283"/>
      <c r="G144" s="283"/>
      <c r="H144" s="283"/>
      <c r="I144" s="283"/>
      <c r="J144" s="283"/>
      <c r="K144" s="283"/>
      <c r="L144" s="283"/>
      <c r="M144" s="283"/>
      <c r="N144" s="283"/>
      <c r="O144" s="283"/>
      <c r="P144" s="283"/>
      <c r="Q144" s="283"/>
      <c r="R144" s="283"/>
      <c r="S144" s="283"/>
      <c r="T144" s="283"/>
      <c r="U144" s="283"/>
      <c r="V144" s="283"/>
      <c r="W144" s="283"/>
      <c r="X144" s="283"/>
      <c r="Y144" s="283"/>
      <c r="Z144" s="283"/>
    </row>
    <row r="145" ht="14.25" customHeight="1">
      <c r="A145" s="283"/>
      <c r="B145" s="283"/>
      <c r="C145" s="283"/>
      <c r="D145" s="283"/>
      <c r="E145" s="283"/>
      <c r="F145" s="283"/>
      <c r="G145" s="283"/>
      <c r="H145" s="283"/>
      <c r="I145" s="283"/>
      <c r="J145" s="283"/>
      <c r="K145" s="283"/>
      <c r="L145" s="283"/>
      <c r="M145" s="283"/>
      <c r="N145" s="283"/>
      <c r="O145" s="283"/>
      <c r="P145" s="283"/>
      <c r="Q145" s="283"/>
      <c r="R145" s="283"/>
      <c r="S145" s="283"/>
      <c r="T145" s="283"/>
      <c r="U145" s="283"/>
      <c r="V145" s="283"/>
      <c r="W145" s="283"/>
      <c r="X145" s="283"/>
      <c r="Y145" s="283"/>
      <c r="Z145" s="283"/>
    </row>
    <row r="146" ht="14.25" customHeight="1">
      <c r="A146" s="283"/>
      <c r="B146" s="283"/>
      <c r="C146" s="283"/>
      <c r="D146" s="283"/>
      <c r="E146" s="283"/>
      <c r="F146" s="283"/>
      <c r="G146" s="283"/>
      <c r="H146" s="283"/>
      <c r="I146" s="283"/>
      <c r="J146" s="283"/>
      <c r="K146" s="283"/>
      <c r="L146" s="283"/>
      <c r="M146" s="283"/>
      <c r="N146" s="283"/>
      <c r="O146" s="283"/>
      <c r="P146" s="283"/>
      <c r="Q146" s="283"/>
      <c r="R146" s="283"/>
      <c r="S146" s="283"/>
      <c r="T146" s="283"/>
      <c r="U146" s="283"/>
      <c r="V146" s="283"/>
      <c r="W146" s="283"/>
      <c r="X146" s="283"/>
      <c r="Y146" s="283"/>
      <c r="Z146" s="283"/>
    </row>
    <row r="147" ht="14.25" customHeight="1">
      <c r="A147" s="283"/>
      <c r="B147" s="283"/>
      <c r="C147" s="283"/>
      <c r="D147" s="283"/>
      <c r="E147" s="283"/>
      <c r="F147" s="283"/>
      <c r="G147" s="283"/>
      <c r="H147" s="283"/>
      <c r="I147" s="283"/>
      <c r="J147" s="283"/>
      <c r="K147" s="283"/>
      <c r="L147" s="283"/>
      <c r="M147" s="283"/>
      <c r="N147" s="283"/>
      <c r="O147" s="283"/>
      <c r="P147" s="283"/>
      <c r="Q147" s="283"/>
      <c r="R147" s="283"/>
      <c r="S147" s="283"/>
      <c r="T147" s="283"/>
      <c r="U147" s="283"/>
      <c r="V147" s="283"/>
      <c r="W147" s="283"/>
      <c r="X147" s="283"/>
      <c r="Y147" s="283"/>
      <c r="Z147" s="283"/>
    </row>
    <row r="148" ht="14.25" customHeight="1">
      <c r="A148" s="283"/>
      <c r="B148" s="283"/>
      <c r="C148" s="283"/>
      <c r="D148" s="283"/>
      <c r="E148" s="283"/>
      <c r="F148" s="283"/>
      <c r="G148" s="283"/>
      <c r="H148" s="283"/>
      <c r="I148" s="283"/>
      <c r="J148" s="283"/>
      <c r="K148" s="283"/>
      <c r="L148" s="283"/>
      <c r="M148" s="283"/>
      <c r="N148" s="283"/>
      <c r="O148" s="283"/>
      <c r="P148" s="283"/>
      <c r="Q148" s="283"/>
      <c r="R148" s="283"/>
      <c r="S148" s="283"/>
      <c r="T148" s="283"/>
      <c r="U148" s="283"/>
      <c r="V148" s="283"/>
      <c r="W148" s="283"/>
      <c r="X148" s="283"/>
      <c r="Y148" s="283"/>
      <c r="Z148" s="283"/>
    </row>
    <row r="149" ht="14.25" customHeight="1">
      <c r="A149" s="283"/>
      <c r="B149" s="283"/>
      <c r="C149" s="283"/>
      <c r="D149" s="283"/>
      <c r="E149" s="283"/>
      <c r="F149" s="283"/>
      <c r="G149" s="283"/>
      <c r="H149" s="283"/>
      <c r="I149" s="283"/>
      <c r="J149" s="283"/>
      <c r="K149" s="283"/>
      <c r="L149" s="283"/>
      <c r="M149" s="283"/>
      <c r="N149" s="283"/>
      <c r="O149" s="283"/>
      <c r="P149" s="283"/>
      <c r="Q149" s="283"/>
      <c r="R149" s="283"/>
      <c r="S149" s="283"/>
      <c r="T149" s="283"/>
      <c r="U149" s="283"/>
      <c r="V149" s="283"/>
      <c r="W149" s="283"/>
      <c r="X149" s="283"/>
      <c r="Y149" s="283"/>
      <c r="Z149" s="283"/>
    </row>
    <row r="150" ht="14.25" customHeight="1">
      <c r="A150" s="283"/>
      <c r="B150" s="283"/>
      <c r="C150" s="283"/>
      <c r="D150" s="283"/>
      <c r="E150" s="283"/>
      <c r="F150" s="283"/>
      <c r="G150" s="283"/>
      <c r="H150" s="283"/>
      <c r="I150" s="283"/>
      <c r="J150" s="283"/>
      <c r="K150" s="283"/>
      <c r="L150" s="283"/>
      <c r="M150" s="283"/>
      <c r="N150" s="283"/>
      <c r="O150" s="283"/>
      <c r="P150" s="283"/>
      <c r="Q150" s="283"/>
      <c r="R150" s="283"/>
      <c r="S150" s="283"/>
      <c r="T150" s="283"/>
      <c r="U150" s="283"/>
      <c r="V150" s="283"/>
      <c r="W150" s="283"/>
      <c r="X150" s="283"/>
      <c r="Y150" s="283"/>
      <c r="Z150" s="283"/>
    </row>
    <row r="151" ht="14.25" customHeight="1">
      <c r="A151" s="283"/>
      <c r="B151" s="283"/>
      <c r="C151" s="283"/>
      <c r="D151" s="283"/>
      <c r="E151" s="283"/>
      <c r="F151" s="283"/>
      <c r="G151" s="283"/>
      <c r="H151" s="283"/>
      <c r="I151" s="283"/>
      <c r="J151" s="283"/>
      <c r="K151" s="283"/>
      <c r="L151" s="283"/>
      <c r="M151" s="283"/>
      <c r="N151" s="283"/>
      <c r="O151" s="283"/>
      <c r="P151" s="283"/>
      <c r="Q151" s="283"/>
      <c r="R151" s="283"/>
      <c r="S151" s="283"/>
      <c r="T151" s="283"/>
      <c r="U151" s="283"/>
      <c r="V151" s="283"/>
      <c r="W151" s="283"/>
      <c r="X151" s="283"/>
      <c r="Y151" s="283"/>
      <c r="Z151" s="283"/>
    </row>
    <row r="152" ht="14.25" customHeight="1">
      <c r="A152" s="283"/>
      <c r="B152" s="283"/>
      <c r="C152" s="283"/>
      <c r="D152" s="283"/>
      <c r="E152" s="283"/>
      <c r="F152" s="283"/>
      <c r="G152" s="283"/>
      <c r="H152" s="283"/>
      <c r="I152" s="283"/>
      <c r="J152" s="283"/>
      <c r="K152" s="283"/>
      <c r="L152" s="283"/>
      <c r="M152" s="283"/>
      <c r="N152" s="283"/>
      <c r="O152" s="283"/>
      <c r="P152" s="283"/>
      <c r="Q152" s="283"/>
      <c r="R152" s="283"/>
      <c r="S152" s="283"/>
      <c r="T152" s="283"/>
      <c r="U152" s="283"/>
      <c r="V152" s="283"/>
      <c r="W152" s="283"/>
      <c r="X152" s="283"/>
      <c r="Y152" s="283"/>
      <c r="Z152" s="283"/>
    </row>
    <row r="153" ht="14.25" customHeight="1">
      <c r="A153" s="283"/>
      <c r="B153" s="283"/>
      <c r="C153" s="283"/>
      <c r="D153" s="283"/>
      <c r="E153" s="283"/>
      <c r="F153" s="283"/>
      <c r="G153" s="283"/>
      <c r="H153" s="283"/>
      <c r="I153" s="283"/>
      <c r="J153" s="283"/>
      <c r="K153" s="283"/>
      <c r="L153" s="283"/>
      <c r="M153" s="283"/>
      <c r="N153" s="283"/>
      <c r="O153" s="283"/>
      <c r="P153" s="283"/>
      <c r="Q153" s="283"/>
      <c r="R153" s="283"/>
      <c r="S153" s="283"/>
      <c r="T153" s="283"/>
      <c r="U153" s="283"/>
      <c r="V153" s="283"/>
      <c r="W153" s="283"/>
      <c r="X153" s="283"/>
      <c r="Y153" s="283"/>
      <c r="Z153" s="283"/>
    </row>
    <row r="154" ht="14.25" customHeight="1">
      <c r="A154" s="283"/>
      <c r="B154" s="283"/>
      <c r="C154" s="283"/>
      <c r="D154" s="283"/>
      <c r="E154" s="283"/>
      <c r="F154" s="283"/>
      <c r="G154" s="283"/>
      <c r="H154" s="283"/>
      <c r="I154" s="283"/>
      <c r="J154" s="283"/>
      <c r="K154" s="283"/>
      <c r="L154" s="283"/>
      <c r="M154" s="283"/>
      <c r="N154" s="283"/>
      <c r="O154" s="283"/>
      <c r="P154" s="283"/>
      <c r="Q154" s="283"/>
      <c r="R154" s="283"/>
      <c r="S154" s="283"/>
      <c r="T154" s="283"/>
      <c r="U154" s="283"/>
      <c r="V154" s="283"/>
      <c r="W154" s="283"/>
      <c r="X154" s="283"/>
      <c r="Y154" s="283"/>
      <c r="Z154" s="283"/>
    </row>
    <row r="155" ht="14.25" customHeight="1">
      <c r="A155" s="283"/>
      <c r="B155" s="283"/>
      <c r="C155" s="283"/>
      <c r="D155" s="283"/>
      <c r="E155" s="283"/>
      <c r="F155" s="283"/>
      <c r="G155" s="283"/>
      <c r="H155" s="283"/>
      <c r="I155" s="283"/>
      <c r="J155" s="283"/>
      <c r="K155" s="283"/>
      <c r="L155" s="283"/>
      <c r="M155" s="283"/>
      <c r="N155" s="283"/>
      <c r="O155" s="283"/>
      <c r="P155" s="283"/>
      <c r="Q155" s="283"/>
      <c r="R155" s="283"/>
      <c r="S155" s="283"/>
      <c r="T155" s="283"/>
      <c r="U155" s="283"/>
      <c r="V155" s="283"/>
      <c r="W155" s="283"/>
      <c r="X155" s="283"/>
      <c r="Y155" s="283"/>
      <c r="Z155" s="283"/>
    </row>
    <row r="156" ht="14.25" customHeight="1">
      <c r="A156" s="283"/>
      <c r="B156" s="283"/>
      <c r="C156" s="283"/>
      <c r="D156" s="283"/>
      <c r="E156" s="283"/>
      <c r="F156" s="283"/>
      <c r="G156" s="283"/>
      <c r="H156" s="283"/>
      <c r="I156" s="283"/>
      <c r="J156" s="283"/>
      <c r="K156" s="283"/>
      <c r="L156" s="283"/>
      <c r="M156" s="283"/>
      <c r="N156" s="283"/>
      <c r="O156" s="283"/>
      <c r="P156" s="283"/>
      <c r="Q156" s="283"/>
      <c r="R156" s="283"/>
      <c r="S156" s="283"/>
      <c r="T156" s="283"/>
      <c r="U156" s="283"/>
      <c r="V156" s="283"/>
      <c r="W156" s="283"/>
      <c r="X156" s="283"/>
      <c r="Y156" s="283"/>
      <c r="Z156" s="283"/>
    </row>
    <row r="157" ht="14.25" customHeight="1">
      <c r="A157" s="283"/>
      <c r="B157" s="283"/>
      <c r="C157" s="283"/>
      <c r="D157" s="283"/>
      <c r="E157" s="283"/>
      <c r="F157" s="283"/>
      <c r="G157" s="283"/>
      <c r="H157" s="283"/>
      <c r="I157" s="283"/>
      <c r="J157" s="283"/>
      <c r="K157" s="283"/>
      <c r="L157" s="283"/>
      <c r="M157" s="283"/>
      <c r="N157" s="283"/>
      <c r="O157" s="283"/>
      <c r="P157" s="283"/>
      <c r="Q157" s="283"/>
      <c r="R157" s="283"/>
      <c r="S157" s="283"/>
      <c r="T157" s="283"/>
      <c r="U157" s="283"/>
      <c r="V157" s="283"/>
      <c r="W157" s="283"/>
      <c r="X157" s="283"/>
      <c r="Y157" s="283"/>
      <c r="Z157" s="283"/>
    </row>
    <row r="158" ht="14.25" customHeight="1">
      <c r="A158" s="283"/>
      <c r="B158" s="283"/>
      <c r="C158" s="283"/>
      <c r="D158" s="283"/>
      <c r="E158" s="283"/>
      <c r="F158" s="283"/>
      <c r="G158" s="283"/>
      <c r="H158" s="283"/>
      <c r="I158" s="283"/>
      <c r="J158" s="283"/>
      <c r="K158" s="283"/>
      <c r="L158" s="283"/>
      <c r="M158" s="283"/>
      <c r="N158" s="283"/>
      <c r="O158" s="283"/>
      <c r="P158" s="283"/>
      <c r="Q158" s="283"/>
      <c r="R158" s="283"/>
      <c r="S158" s="283"/>
      <c r="T158" s="283"/>
      <c r="U158" s="283"/>
      <c r="V158" s="283"/>
      <c r="W158" s="283"/>
      <c r="X158" s="283"/>
      <c r="Y158" s="283"/>
      <c r="Z158" s="283"/>
    </row>
    <row r="159" ht="14.25" customHeight="1">
      <c r="A159" s="283"/>
      <c r="B159" s="283"/>
      <c r="C159" s="283"/>
      <c r="D159" s="283"/>
      <c r="E159" s="283"/>
      <c r="F159" s="283"/>
      <c r="G159" s="283"/>
      <c r="H159" s="283"/>
      <c r="I159" s="283"/>
      <c r="J159" s="283"/>
      <c r="K159" s="283"/>
      <c r="L159" s="283"/>
      <c r="M159" s="283"/>
      <c r="N159" s="283"/>
      <c r="O159" s="283"/>
      <c r="P159" s="283"/>
      <c r="Q159" s="283"/>
      <c r="R159" s="283"/>
      <c r="S159" s="283"/>
      <c r="T159" s="283"/>
      <c r="U159" s="283"/>
      <c r="V159" s="283"/>
      <c r="W159" s="283"/>
      <c r="X159" s="283"/>
      <c r="Y159" s="283"/>
      <c r="Z159" s="283"/>
    </row>
    <row r="160" ht="14.25" customHeight="1">
      <c r="A160" s="283"/>
      <c r="B160" s="283"/>
      <c r="C160" s="283"/>
      <c r="D160" s="283"/>
      <c r="E160" s="283"/>
      <c r="F160" s="283"/>
      <c r="G160" s="283"/>
      <c r="H160" s="283"/>
      <c r="I160" s="283"/>
      <c r="J160" s="283"/>
      <c r="K160" s="283"/>
      <c r="L160" s="283"/>
      <c r="M160" s="283"/>
      <c r="N160" s="283"/>
      <c r="O160" s="283"/>
      <c r="P160" s="283"/>
      <c r="Q160" s="283"/>
      <c r="R160" s="283"/>
      <c r="S160" s="283"/>
      <c r="T160" s="283"/>
      <c r="U160" s="283"/>
      <c r="V160" s="283"/>
      <c r="W160" s="283"/>
      <c r="X160" s="283"/>
      <c r="Y160" s="283"/>
      <c r="Z160" s="283"/>
    </row>
    <row r="161" ht="14.25" customHeight="1">
      <c r="A161" s="283"/>
      <c r="B161" s="283"/>
      <c r="C161" s="283"/>
      <c r="D161" s="283"/>
      <c r="E161" s="283"/>
      <c r="F161" s="283"/>
      <c r="G161" s="283"/>
      <c r="H161" s="283"/>
      <c r="I161" s="283"/>
      <c r="J161" s="283"/>
      <c r="K161" s="283"/>
      <c r="L161" s="283"/>
      <c r="M161" s="283"/>
      <c r="N161" s="283"/>
      <c r="O161" s="283"/>
      <c r="P161" s="283"/>
      <c r="Q161" s="283"/>
      <c r="R161" s="283"/>
      <c r="S161" s="283"/>
      <c r="T161" s="283"/>
      <c r="U161" s="283"/>
      <c r="V161" s="283"/>
      <c r="W161" s="283"/>
      <c r="X161" s="283"/>
      <c r="Y161" s="283"/>
      <c r="Z161" s="283"/>
    </row>
    <row r="162" ht="14.25" customHeight="1">
      <c r="A162" s="283"/>
      <c r="B162" s="283"/>
      <c r="C162" s="283"/>
      <c r="D162" s="283"/>
      <c r="E162" s="283"/>
      <c r="F162" s="283"/>
      <c r="G162" s="283"/>
      <c r="H162" s="283"/>
      <c r="I162" s="283"/>
      <c r="J162" s="283"/>
      <c r="K162" s="283"/>
      <c r="L162" s="283"/>
      <c r="M162" s="283"/>
      <c r="N162" s="283"/>
      <c r="O162" s="283"/>
      <c r="P162" s="283"/>
      <c r="Q162" s="283"/>
      <c r="R162" s="283"/>
      <c r="S162" s="283"/>
      <c r="T162" s="283"/>
      <c r="U162" s="283"/>
      <c r="V162" s="283"/>
      <c r="W162" s="283"/>
      <c r="X162" s="283"/>
      <c r="Y162" s="283"/>
      <c r="Z162" s="283"/>
    </row>
    <row r="163" ht="14.25" customHeight="1">
      <c r="A163" s="283"/>
      <c r="B163" s="283"/>
      <c r="C163" s="283"/>
      <c r="D163" s="283"/>
      <c r="E163" s="283"/>
      <c r="F163" s="283"/>
      <c r="G163" s="283"/>
      <c r="H163" s="283"/>
      <c r="I163" s="283"/>
      <c r="J163" s="283"/>
      <c r="K163" s="283"/>
      <c r="L163" s="283"/>
      <c r="M163" s="283"/>
      <c r="N163" s="283"/>
      <c r="O163" s="283"/>
      <c r="P163" s="283"/>
      <c r="Q163" s="283"/>
      <c r="R163" s="283"/>
      <c r="S163" s="283"/>
      <c r="T163" s="283"/>
      <c r="U163" s="283"/>
      <c r="V163" s="283"/>
      <c r="W163" s="283"/>
      <c r="X163" s="283"/>
      <c r="Y163" s="283"/>
      <c r="Z163" s="283"/>
    </row>
    <row r="164" ht="14.25" customHeight="1">
      <c r="A164" s="283"/>
      <c r="B164" s="283"/>
      <c r="C164" s="283"/>
      <c r="D164" s="283"/>
      <c r="E164" s="283"/>
      <c r="F164" s="283"/>
      <c r="G164" s="283"/>
      <c r="H164" s="283"/>
      <c r="I164" s="283"/>
      <c r="J164" s="283"/>
      <c r="K164" s="283"/>
      <c r="L164" s="283"/>
      <c r="M164" s="283"/>
      <c r="N164" s="283"/>
      <c r="O164" s="283"/>
      <c r="P164" s="283"/>
      <c r="Q164" s="283"/>
      <c r="R164" s="283"/>
      <c r="S164" s="283"/>
      <c r="T164" s="283"/>
      <c r="U164" s="283"/>
      <c r="V164" s="283"/>
      <c r="W164" s="283"/>
      <c r="X164" s="283"/>
      <c r="Y164" s="283"/>
      <c r="Z164" s="283"/>
    </row>
    <row r="165" ht="14.25" customHeight="1">
      <c r="A165" s="283"/>
      <c r="B165" s="283"/>
      <c r="C165" s="283"/>
      <c r="D165" s="283"/>
      <c r="E165" s="283"/>
      <c r="F165" s="283"/>
      <c r="G165" s="283"/>
      <c r="H165" s="283"/>
      <c r="I165" s="283"/>
      <c r="J165" s="283"/>
      <c r="K165" s="283"/>
      <c r="L165" s="283"/>
      <c r="M165" s="283"/>
      <c r="N165" s="283"/>
      <c r="O165" s="283"/>
      <c r="P165" s="283"/>
      <c r="Q165" s="283"/>
      <c r="R165" s="283"/>
      <c r="S165" s="283"/>
      <c r="T165" s="283"/>
      <c r="U165" s="283"/>
      <c r="V165" s="283"/>
      <c r="W165" s="283"/>
      <c r="X165" s="283"/>
      <c r="Y165" s="283"/>
      <c r="Z165" s="283"/>
    </row>
    <row r="166" ht="14.25" customHeight="1">
      <c r="A166" s="283"/>
      <c r="B166" s="283"/>
      <c r="C166" s="283"/>
      <c r="D166" s="283"/>
      <c r="E166" s="283"/>
      <c r="F166" s="283"/>
      <c r="G166" s="283"/>
      <c r="H166" s="283"/>
      <c r="I166" s="283"/>
      <c r="J166" s="283"/>
      <c r="K166" s="283"/>
      <c r="L166" s="283"/>
      <c r="M166" s="283"/>
      <c r="N166" s="283"/>
      <c r="O166" s="283"/>
      <c r="P166" s="283"/>
      <c r="Q166" s="283"/>
      <c r="R166" s="283"/>
      <c r="S166" s="283"/>
      <c r="T166" s="283"/>
      <c r="U166" s="283"/>
      <c r="V166" s="283"/>
      <c r="W166" s="283"/>
      <c r="X166" s="283"/>
      <c r="Y166" s="283"/>
      <c r="Z166" s="283"/>
    </row>
    <row r="167" ht="14.25" customHeight="1">
      <c r="A167" s="283"/>
      <c r="B167" s="283"/>
      <c r="C167" s="283"/>
      <c r="D167" s="283"/>
      <c r="E167" s="283"/>
      <c r="F167" s="283"/>
      <c r="G167" s="283"/>
      <c r="H167" s="283"/>
      <c r="I167" s="283"/>
      <c r="J167" s="283"/>
      <c r="K167" s="283"/>
      <c r="L167" s="283"/>
      <c r="M167" s="283"/>
      <c r="N167" s="283"/>
      <c r="O167" s="283"/>
      <c r="P167" s="283"/>
      <c r="Q167" s="283"/>
      <c r="R167" s="283"/>
      <c r="S167" s="283"/>
      <c r="T167" s="283"/>
      <c r="U167" s="283"/>
      <c r="V167" s="283"/>
      <c r="W167" s="283"/>
      <c r="X167" s="283"/>
      <c r="Y167" s="283"/>
      <c r="Z167" s="283"/>
    </row>
    <row r="168" ht="14.25" customHeight="1">
      <c r="A168" s="283"/>
      <c r="B168" s="283"/>
      <c r="C168" s="283"/>
      <c r="D168" s="283"/>
      <c r="E168" s="283"/>
      <c r="F168" s="283"/>
      <c r="G168" s="283"/>
      <c r="H168" s="283"/>
      <c r="I168" s="283"/>
      <c r="J168" s="283"/>
      <c r="K168" s="283"/>
      <c r="L168" s="283"/>
      <c r="M168" s="283"/>
      <c r="N168" s="283"/>
      <c r="O168" s="283"/>
      <c r="P168" s="283"/>
      <c r="Q168" s="283"/>
      <c r="R168" s="283"/>
      <c r="S168" s="283"/>
      <c r="T168" s="283"/>
      <c r="U168" s="283"/>
      <c r="V168" s="283"/>
      <c r="W168" s="283"/>
      <c r="X168" s="283"/>
      <c r="Y168" s="283"/>
      <c r="Z168" s="283"/>
    </row>
    <row r="169" ht="14.25" customHeight="1">
      <c r="A169" s="283"/>
      <c r="B169" s="283"/>
      <c r="C169" s="283"/>
      <c r="D169" s="283"/>
      <c r="E169" s="283"/>
      <c r="F169" s="283"/>
      <c r="G169" s="283"/>
      <c r="H169" s="283"/>
      <c r="I169" s="283"/>
      <c r="J169" s="283"/>
      <c r="K169" s="283"/>
      <c r="L169" s="283"/>
      <c r="M169" s="283"/>
      <c r="N169" s="283"/>
      <c r="O169" s="283"/>
      <c r="P169" s="283"/>
      <c r="Q169" s="283"/>
      <c r="R169" s="283"/>
      <c r="S169" s="283"/>
      <c r="T169" s="283"/>
      <c r="U169" s="283"/>
      <c r="V169" s="283"/>
      <c r="W169" s="283"/>
      <c r="X169" s="283"/>
      <c r="Y169" s="283"/>
      <c r="Z169" s="283"/>
    </row>
    <row r="170" ht="14.25" customHeight="1">
      <c r="A170" s="283"/>
      <c r="B170" s="283"/>
      <c r="C170" s="283"/>
      <c r="D170" s="283"/>
      <c r="E170" s="283"/>
      <c r="F170" s="283"/>
      <c r="G170" s="283"/>
      <c r="H170" s="283"/>
      <c r="I170" s="283"/>
      <c r="J170" s="283"/>
      <c r="K170" s="283"/>
      <c r="L170" s="283"/>
      <c r="M170" s="283"/>
      <c r="N170" s="283"/>
      <c r="O170" s="283"/>
      <c r="P170" s="283"/>
      <c r="Q170" s="283"/>
      <c r="R170" s="283"/>
      <c r="S170" s="283"/>
      <c r="T170" s="283"/>
      <c r="U170" s="283"/>
      <c r="V170" s="283"/>
      <c r="W170" s="283"/>
      <c r="X170" s="283"/>
      <c r="Y170" s="283"/>
      <c r="Z170" s="283"/>
    </row>
    <row r="171" ht="14.25" customHeight="1">
      <c r="A171" s="283"/>
      <c r="B171" s="283"/>
      <c r="C171" s="283"/>
      <c r="D171" s="283"/>
      <c r="E171" s="283"/>
      <c r="F171" s="283"/>
      <c r="G171" s="283"/>
      <c r="H171" s="283"/>
      <c r="I171" s="283"/>
      <c r="J171" s="283"/>
      <c r="K171" s="283"/>
      <c r="L171" s="283"/>
      <c r="M171" s="283"/>
      <c r="N171" s="283"/>
      <c r="O171" s="283"/>
      <c r="P171" s="283"/>
      <c r="Q171" s="283"/>
      <c r="R171" s="283"/>
      <c r="S171" s="283"/>
      <c r="T171" s="283"/>
      <c r="U171" s="283"/>
      <c r="V171" s="283"/>
      <c r="W171" s="283"/>
      <c r="X171" s="283"/>
      <c r="Y171" s="283"/>
      <c r="Z171" s="283"/>
    </row>
    <row r="172" ht="14.25" customHeight="1">
      <c r="A172" s="283"/>
      <c r="B172" s="283"/>
      <c r="C172" s="283"/>
      <c r="D172" s="283"/>
      <c r="E172" s="283"/>
      <c r="F172" s="283"/>
      <c r="G172" s="283"/>
      <c r="H172" s="283"/>
      <c r="I172" s="283"/>
      <c r="J172" s="283"/>
      <c r="K172" s="283"/>
      <c r="L172" s="283"/>
      <c r="M172" s="283"/>
      <c r="N172" s="283"/>
      <c r="O172" s="283"/>
      <c r="P172" s="283"/>
      <c r="Q172" s="283"/>
      <c r="R172" s="283"/>
      <c r="S172" s="283"/>
      <c r="T172" s="283"/>
      <c r="U172" s="283"/>
      <c r="V172" s="283"/>
      <c r="W172" s="283"/>
      <c r="X172" s="283"/>
      <c r="Y172" s="283"/>
      <c r="Z172" s="283"/>
    </row>
    <row r="173" ht="14.25" customHeight="1">
      <c r="A173" s="283"/>
      <c r="B173" s="283"/>
      <c r="C173" s="283"/>
      <c r="D173" s="283"/>
      <c r="E173" s="283"/>
      <c r="F173" s="283"/>
      <c r="G173" s="283"/>
      <c r="H173" s="283"/>
      <c r="I173" s="283"/>
      <c r="J173" s="283"/>
      <c r="K173" s="283"/>
      <c r="L173" s="283"/>
      <c r="M173" s="283"/>
      <c r="N173" s="283"/>
      <c r="O173" s="283"/>
      <c r="P173" s="283"/>
      <c r="Q173" s="283"/>
      <c r="R173" s="283"/>
      <c r="S173" s="283"/>
      <c r="T173" s="283"/>
      <c r="U173" s="283"/>
      <c r="V173" s="283"/>
      <c r="W173" s="283"/>
      <c r="X173" s="283"/>
      <c r="Y173" s="283"/>
      <c r="Z173" s="283"/>
    </row>
    <row r="174" ht="14.25" customHeight="1">
      <c r="A174" s="283"/>
      <c r="B174" s="283"/>
      <c r="C174" s="283"/>
      <c r="D174" s="283"/>
      <c r="E174" s="283"/>
      <c r="F174" s="283"/>
      <c r="G174" s="283"/>
      <c r="H174" s="283"/>
      <c r="I174" s="283"/>
      <c r="J174" s="283"/>
      <c r="K174" s="283"/>
      <c r="L174" s="283"/>
      <c r="M174" s="283"/>
      <c r="N174" s="283"/>
      <c r="O174" s="283"/>
      <c r="P174" s="283"/>
      <c r="Q174" s="283"/>
      <c r="R174" s="283"/>
      <c r="S174" s="283"/>
      <c r="T174" s="283"/>
      <c r="U174" s="283"/>
      <c r="V174" s="283"/>
      <c r="W174" s="283"/>
      <c r="X174" s="283"/>
      <c r="Y174" s="283"/>
      <c r="Z174" s="283"/>
    </row>
    <row r="175" ht="14.25" customHeight="1">
      <c r="A175" s="283"/>
      <c r="B175" s="283"/>
      <c r="C175" s="283"/>
      <c r="D175" s="283"/>
      <c r="E175" s="283"/>
      <c r="F175" s="283"/>
      <c r="G175" s="283"/>
      <c r="H175" s="283"/>
      <c r="I175" s="283"/>
      <c r="J175" s="283"/>
      <c r="K175" s="283"/>
      <c r="L175" s="283"/>
      <c r="M175" s="283"/>
      <c r="N175" s="283"/>
      <c r="O175" s="283"/>
      <c r="P175" s="283"/>
      <c r="Q175" s="283"/>
      <c r="R175" s="283"/>
      <c r="S175" s="283"/>
      <c r="T175" s="283"/>
      <c r="U175" s="283"/>
      <c r="V175" s="283"/>
      <c r="W175" s="283"/>
      <c r="X175" s="283"/>
      <c r="Y175" s="283"/>
      <c r="Z175" s="283"/>
    </row>
    <row r="176" ht="14.25" customHeight="1">
      <c r="A176" s="283"/>
      <c r="B176" s="283"/>
      <c r="C176" s="283"/>
      <c r="D176" s="283"/>
      <c r="E176" s="283"/>
      <c r="F176" s="283"/>
      <c r="G176" s="283"/>
      <c r="H176" s="283"/>
      <c r="I176" s="283"/>
      <c r="J176" s="283"/>
      <c r="K176" s="283"/>
      <c r="L176" s="283"/>
      <c r="M176" s="283"/>
      <c r="N176" s="283"/>
      <c r="O176" s="283"/>
      <c r="P176" s="283"/>
      <c r="Q176" s="283"/>
      <c r="R176" s="283"/>
      <c r="S176" s="283"/>
      <c r="T176" s="283"/>
      <c r="U176" s="283"/>
      <c r="V176" s="283"/>
      <c r="W176" s="283"/>
      <c r="X176" s="283"/>
      <c r="Y176" s="283"/>
      <c r="Z176" s="283"/>
    </row>
    <row r="177" ht="14.25" customHeight="1">
      <c r="A177" s="283"/>
      <c r="B177" s="283"/>
      <c r="C177" s="283"/>
      <c r="D177" s="283"/>
      <c r="E177" s="283"/>
      <c r="F177" s="283"/>
      <c r="G177" s="283"/>
      <c r="H177" s="283"/>
      <c r="I177" s="283"/>
      <c r="J177" s="283"/>
      <c r="K177" s="283"/>
      <c r="L177" s="283"/>
      <c r="M177" s="283"/>
      <c r="N177" s="283"/>
      <c r="O177" s="283"/>
      <c r="P177" s="283"/>
      <c r="Q177" s="283"/>
      <c r="R177" s="283"/>
      <c r="S177" s="283"/>
      <c r="T177" s="283"/>
      <c r="U177" s="283"/>
      <c r="V177" s="283"/>
      <c r="W177" s="283"/>
      <c r="X177" s="283"/>
      <c r="Y177" s="283"/>
      <c r="Z177" s="283"/>
    </row>
    <row r="178" ht="14.25" customHeight="1">
      <c r="A178" s="283"/>
      <c r="B178" s="283"/>
      <c r="C178" s="283"/>
      <c r="D178" s="283"/>
      <c r="E178" s="283"/>
      <c r="F178" s="283"/>
      <c r="G178" s="283"/>
      <c r="H178" s="283"/>
      <c r="I178" s="283"/>
      <c r="J178" s="283"/>
      <c r="K178" s="283"/>
      <c r="L178" s="283"/>
      <c r="M178" s="283"/>
      <c r="N178" s="283"/>
      <c r="O178" s="283"/>
      <c r="P178" s="283"/>
      <c r="Q178" s="283"/>
      <c r="R178" s="283"/>
      <c r="S178" s="283"/>
      <c r="T178" s="283"/>
      <c r="U178" s="283"/>
      <c r="V178" s="283"/>
      <c r="W178" s="283"/>
      <c r="X178" s="283"/>
      <c r="Y178" s="283"/>
      <c r="Z178" s="283"/>
    </row>
    <row r="179" ht="14.25" customHeight="1">
      <c r="A179" s="283"/>
      <c r="B179" s="283"/>
      <c r="C179" s="283"/>
      <c r="D179" s="283"/>
      <c r="E179" s="283"/>
      <c r="F179" s="283"/>
      <c r="G179" s="283"/>
      <c r="H179" s="283"/>
      <c r="I179" s="283"/>
      <c r="J179" s="283"/>
      <c r="K179" s="283"/>
      <c r="L179" s="283"/>
      <c r="M179" s="283"/>
      <c r="N179" s="283"/>
      <c r="O179" s="283"/>
      <c r="P179" s="283"/>
      <c r="Q179" s="283"/>
      <c r="R179" s="283"/>
      <c r="S179" s="283"/>
      <c r="T179" s="283"/>
      <c r="U179" s="283"/>
      <c r="V179" s="283"/>
      <c r="W179" s="283"/>
      <c r="X179" s="283"/>
      <c r="Y179" s="283"/>
      <c r="Z179" s="283"/>
    </row>
    <row r="180" ht="14.25" customHeight="1">
      <c r="A180" s="283"/>
      <c r="B180" s="283"/>
      <c r="C180" s="283"/>
      <c r="D180" s="283"/>
      <c r="E180" s="283"/>
      <c r="F180" s="283"/>
      <c r="G180" s="283"/>
      <c r="H180" s="283"/>
      <c r="I180" s="283"/>
      <c r="J180" s="283"/>
      <c r="K180" s="283"/>
      <c r="L180" s="283"/>
      <c r="M180" s="283"/>
      <c r="N180" s="283"/>
      <c r="O180" s="283"/>
      <c r="P180" s="283"/>
      <c r="Q180" s="283"/>
      <c r="R180" s="283"/>
      <c r="S180" s="283"/>
      <c r="T180" s="283"/>
      <c r="U180" s="283"/>
      <c r="V180" s="283"/>
      <c r="W180" s="283"/>
      <c r="X180" s="283"/>
      <c r="Y180" s="283"/>
      <c r="Z180" s="283"/>
    </row>
    <row r="181" ht="14.25" customHeight="1">
      <c r="A181" s="283"/>
      <c r="B181" s="283"/>
      <c r="C181" s="283"/>
      <c r="D181" s="283"/>
      <c r="E181" s="283"/>
      <c r="F181" s="283"/>
      <c r="G181" s="283"/>
      <c r="H181" s="283"/>
      <c r="I181" s="283"/>
      <c r="J181" s="283"/>
      <c r="K181" s="283"/>
      <c r="L181" s="283"/>
      <c r="M181" s="283"/>
      <c r="N181" s="283"/>
      <c r="O181" s="283"/>
      <c r="P181" s="283"/>
      <c r="Q181" s="283"/>
      <c r="R181" s="283"/>
      <c r="S181" s="283"/>
      <c r="T181" s="283"/>
      <c r="U181" s="283"/>
      <c r="V181" s="283"/>
      <c r="W181" s="283"/>
      <c r="X181" s="283"/>
      <c r="Y181" s="283"/>
      <c r="Z181" s="283"/>
    </row>
    <row r="182" ht="14.25" customHeight="1">
      <c r="A182" s="283"/>
      <c r="B182" s="283"/>
      <c r="C182" s="283"/>
      <c r="D182" s="283"/>
      <c r="E182" s="283"/>
      <c r="F182" s="283"/>
      <c r="G182" s="283"/>
      <c r="H182" s="283"/>
      <c r="I182" s="283"/>
      <c r="J182" s="283"/>
      <c r="K182" s="283"/>
      <c r="L182" s="283"/>
      <c r="M182" s="283"/>
      <c r="N182" s="283"/>
      <c r="O182" s="283"/>
      <c r="P182" s="283"/>
      <c r="Q182" s="283"/>
      <c r="R182" s="283"/>
      <c r="S182" s="283"/>
      <c r="T182" s="283"/>
      <c r="U182" s="283"/>
      <c r="V182" s="283"/>
      <c r="W182" s="283"/>
      <c r="X182" s="283"/>
      <c r="Y182" s="283"/>
      <c r="Z182" s="283"/>
    </row>
    <row r="183" ht="14.25" customHeight="1">
      <c r="A183" s="283"/>
      <c r="B183" s="283"/>
      <c r="C183" s="283"/>
      <c r="D183" s="283"/>
      <c r="E183" s="283"/>
      <c r="F183" s="283"/>
      <c r="G183" s="283"/>
      <c r="H183" s="283"/>
      <c r="I183" s="283"/>
      <c r="J183" s="283"/>
      <c r="K183" s="283"/>
      <c r="L183" s="283"/>
      <c r="M183" s="283"/>
      <c r="N183" s="283"/>
      <c r="O183" s="283"/>
      <c r="P183" s="283"/>
      <c r="Q183" s="283"/>
      <c r="R183" s="283"/>
      <c r="S183" s="283"/>
      <c r="T183" s="283"/>
      <c r="U183" s="283"/>
      <c r="V183" s="283"/>
      <c r="W183" s="283"/>
      <c r="X183" s="283"/>
      <c r="Y183" s="283"/>
      <c r="Z183" s="283"/>
    </row>
    <row r="184" ht="14.25" customHeight="1">
      <c r="A184" s="283"/>
      <c r="B184" s="283"/>
      <c r="C184" s="283"/>
      <c r="D184" s="283"/>
      <c r="E184" s="283"/>
      <c r="F184" s="283"/>
      <c r="G184" s="283"/>
      <c r="H184" s="283"/>
      <c r="I184" s="283"/>
      <c r="J184" s="283"/>
      <c r="K184" s="283"/>
      <c r="L184" s="283"/>
      <c r="M184" s="283"/>
      <c r="N184" s="283"/>
      <c r="O184" s="283"/>
      <c r="P184" s="283"/>
      <c r="Q184" s="283"/>
      <c r="R184" s="283"/>
      <c r="S184" s="283"/>
      <c r="T184" s="283"/>
      <c r="U184" s="283"/>
      <c r="V184" s="283"/>
      <c r="W184" s="283"/>
      <c r="X184" s="283"/>
      <c r="Y184" s="283"/>
      <c r="Z184" s="283"/>
    </row>
    <row r="185" ht="14.25" customHeight="1">
      <c r="A185" s="283"/>
      <c r="B185" s="283"/>
      <c r="C185" s="283"/>
      <c r="D185" s="283"/>
      <c r="E185" s="283"/>
      <c r="F185" s="283"/>
      <c r="G185" s="283"/>
      <c r="H185" s="283"/>
      <c r="I185" s="283"/>
      <c r="J185" s="283"/>
      <c r="K185" s="283"/>
      <c r="L185" s="283"/>
      <c r="M185" s="283"/>
      <c r="N185" s="283"/>
      <c r="O185" s="283"/>
      <c r="P185" s="283"/>
      <c r="Q185" s="283"/>
      <c r="R185" s="283"/>
      <c r="S185" s="283"/>
      <c r="T185" s="283"/>
      <c r="U185" s="283"/>
      <c r="V185" s="283"/>
      <c r="W185" s="283"/>
      <c r="X185" s="283"/>
      <c r="Y185" s="283"/>
      <c r="Z185" s="283"/>
    </row>
    <row r="186" ht="14.25" customHeight="1">
      <c r="A186" s="283"/>
      <c r="B186" s="283"/>
      <c r="C186" s="283"/>
      <c r="D186" s="283"/>
      <c r="E186" s="283"/>
      <c r="F186" s="283"/>
      <c r="G186" s="283"/>
      <c r="H186" s="283"/>
      <c r="I186" s="283"/>
      <c r="J186" s="283"/>
      <c r="K186" s="283"/>
      <c r="L186" s="283"/>
      <c r="M186" s="283"/>
      <c r="N186" s="283"/>
      <c r="O186" s="283"/>
      <c r="P186" s="283"/>
      <c r="Q186" s="283"/>
      <c r="R186" s="283"/>
      <c r="S186" s="283"/>
      <c r="T186" s="283"/>
      <c r="U186" s="283"/>
      <c r="V186" s="283"/>
      <c r="W186" s="283"/>
      <c r="X186" s="283"/>
      <c r="Y186" s="283"/>
      <c r="Z186" s="283"/>
    </row>
    <row r="187" ht="14.25" customHeight="1">
      <c r="A187" s="283"/>
      <c r="B187" s="283"/>
      <c r="C187" s="283"/>
      <c r="D187" s="283"/>
      <c r="E187" s="283"/>
      <c r="F187" s="283"/>
      <c r="G187" s="283"/>
      <c r="H187" s="283"/>
      <c r="I187" s="283"/>
      <c r="J187" s="283"/>
      <c r="K187" s="283"/>
      <c r="L187" s="283"/>
      <c r="M187" s="283"/>
      <c r="N187" s="283"/>
      <c r="O187" s="283"/>
      <c r="P187" s="283"/>
      <c r="Q187" s="283"/>
      <c r="R187" s="283"/>
      <c r="S187" s="283"/>
      <c r="T187" s="283"/>
      <c r="U187" s="283"/>
      <c r="V187" s="283"/>
      <c r="W187" s="283"/>
      <c r="X187" s="283"/>
      <c r="Y187" s="283"/>
      <c r="Z187" s="283"/>
    </row>
    <row r="188" ht="14.25" customHeight="1">
      <c r="A188" s="283"/>
      <c r="B188" s="283"/>
      <c r="C188" s="283"/>
      <c r="D188" s="283"/>
      <c r="E188" s="283"/>
      <c r="F188" s="283"/>
      <c r="G188" s="283"/>
      <c r="H188" s="283"/>
      <c r="I188" s="283"/>
      <c r="J188" s="283"/>
      <c r="K188" s="283"/>
      <c r="L188" s="283"/>
      <c r="M188" s="283"/>
      <c r="N188" s="283"/>
      <c r="O188" s="283"/>
      <c r="P188" s="283"/>
      <c r="Q188" s="283"/>
      <c r="R188" s="283"/>
      <c r="S188" s="283"/>
      <c r="T188" s="283"/>
      <c r="U188" s="283"/>
      <c r="V188" s="283"/>
      <c r="W188" s="283"/>
      <c r="X188" s="283"/>
      <c r="Y188" s="283"/>
      <c r="Z188" s="283"/>
    </row>
    <row r="189" ht="14.25" customHeight="1">
      <c r="A189" s="283"/>
      <c r="B189" s="283"/>
      <c r="C189" s="283"/>
      <c r="D189" s="283"/>
      <c r="E189" s="283"/>
      <c r="F189" s="283"/>
      <c r="G189" s="283"/>
      <c r="H189" s="283"/>
      <c r="I189" s="283"/>
      <c r="J189" s="283"/>
      <c r="K189" s="283"/>
      <c r="L189" s="283"/>
      <c r="M189" s="283"/>
      <c r="N189" s="283"/>
      <c r="O189" s="283"/>
      <c r="P189" s="283"/>
      <c r="Q189" s="283"/>
      <c r="R189" s="283"/>
      <c r="S189" s="283"/>
      <c r="T189" s="283"/>
      <c r="U189" s="283"/>
      <c r="V189" s="283"/>
      <c r="W189" s="283"/>
      <c r="X189" s="283"/>
      <c r="Y189" s="283"/>
      <c r="Z189" s="283"/>
    </row>
    <row r="190" ht="14.25" customHeight="1">
      <c r="A190" s="283"/>
      <c r="B190" s="283"/>
      <c r="C190" s="283"/>
      <c r="D190" s="283"/>
      <c r="E190" s="283"/>
      <c r="F190" s="283"/>
      <c r="G190" s="283"/>
      <c r="H190" s="283"/>
      <c r="I190" s="283"/>
      <c r="J190" s="283"/>
      <c r="K190" s="283"/>
      <c r="L190" s="283"/>
      <c r="M190" s="283"/>
      <c r="N190" s="283"/>
      <c r="O190" s="283"/>
      <c r="P190" s="283"/>
      <c r="Q190" s="283"/>
      <c r="R190" s="283"/>
      <c r="S190" s="283"/>
      <c r="T190" s="283"/>
      <c r="U190" s="283"/>
      <c r="V190" s="283"/>
      <c r="W190" s="283"/>
      <c r="X190" s="283"/>
      <c r="Y190" s="283"/>
      <c r="Z190" s="283"/>
    </row>
    <row r="191" ht="14.25" customHeight="1">
      <c r="A191" s="283"/>
      <c r="B191" s="283"/>
      <c r="C191" s="283"/>
      <c r="D191" s="283"/>
      <c r="E191" s="283"/>
      <c r="F191" s="283"/>
      <c r="G191" s="283"/>
      <c r="H191" s="283"/>
      <c r="I191" s="283"/>
      <c r="J191" s="283"/>
      <c r="K191" s="283"/>
      <c r="L191" s="283"/>
      <c r="M191" s="283"/>
      <c r="N191" s="283"/>
      <c r="O191" s="283"/>
      <c r="P191" s="283"/>
      <c r="Q191" s="283"/>
      <c r="R191" s="283"/>
      <c r="S191" s="283"/>
      <c r="T191" s="283"/>
      <c r="U191" s="283"/>
      <c r="V191" s="283"/>
      <c r="W191" s="283"/>
      <c r="X191" s="283"/>
      <c r="Y191" s="283"/>
      <c r="Z191" s="283"/>
    </row>
    <row r="192" ht="14.25" customHeight="1">
      <c r="A192" s="283"/>
      <c r="B192" s="283"/>
      <c r="C192" s="283"/>
      <c r="D192" s="283"/>
      <c r="E192" s="283"/>
      <c r="F192" s="283"/>
      <c r="G192" s="283"/>
      <c r="H192" s="283"/>
      <c r="I192" s="283"/>
      <c r="J192" s="283"/>
      <c r="K192" s="283"/>
      <c r="L192" s="283"/>
      <c r="M192" s="283"/>
      <c r="N192" s="283"/>
      <c r="O192" s="283"/>
      <c r="P192" s="283"/>
      <c r="Q192" s="283"/>
      <c r="R192" s="283"/>
      <c r="S192" s="283"/>
      <c r="T192" s="283"/>
      <c r="U192" s="283"/>
      <c r="V192" s="283"/>
      <c r="W192" s="283"/>
      <c r="X192" s="283"/>
      <c r="Y192" s="283"/>
      <c r="Z192" s="283"/>
    </row>
    <row r="193" ht="14.25" customHeight="1">
      <c r="A193" s="283"/>
      <c r="B193" s="283"/>
      <c r="C193" s="283"/>
      <c r="D193" s="283"/>
      <c r="E193" s="283"/>
      <c r="F193" s="283"/>
      <c r="G193" s="283"/>
      <c r="H193" s="283"/>
      <c r="I193" s="283"/>
      <c r="J193" s="283"/>
      <c r="K193" s="283"/>
      <c r="L193" s="283"/>
      <c r="M193" s="283"/>
      <c r="N193" s="283"/>
      <c r="O193" s="283"/>
      <c r="P193" s="283"/>
      <c r="Q193" s="283"/>
      <c r="R193" s="283"/>
      <c r="S193" s="283"/>
      <c r="T193" s="283"/>
      <c r="U193" s="283"/>
      <c r="V193" s="283"/>
      <c r="W193" s="283"/>
      <c r="X193" s="283"/>
      <c r="Y193" s="283"/>
      <c r="Z193" s="283"/>
    </row>
    <row r="194" ht="14.25" customHeight="1">
      <c r="A194" s="283"/>
      <c r="B194" s="283"/>
      <c r="C194" s="283"/>
      <c r="D194" s="283"/>
      <c r="E194" s="283"/>
      <c r="F194" s="283"/>
      <c r="G194" s="283"/>
      <c r="H194" s="283"/>
      <c r="I194" s="283"/>
      <c r="J194" s="283"/>
      <c r="K194" s="283"/>
      <c r="L194" s="283"/>
      <c r="M194" s="283"/>
      <c r="N194" s="283"/>
      <c r="O194" s="283"/>
      <c r="P194" s="283"/>
      <c r="Q194" s="283"/>
      <c r="R194" s="283"/>
      <c r="S194" s="283"/>
      <c r="T194" s="283"/>
      <c r="U194" s="283"/>
      <c r="V194" s="283"/>
      <c r="W194" s="283"/>
      <c r="X194" s="283"/>
      <c r="Y194" s="283"/>
      <c r="Z194" s="283"/>
    </row>
    <row r="195" ht="14.25" customHeight="1">
      <c r="A195" s="283"/>
      <c r="B195" s="283"/>
      <c r="C195" s="283"/>
      <c r="D195" s="283"/>
      <c r="E195" s="283"/>
      <c r="F195" s="283"/>
      <c r="G195" s="283"/>
      <c r="H195" s="283"/>
      <c r="I195" s="283"/>
      <c r="J195" s="283"/>
      <c r="K195" s="283"/>
      <c r="L195" s="283"/>
      <c r="M195" s="283"/>
      <c r="N195" s="283"/>
      <c r="O195" s="283"/>
      <c r="P195" s="283"/>
      <c r="Q195" s="283"/>
      <c r="R195" s="283"/>
      <c r="S195" s="283"/>
      <c r="T195" s="283"/>
      <c r="U195" s="283"/>
      <c r="V195" s="283"/>
      <c r="W195" s="283"/>
      <c r="X195" s="283"/>
      <c r="Y195" s="283"/>
      <c r="Z195" s="283"/>
    </row>
    <row r="196" ht="14.25" customHeight="1">
      <c r="A196" s="283"/>
      <c r="B196" s="283"/>
      <c r="C196" s="283"/>
      <c r="D196" s="283"/>
      <c r="E196" s="283"/>
      <c r="F196" s="283"/>
      <c r="G196" s="283"/>
      <c r="H196" s="283"/>
      <c r="I196" s="283"/>
      <c r="J196" s="283"/>
      <c r="K196" s="283"/>
      <c r="L196" s="283"/>
      <c r="M196" s="283"/>
      <c r="N196" s="283"/>
      <c r="O196" s="283"/>
      <c r="P196" s="283"/>
      <c r="Q196" s="283"/>
      <c r="R196" s="283"/>
      <c r="S196" s="283"/>
      <c r="T196" s="283"/>
      <c r="U196" s="283"/>
      <c r="V196" s="283"/>
      <c r="W196" s="283"/>
      <c r="X196" s="283"/>
      <c r="Y196" s="283"/>
      <c r="Z196" s="283"/>
    </row>
    <row r="197" ht="14.25" customHeight="1">
      <c r="A197" s="283"/>
      <c r="B197" s="283"/>
      <c r="C197" s="283"/>
      <c r="D197" s="283"/>
      <c r="E197" s="283"/>
      <c r="F197" s="283"/>
      <c r="G197" s="283"/>
      <c r="H197" s="283"/>
      <c r="I197" s="283"/>
      <c r="J197" s="283"/>
      <c r="K197" s="283"/>
      <c r="L197" s="283"/>
      <c r="M197" s="283"/>
      <c r="N197" s="283"/>
      <c r="O197" s="283"/>
      <c r="P197" s="283"/>
      <c r="Q197" s="283"/>
      <c r="R197" s="283"/>
      <c r="S197" s="283"/>
      <c r="T197" s="283"/>
      <c r="U197" s="283"/>
      <c r="V197" s="283"/>
      <c r="W197" s="283"/>
      <c r="X197" s="283"/>
      <c r="Y197" s="283"/>
      <c r="Z197" s="283"/>
    </row>
    <row r="198" ht="14.25" customHeight="1">
      <c r="A198" s="283"/>
      <c r="B198" s="283"/>
      <c r="C198" s="283"/>
      <c r="D198" s="283"/>
      <c r="E198" s="283"/>
      <c r="F198" s="283"/>
      <c r="G198" s="283"/>
      <c r="H198" s="283"/>
      <c r="I198" s="283"/>
      <c r="J198" s="283"/>
      <c r="K198" s="283"/>
      <c r="L198" s="283"/>
      <c r="M198" s="283"/>
      <c r="N198" s="283"/>
      <c r="O198" s="283"/>
      <c r="P198" s="283"/>
      <c r="Q198" s="283"/>
      <c r="R198" s="283"/>
      <c r="S198" s="283"/>
      <c r="T198" s="283"/>
      <c r="U198" s="283"/>
      <c r="V198" s="283"/>
      <c r="W198" s="283"/>
      <c r="X198" s="283"/>
      <c r="Y198" s="283"/>
      <c r="Z198" s="283"/>
    </row>
    <row r="199" ht="14.25" customHeight="1">
      <c r="A199" s="283"/>
      <c r="B199" s="283"/>
      <c r="C199" s="283"/>
      <c r="D199" s="283"/>
      <c r="E199" s="283"/>
      <c r="F199" s="283"/>
      <c r="G199" s="283"/>
      <c r="H199" s="283"/>
      <c r="I199" s="283"/>
      <c r="J199" s="283"/>
      <c r="K199" s="283"/>
      <c r="L199" s="283"/>
      <c r="M199" s="283"/>
      <c r="N199" s="283"/>
      <c r="O199" s="283"/>
      <c r="P199" s="283"/>
      <c r="Q199" s="283"/>
      <c r="R199" s="283"/>
      <c r="S199" s="283"/>
      <c r="T199" s="283"/>
      <c r="U199" s="283"/>
      <c r="V199" s="283"/>
      <c r="W199" s="283"/>
      <c r="X199" s="283"/>
      <c r="Y199" s="283"/>
      <c r="Z199" s="283"/>
    </row>
    <row r="200" ht="14.25" customHeight="1">
      <c r="A200" s="283"/>
      <c r="B200" s="283"/>
      <c r="C200" s="283"/>
      <c r="D200" s="283"/>
      <c r="E200" s="283"/>
      <c r="F200" s="283"/>
      <c r="G200" s="283"/>
      <c r="H200" s="283"/>
      <c r="I200" s="283"/>
      <c r="J200" s="283"/>
      <c r="K200" s="283"/>
      <c r="L200" s="283"/>
      <c r="M200" s="283"/>
      <c r="N200" s="283"/>
      <c r="O200" s="283"/>
      <c r="P200" s="283"/>
      <c r="Q200" s="283"/>
      <c r="R200" s="283"/>
      <c r="S200" s="283"/>
      <c r="T200" s="283"/>
      <c r="U200" s="283"/>
      <c r="V200" s="283"/>
      <c r="W200" s="283"/>
      <c r="X200" s="283"/>
      <c r="Y200" s="283"/>
      <c r="Z200" s="283"/>
    </row>
    <row r="201" ht="14.25" customHeight="1">
      <c r="A201" s="283"/>
      <c r="B201" s="283"/>
      <c r="C201" s="283"/>
      <c r="D201" s="283"/>
      <c r="E201" s="283"/>
      <c r="F201" s="283"/>
      <c r="G201" s="283"/>
      <c r="H201" s="283"/>
      <c r="I201" s="283"/>
      <c r="J201" s="283"/>
      <c r="K201" s="283"/>
      <c r="L201" s="283"/>
      <c r="M201" s="283"/>
      <c r="N201" s="283"/>
      <c r="O201" s="283"/>
      <c r="P201" s="283"/>
      <c r="Q201" s="283"/>
      <c r="R201" s="283"/>
      <c r="S201" s="283"/>
      <c r="T201" s="283"/>
      <c r="U201" s="283"/>
      <c r="V201" s="283"/>
      <c r="W201" s="283"/>
      <c r="X201" s="283"/>
      <c r="Y201" s="283"/>
      <c r="Z201" s="283"/>
    </row>
    <row r="202" ht="14.25" customHeight="1">
      <c r="A202" s="283"/>
      <c r="B202" s="283"/>
      <c r="C202" s="283"/>
      <c r="D202" s="283"/>
      <c r="E202" s="283"/>
      <c r="F202" s="283"/>
      <c r="G202" s="283"/>
      <c r="H202" s="283"/>
      <c r="I202" s="283"/>
      <c r="J202" s="283"/>
      <c r="K202" s="283"/>
      <c r="L202" s="283"/>
      <c r="M202" s="283"/>
      <c r="N202" s="283"/>
      <c r="O202" s="283"/>
      <c r="P202" s="283"/>
      <c r="Q202" s="283"/>
      <c r="R202" s="283"/>
      <c r="S202" s="283"/>
      <c r="T202" s="283"/>
      <c r="U202" s="283"/>
      <c r="V202" s="283"/>
      <c r="W202" s="283"/>
      <c r="X202" s="283"/>
      <c r="Y202" s="283"/>
      <c r="Z202" s="283"/>
    </row>
    <row r="203" ht="14.25" customHeight="1">
      <c r="A203" s="283"/>
      <c r="B203" s="283"/>
      <c r="C203" s="283"/>
      <c r="D203" s="283"/>
      <c r="E203" s="283"/>
      <c r="F203" s="283"/>
      <c r="G203" s="283"/>
      <c r="H203" s="283"/>
      <c r="I203" s="283"/>
      <c r="J203" s="283"/>
      <c r="K203" s="283"/>
      <c r="L203" s="283"/>
      <c r="M203" s="283"/>
      <c r="N203" s="283"/>
      <c r="O203" s="283"/>
      <c r="P203" s="283"/>
      <c r="Q203" s="283"/>
      <c r="R203" s="283"/>
      <c r="S203" s="283"/>
      <c r="T203" s="283"/>
      <c r="U203" s="283"/>
      <c r="V203" s="283"/>
      <c r="W203" s="283"/>
      <c r="X203" s="283"/>
      <c r="Y203" s="283"/>
      <c r="Z203" s="283"/>
    </row>
    <row r="204" ht="14.25" customHeight="1">
      <c r="A204" s="283"/>
      <c r="B204" s="283"/>
      <c r="C204" s="283"/>
      <c r="D204" s="283"/>
      <c r="E204" s="283"/>
      <c r="F204" s="283"/>
      <c r="G204" s="283"/>
      <c r="H204" s="283"/>
      <c r="I204" s="283"/>
      <c r="J204" s="283"/>
      <c r="K204" s="283"/>
      <c r="L204" s="283"/>
      <c r="M204" s="283"/>
      <c r="N204" s="283"/>
      <c r="O204" s="283"/>
      <c r="P204" s="283"/>
      <c r="Q204" s="283"/>
      <c r="R204" s="283"/>
      <c r="S204" s="283"/>
      <c r="T204" s="283"/>
      <c r="U204" s="283"/>
      <c r="V204" s="283"/>
      <c r="W204" s="283"/>
      <c r="X204" s="283"/>
      <c r="Y204" s="283"/>
      <c r="Z204" s="283"/>
    </row>
    <row r="205" ht="14.25" customHeight="1">
      <c r="A205" s="283"/>
      <c r="B205" s="283"/>
      <c r="C205" s="283"/>
      <c r="D205" s="283"/>
      <c r="E205" s="283"/>
      <c r="F205" s="283"/>
      <c r="G205" s="283"/>
      <c r="H205" s="283"/>
      <c r="I205" s="283"/>
      <c r="J205" s="283"/>
      <c r="K205" s="283"/>
      <c r="L205" s="283"/>
      <c r="M205" s="283"/>
      <c r="N205" s="283"/>
      <c r="O205" s="283"/>
      <c r="P205" s="283"/>
      <c r="Q205" s="283"/>
      <c r="R205" s="283"/>
      <c r="S205" s="283"/>
      <c r="T205" s="283"/>
      <c r="U205" s="283"/>
      <c r="V205" s="283"/>
      <c r="W205" s="283"/>
      <c r="X205" s="283"/>
      <c r="Y205" s="283"/>
      <c r="Z205" s="283"/>
    </row>
    <row r="206" ht="14.25" customHeight="1">
      <c r="A206" s="283"/>
      <c r="B206" s="283"/>
      <c r="C206" s="283"/>
      <c r="D206" s="283"/>
      <c r="E206" s="283"/>
      <c r="F206" s="283"/>
      <c r="G206" s="283"/>
      <c r="H206" s="283"/>
      <c r="I206" s="283"/>
      <c r="J206" s="283"/>
      <c r="K206" s="283"/>
      <c r="L206" s="283"/>
      <c r="M206" s="283"/>
      <c r="N206" s="283"/>
      <c r="O206" s="283"/>
      <c r="P206" s="283"/>
      <c r="Q206" s="283"/>
      <c r="R206" s="283"/>
      <c r="S206" s="283"/>
      <c r="T206" s="283"/>
      <c r="U206" s="283"/>
      <c r="V206" s="283"/>
      <c r="W206" s="283"/>
      <c r="X206" s="283"/>
      <c r="Y206" s="283"/>
      <c r="Z206" s="283"/>
    </row>
    <row r="207" ht="14.25" customHeight="1">
      <c r="A207" s="283"/>
      <c r="B207" s="283"/>
      <c r="C207" s="283"/>
      <c r="D207" s="283"/>
      <c r="E207" s="283"/>
      <c r="F207" s="283"/>
      <c r="G207" s="283"/>
      <c r="H207" s="283"/>
      <c r="I207" s="283"/>
      <c r="J207" s="283"/>
      <c r="K207" s="283"/>
      <c r="L207" s="283"/>
      <c r="M207" s="283"/>
      <c r="N207" s="283"/>
      <c r="O207" s="283"/>
      <c r="P207" s="283"/>
      <c r="Q207" s="283"/>
      <c r="R207" s="283"/>
      <c r="S207" s="283"/>
      <c r="T207" s="283"/>
      <c r="U207" s="283"/>
      <c r="V207" s="283"/>
      <c r="W207" s="283"/>
      <c r="X207" s="283"/>
      <c r="Y207" s="283"/>
      <c r="Z207" s="283"/>
    </row>
    <row r="208" ht="14.25" customHeight="1">
      <c r="A208" s="283"/>
      <c r="B208" s="283"/>
      <c r="C208" s="283"/>
      <c r="D208" s="283"/>
      <c r="E208" s="283"/>
      <c r="F208" s="283"/>
      <c r="G208" s="283"/>
      <c r="H208" s="283"/>
      <c r="I208" s="283"/>
      <c r="J208" s="283"/>
      <c r="K208" s="283"/>
      <c r="L208" s="283"/>
      <c r="M208" s="283"/>
      <c r="N208" s="283"/>
      <c r="O208" s="283"/>
      <c r="P208" s="283"/>
      <c r="Q208" s="283"/>
      <c r="R208" s="283"/>
      <c r="S208" s="283"/>
      <c r="T208" s="283"/>
      <c r="U208" s="283"/>
      <c r="V208" s="283"/>
      <c r="W208" s="283"/>
      <c r="X208" s="283"/>
      <c r="Y208" s="283"/>
      <c r="Z208" s="283"/>
    </row>
    <row r="209" ht="14.25" customHeight="1">
      <c r="A209" s="283"/>
      <c r="B209" s="283"/>
      <c r="C209" s="283"/>
      <c r="D209" s="283"/>
      <c r="E209" s="283"/>
      <c r="F209" s="283"/>
      <c r="G209" s="283"/>
      <c r="H209" s="283"/>
      <c r="I209" s="283"/>
      <c r="J209" s="283"/>
      <c r="K209" s="283"/>
      <c r="L209" s="283"/>
      <c r="M209" s="283"/>
      <c r="N209" s="283"/>
      <c r="O209" s="283"/>
      <c r="P209" s="283"/>
      <c r="Q209" s="283"/>
      <c r="R209" s="283"/>
      <c r="S209" s="283"/>
      <c r="T209" s="283"/>
      <c r="U209" s="283"/>
      <c r="V209" s="283"/>
      <c r="W209" s="283"/>
      <c r="X209" s="283"/>
      <c r="Y209" s="283"/>
      <c r="Z209" s="283"/>
    </row>
    <row r="210" ht="14.25" customHeight="1">
      <c r="A210" s="283"/>
      <c r="B210" s="283"/>
      <c r="C210" s="283"/>
      <c r="D210" s="283"/>
      <c r="E210" s="283"/>
      <c r="F210" s="283"/>
      <c r="G210" s="283"/>
      <c r="H210" s="283"/>
      <c r="I210" s="283"/>
      <c r="J210" s="283"/>
      <c r="K210" s="283"/>
      <c r="L210" s="283"/>
      <c r="M210" s="283"/>
      <c r="N210" s="283"/>
      <c r="O210" s="283"/>
      <c r="P210" s="283"/>
      <c r="Q210" s="283"/>
      <c r="R210" s="283"/>
      <c r="S210" s="283"/>
      <c r="T210" s="283"/>
      <c r="U210" s="283"/>
      <c r="V210" s="283"/>
      <c r="W210" s="283"/>
      <c r="X210" s="283"/>
      <c r="Y210" s="283"/>
      <c r="Z210" s="283"/>
    </row>
    <row r="211" ht="14.25" customHeight="1">
      <c r="A211" s="283"/>
      <c r="B211" s="283"/>
      <c r="C211" s="283"/>
      <c r="D211" s="283"/>
      <c r="E211" s="283"/>
      <c r="F211" s="283"/>
      <c r="G211" s="283"/>
      <c r="H211" s="283"/>
      <c r="I211" s="283"/>
      <c r="J211" s="283"/>
      <c r="K211" s="283"/>
      <c r="L211" s="283"/>
      <c r="M211" s="283"/>
      <c r="N211" s="283"/>
      <c r="O211" s="283"/>
      <c r="P211" s="283"/>
      <c r="Q211" s="283"/>
      <c r="R211" s="283"/>
      <c r="S211" s="283"/>
      <c r="T211" s="283"/>
      <c r="U211" s="283"/>
      <c r="V211" s="283"/>
      <c r="W211" s="283"/>
      <c r="X211" s="283"/>
      <c r="Y211" s="283"/>
      <c r="Z211" s="283"/>
    </row>
    <row r="212" ht="14.25" customHeight="1">
      <c r="A212" s="283"/>
      <c r="B212" s="283"/>
      <c r="C212" s="283"/>
      <c r="D212" s="283"/>
      <c r="E212" s="283"/>
      <c r="F212" s="283"/>
      <c r="G212" s="283"/>
      <c r="H212" s="283"/>
      <c r="I212" s="283"/>
      <c r="J212" s="283"/>
      <c r="K212" s="283"/>
      <c r="L212" s="283"/>
      <c r="M212" s="283"/>
      <c r="N212" s="283"/>
      <c r="O212" s="283"/>
      <c r="P212" s="283"/>
      <c r="Q212" s="283"/>
      <c r="R212" s="283"/>
      <c r="S212" s="283"/>
      <c r="T212" s="283"/>
      <c r="U212" s="283"/>
      <c r="V212" s="283"/>
      <c r="W212" s="283"/>
      <c r="X212" s="283"/>
      <c r="Y212" s="283"/>
      <c r="Z212" s="283"/>
    </row>
    <row r="213" ht="14.25" customHeight="1">
      <c r="A213" s="283"/>
      <c r="B213" s="283"/>
      <c r="C213" s="283"/>
      <c r="D213" s="283"/>
      <c r="E213" s="283"/>
      <c r="F213" s="283"/>
      <c r="G213" s="283"/>
      <c r="H213" s="283"/>
      <c r="I213" s="283"/>
      <c r="J213" s="283"/>
      <c r="K213" s="283"/>
      <c r="L213" s="283"/>
      <c r="M213" s="283"/>
      <c r="N213" s="283"/>
      <c r="O213" s="283"/>
      <c r="P213" s="283"/>
      <c r="Q213" s="283"/>
      <c r="R213" s="283"/>
      <c r="S213" s="283"/>
      <c r="T213" s="283"/>
      <c r="U213" s="283"/>
      <c r="V213" s="283"/>
      <c r="W213" s="283"/>
      <c r="X213" s="283"/>
      <c r="Y213" s="283"/>
      <c r="Z213" s="283"/>
    </row>
    <row r="214" ht="14.25" customHeight="1">
      <c r="A214" s="283"/>
      <c r="B214" s="283"/>
      <c r="C214" s="283"/>
      <c r="D214" s="283"/>
      <c r="E214" s="283"/>
      <c r="F214" s="283"/>
      <c r="G214" s="283"/>
      <c r="H214" s="283"/>
      <c r="I214" s="283"/>
      <c r="J214" s="283"/>
      <c r="K214" s="283"/>
      <c r="L214" s="283"/>
      <c r="M214" s="283"/>
      <c r="N214" s="283"/>
      <c r="O214" s="283"/>
      <c r="P214" s="283"/>
      <c r="Q214" s="283"/>
      <c r="R214" s="283"/>
      <c r="S214" s="283"/>
      <c r="T214" s="283"/>
      <c r="U214" s="283"/>
      <c r="V214" s="283"/>
      <c r="W214" s="283"/>
      <c r="X214" s="283"/>
      <c r="Y214" s="283"/>
      <c r="Z214" s="283"/>
    </row>
    <row r="215" ht="14.25" customHeight="1">
      <c r="A215" s="283"/>
      <c r="B215" s="283"/>
      <c r="C215" s="283"/>
      <c r="D215" s="283"/>
      <c r="E215" s="283"/>
      <c r="F215" s="283"/>
      <c r="G215" s="283"/>
      <c r="H215" s="283"/>
      <c r="I215" s="283"/>
      <c r="J215" s="283"/>
      <c r="K215" s="283"/>
      <c r="L215" s="283"/>
      <c r="M215" s="283"/>
      <c r="N215" s="283"/>
      <c r="O215" s="283"/>
      <c r="P215" s="283"/>
      <c r="Q215" s="283"/>
      <c r="R215" s="283"/>
      <c r="S215" s="283"/>
      <c r="T215" s="283"/>
      <c r="U215" s="283"/>
      <c r="V215" s="283"/>
      <c r="W215" s="283"/>
      <c r="X215" s="283"/>
      <c r="Y215" s="283"/>
      <c r="Z215" s="283"/>
    </row>
    <row r="216" ht="14.25" customHeight="1">
      <c r="A216" s="283"/>
      <c r="B216" s="283"/>
      <c r="C216" s="283"/>
      <c r="D216" s="283"/>
      <c r="E216" s="283"/>
      <c r="F216" s="283"/>
      <c r="G216" s="283"/>
      <c r="H216" s="283"/>
      <c r="I216" s="283"/>
      <c r="J216" s="283"/>
      <c r="K216" s="283"/>
      <c r="L216" s="283"/>
      <c r="M216" s="283"/>
      <c r="N216" s="283"/>
      <c r="O216" s="283"/>
      <c r="P216" s="283"/>
      <c r="Q216" s="283"/>
      <c r="R216" s="283"/>
      <c r="S216" s="283"/>
      <c r="T216" s="283"/>
      <c r="U216" s="283"/>
      <c r="V216" s="283"/>
      <c r="W216" s="283"/>
      <c r="X216" s="283"/>
      <c r="Y216" s="283"/>
      <c r="Z216" s="283"/>
    </row>
    <row r="217" ht="14.25" customHeight="1">
      <c r="A217" s="283"/>
      <c r="B217" s="283"/>
      <c r="C217" s="283"/>
      <c r="D217" s="283"/>
      <c r="E217" s="283"/>
      <c r="F217" s="283"/>
      <c r="G217" s="283"/>
      <c r="H217" s="283"/>
      <c r="I217" s="283"/>
      <c r="J217" s="283"/>
      <c r="K217" s="283"/>
      <c r="L217" s="283"/>
      <c r="M217" s="283"/>
      <c r="N217" s="283"/>
      <c r="O217" s="283"/>
      <c r="P217" s="283"/>
      <c r="Q217" s="283"/>
      <c r="R217" s="283"/>
      <c r="S217" s="283"/>
      <c r="T217" s="283"/>
      <c r="U217" s="283"/>
      <c r="V217" s="283"/>
      <c r="W217" s="283"/>
      <c r="X217" s="283"/>
      <c r="Y217" s="283"/>
      <c r="Z217" s="283"/>
    </row>
    <row r="218" ht="14.25" customHeight="1">
      <c r="A218" s="283"/>
      <c r="B218" s="283"/>
      <c r="C218" s="283"/>
      <c r="D218" s="283"/>
      <c r="E218" s="283"/>
      <c r="F218" s="283"/>
      <c r="G218" s="283"/>
      <c r="H218" s="283"/>
      <c r="I218" s="283"/>
      <c r="J218" s="283"/>
      <c r="K218" s="283"/>
      <c r="L218" s="283"/>
      <c r="M218" s="283"/>
      <c r="N218" s="283"/>
      <c r="O218" s="283"/>
      <c r="P218" s="283"/>
      <c r="Q218" s="283"/>
      <c r="R218" s="283"/>
      <c r="S218" s="283"/>
      <c r="T218" s="283"/>
      <c r="U218" s="283"/>
      <c r="V218" s="283"/>
      <c r="W218" s="283"/>
      <c r="X218" s="283"/>
      <c r="Y218" s="283"/>
      <c r="Z218" s="283"/>
    </row>
    <row r="219" ht="14.25" customHeight="1">
      <c r="A219" s="283"/>
      <c r="B219" s="283"/>
      <c r="C219" s="283"/>
      <c r="D219" s="283"/>
      <c r="E219" s="283"/>
      <c r="F219" s="283"/>
      <c r="G219" s="283"/>
      <c r="H219" s="283"/>
      <c r="I219" s="283"/>
      <c r="J219" s="283"/>
      <c r="K219" s="283"/>
      <c r="L219" s="283"/>
      <c r="M219" s="283"/>
      <c r="N219" s="283"/>
      <c r="O219" s="283"/>
      <c r="P219" s="283"/>
      <c r="Q219" s="283"/>
      <c r="R219" s="283"/>
      <c r="S219" s="283"/>
      <c r="T219" s="283"/>
      <c r="U219" s="283"/>
      <c r="V219" s="283"/>
      <c r="W219" s="283"/>
      <c r="X219" s="283"/>
      <c r="Y219" s="283"/>
      <c r="Z219" s="283"/>
    </row>
    <row r="220" ht="14.25" customHeight="1">
      <c r="A220" s="283"/>
      <c r="B220" s="283"/>
      <c r="C220" s="283"/>
      <c r="D220" s="283"/>
      <c r="E220" s="283"/>
      <c r="F220" s="283"/>
      <c r="G220" s="283"/>
      <c r="H220" s="283"/>
      <c r="I220" s="283"/>
      <c r="J220" s="283"/>
      <c r="K220" s="283"/>
      <c r="L220" s="283"/>
      <c r="M220" s="283"/>
      <c r="N220" s="283"/>
      <c r="O220" s="283"/>
      <c r="P220" s="283"/>
      <c r="Q220" s="283"/>
      <c r="R220" s="283"/>
      <c r="S220" s="283"/>
      <c r="T220" s="283"/>
      <c r="U220" s="283"/>
      <c r="V220" s="283"/>
      <c r="W220" s="283"/>
      <c r="X220" s="283"/>
      <c r="Y220" s="283"/>
      <c r="Z220" s="283"/>
    </row>
    <row r="221" ht="14.25" customHeight="1">
      <c r="A221" s="283"/>
      <c r="B221" s="283"/>
      <c r="C221" s="283"/>
      <c r="D221" s="283"/>
      <c r="E221" s="283"/>
      <c r="F221" s="283"/>
      <c r="G221" s="283"/>
      <c r="H221" s="283"/>
      <c r="I221" s="283"/>
      <c r="J221" s="283"/>
      <c r="K221" s="283"/>
      <c r="L221" s="283"/>
      <c r="M221" s="283"/>
      <c r="N221" s="283"/>
      <c r="O221" s="283"/>
      <c r="P221" s="283"/>
      <c r="Q221" s="283"/>
      <c r="R221" s="283"/>
      <c r="S221" s="283"/>
      <c r="T221" s="283"/>
      <c r="U221" s="283"/>
      <c r="V221" s="283"/>
      <c r="W221" s="283"/>
      <c r="X221" s="283"/>
      <c r="Y221" s="283"/>
      <c r="Z221" s="283"/>
    </row>
    <row r="222" ht="14.25" customHeight="1">
      <c r="A222" s="283"/>
      <c r="B222" s="283"/>
      <c r="C222" s="283"/>
      <c r="D222" s="283"/>
      <c r="E222" s="283"/>
      <c r="F222" s="283"/>
      <c r="G222" s="283"/>
      <c r="H222" s="283"/>
      <c r="I222" s="283"/>
      <c r="J222" s="283"/>
      <c r="K222" s="283"/>
      <c r="L222" s="283"/>
      <c r="M222" s="283"/>
      <c r="N222" s="283"/>
      <c r="O222" s="283"/>
      <c r="P222" s="283"/>
      <c r="Q222" s="283"/>
      <c r="R222" s="283"/>
      <c r="S222" s="283"/>
      <c r="T222" s="283"/>
      <c r="U222" s="283"/>
      <c r="V222" s="283"/>
      <c r="W222" s="283"/>
      <c r="X222" s="283"/>
      <c r="Y222" s="283"/>
      <c r="Z222" s="283"/>
    </row>
    <row r="223" ht="14.25" customHeight="1">
      <c r="A223" s="283"/>
      <c r="B223" s="283"/>
      <c r="C223" s="283"/>
      <c r="D223" s="283"/>
      <c r="E223" s="283"/>
      <c r="F223" s="283"/>
      <c r="G223" s="283"/>
      <c r="H223" s="283"/>
      <c r="I223" s="283"/>
      <c r="J223" s="283"/>
      <c r="K223" s="283"/>
      <c r="L223" s="283"/>
      <c r="M223" s="283"/>
      <c r="N223" s="283"/>
      <c r="O223" s="283"/>
      <c r="P223" s="283"/>
      <c r="Q223" s="283"/>
      <c r="R223" s="283"/>
      <c r="S223" s="283"/>
      <c r="T223" s="283"/>
      <c r="U223" s="283"/>
      <c r="V223" s="283"/>
      <c r="W223" s="283"/>
      <c r="X223" s="283"/>
      <c r="Y223" s="283"/>
      <c r="Z223" s="283"/>
    </row>
    <row r="224" ht="14.25" customHeight="1">
      <c r="A224" s="283"/>
      <c r="B224" s="283"/>
      <c r="C224" s="283"/>
      <c r="D224" s="283"/>
      <c r="E224" s="283"/>
      <c r="F224" s="283"/>
      <c r="G224" s="283"/>
      <c r="H224" s="283"/>
      <c r="I224" s="283"/>
      <c r="J224" s="283"/>
      <c r="K224" s="283"/>
      <c r="L224" s="283"/>
      <c r="M224" s="283"/>
      <c r="N224" s="283"/>
      <c r="O224" s="283"/>
      <c r="P224" s="283"/>
      <c r="Q224" s="283"/>
      <c r="R224" s="283"/>
      <c r="S224" s="283"/>
      <c r="T224" s="283"/>
      <c r="U224" s="283"/>
      <c r="V224" s="283"/>
      <c r="W224" s="283"/>
      <c r="X224" s="283"/>
      <c r="Y224" s="283"/>
      <c r="Z224" s="283"/>
    </row>
    <row r="225" ht="14.25" customHeight="1">
      <c r="A225" s="283"/>
      <c r="B225" s="283"/>
      <c r="C225" s="283"/>
      <c r="D225" s="283"/>
      <c r="E225" s="283"/>
      <c r="F225" s="283"/>
      <c r="G225" s="283"/>
      <c r="H225" s="283"/>
      <c r="I225" s="283"/>
      <c r="J225" s="283"/>
      <c r="K225" s="283"/>
      <c r="L225" s="283"/>
      <c r="M225" s="283"/>
      <c r="N225" s="283"/>
      <c r="O225" s="283"/>
      <c r="P225" s="283"/>
      <c r="Q225" s="283"/>
      <c r="R225" s="283"/>
      <c r="S225" s="283"/>
      <c r="T225" s="283"/>
      <c r="U225" s="283"/>
      <c r="V225" s="283"/>
      <c r="W225" s="283"/>
      <c r="X225" s="283"/>
      <c r="Y225" s="283"/>
      <c r="Z225" s="283"/>
    </row>
    <row r="226" ht="14.25" customHeight="1">
      <c r="A226" s="283"/>
      <c r="B226" s="283"/>
      <c r="C226" s="283"/>
      <c r="D226" s="283"/>
      <c r="E226" s="283"/>
      <c r="F226" s="283"/>
      <c r="G226" s="283"/>
      <c r="H226" s="283"/>
      <c r="I226" s="283"/>
      <c r="J226" s="283"/>
      <c r="K226" s="283"/>
      <c r="L226" s="283"/>
      <c r="M226" s="283"/>
      <c r="N226" s="283"/>
      <c r="O226" s="283"/>
      <c r="P226" s="283"/>
      <c r="Q226" s="283"/>
      <c r="R226" s="283"/>
      <c r="S226" s="283"/>
      <c r="T226" s="283"/>
      <c r="U226" s="283"/>
      <c r="V226" s="283"/>
      <c r="W226" s="283"/>
      <c r="X226" s="283"/>
      <c r="Y226" s="283"/>
      <c r="Z226" s="283"/>
    </row>
    <row r="227" ht="14.25" customHeight="1">
      <c r="A227" s="283"/>
      <c r="B227" s="283"/>
      <c r="C227" s="283"/>
      <c r="D227" s="283"/>
      <c r="E227" s="283"/>
      <c r="F227" s="283"/>
      <c r="G227" s="283"/>
      <c r="H227" s="283"/>
      <c r="I227" s="283"/>
      <c r="J227" s="283"/>
      <c r="K227" s="283"/>
      <c r="L227" s="283"/>
      <c r="M227" s="283"/>
      <c r="N227" s="283"/>
      <c r="O227" s="283"/>
      <c r="P227" s="283"/>
      <c r="Q227" s="283"/>
      <c r="R227" s="283"/>
      <c r="S227" s="283"/>
      <c r="T227" s="283"/>
      <c r="U227" s="283"/>
      <c r="V227" s="283"/>
      <c r="W227" s="283"/>
      <c r="X227" s="283"/>
      <c r="Y227" s="283"/>
      <c r="Z227" s="283"/>
    </row>
    <row r="228" ht="14.25" customHeight="1">
      <c r="A228" s="283"/>
      <c r="B228" s="283"/>
      <c r="C228" s="283"/>
      <c r="D228" s="283"/>
      <c r="E228" s="283"/>
      <c r="F228" s="283"/>
      <c r="G228" s="283"/>
      <c r="H228" s="283"/>
      <c r="I228" s="283"/>
      <c r="J228" s="283"/>
      <c r="K228" s="283"/>
      <c r="L228" s="283"/>
      <c r="M228" s="283"/>
      <c r="N228" s="283"/>
      <c r="O228" s="283"/>
      <c r="P228" s="283"/>
      <c r="Q228" s="283"/>
      <c r="R228" s="283"/>
      <c r="S228" s="283"/>
      <c r="T228" s="283"/>
      <c r="U228" s="283"/>
      <c r="V228" s="283"/>
      <c r="W228" s="283"/>
      <c r="X228" s="283"/>
      <c r="Y228" s="283"/>
      <c r="Z228" s="283"/>
    </row>
    <row r="229" ht="14.25" customHeight="1">
      <c r="A229" s="283"/>
      <c r="B229" s="283"/>
      <c r="C229" s="283"/>
      <c r="D229" s="283"/>
      <c r="E229" s="283"/>
      <c r="F229" s="283"/>
      <c r="G229" s="283"/>
      <c r="H229" s="283"/>
      <c r="I229" s="283"/>
      <c r="J229" s="283"/>
      <c r="K229" s="283"/>
      <c r="L229" s="283"/>
      <c r="M229" s="283"/>
      <c r="N229" s="283"/>
      <c r="O229" s="283"/>
      <c r="P229" s="283"/>
      <c r="Q229" s="283"/>
      <c r="R229" s="283"/>
      <c r="S229" s="283"/>
      <c r="T229" s="283"/>
      <c r="U229" s="283"/>
      <c r="V229" s="283"/>
      <c r="W229" s="283"/>
      <c r="X229" s="283"/>
      <c r="Y229" s="283"/>
      <c r="Z229" s="283"/>
    </row>
    <row r="230" ht="14.25" customHeight="1">
      <c r="A230" s="283"/>
      <c r="B230" s="283"/>
      <c r="C230" s="283"/>
      <c r="D230" s="283"/>
      <c r="E230" s="283"/>
      <c r="F230" s="283"/>
      <c r="G230" s="283"/>
      <c r="H230" s="283"/>
      <c r="I230" s="283"/>
      <c r="J230" s="283"/>
      <c r="K230" s="283"/>
      <c r="L230" s="283"/>
      <c r="M230" s="283"/>
      <c r="N230" s="283"/>
      <c r="O230" s="283"/>
      <c r="P230" s="283"/>
      <c r="Q230" s="283"/>
      <c r="R230" s="283"/>
      <c r="S230" s="283"/>
      <c r="T230" s="283"/>
      <c r="U230" s="283"/>
      <c r="V230" s="283"/>
      <c r="W230" s="283"/>
      <c r="X230" s="283"/>
      <c r="Y230" s="283"/>
      <c r="Z230" s="283"/>
    </row>
    <row r="231" ht="14.25" customHeight="1">
      <c r="A231" s="283"/>
      <c r="B231" s="283"/>
      <c r="C231" s="283"/>
      <c r="D231" s="283"/>
      <c r="E231" s="283"/>
      <c r="F231" s="283"/>
      <c r="G231" s="283"/>
      <c r="H231" s="283"/>
      <c r="I231" s="283"/>
      <c r="J231" s="283"/>
      <c r="K231" s="283"/>
      <c r="L231" s="283"/>
      <c r="M231" s="283"/>
      <c r="N231" s="283"/>
      <c r="O231" s="283"/>
      <c r="P231" s="283"/>
      <c r="Q231" s="283"/>
      <c r="R231" s="283"/>
      <c r="S231" s="283"/>
      <c r="T231" s="283"/>
      <c r="U231" s="283"/>
      <c r="V231" s="283"/>
      <c r="W231" s="283"/>
      <c r="X231" s="283"/>
      <c r="Y231" s="283"/>
      <c r="Z231" s="283"/>
    </row>
    <row r="232" ht="14.25" customHeight="1">
      <c r="A232" s="283"/>
      <c r="B232" s="283"/>
      <c r="C232" s="283"/>
      <c r="D232" s="283"/>
      <c r="E232" s="283"/>
      <c r="F232" s="283"/>
      <c r="G232" s="283"/>
      <c r="H232" s="283"/>
      <c r="I232" s="283"/>
      <c r="J232" s="283"/>
      <c r="K232" s="283"/>
      <c r="L232" s="283"/>
      <c r="M232" s="283"/>
      <c r="N232" s="283"/>
      <c r="O232" s="283"/>
      <c r="P232" s="283"/>
      <c r="Q232" s="283"/>
      <c r="R232" s="283"/>
      <c r="S232" s="283"/>
      <c r="T232" s="283"/>
      <c r="U232" s="283"/>
      <c r="V232" s="283"/>
      <c r="W232" s="283"/>
      <c r="X232" s="283"/>
      <c r="Y232" s="283"/>
      <c r="Z232" s="283"/>
    </row>
    <row r="233" ht="14.25" customHeight="1">
      <c r="A233" s="283"/>
      <c r="B233" s="283"/>
      <c r="C233" s="283"/>
      <c r="D233" s="283"/>
      <c r="E233" s="283"/>
      <c r="F233" s="283"/>
      <c r="G233" s="283"/>
      <c r="H233" s="283"/>
      <c r="I233" s="283"/>
      <c r="J233" s="283"/>
      <c r="K233" s="283"/>
      <c r="L233" s="283"/>
      <c r="M233" s="283"/>
      <c r="N233" s="283"/>
      <c r="O233" s="283"/>
      <c r="P233" s="283"/>
      <c r="Q233" s="283"/>
      <c r="R233" s="283"/>
      <c r="S233" s="283"/>
      <c r="T233" s="283"/>
      <c r="U233" s="283"/>
      <c r="V233" s="283"/>
      <c r="W233" s="283"/>
      <c r="X233" s="283"/>
      <c r="Y233" s="283"/>
      <c r="Z233" s="283"/>
    </row>
    <row r="234" ht="14.25" customHeight="1">
      <c r="A234" s="283"/>
      <c r="B234" s="283"/>
      <c r="C234" s="283"/>
      <c r="D234" s="283"/>
      <c r="E234" s="283"/>
      <c r="F234" s="283"/>
      <c r="G234" s="283"/>
      <c r="H234" s="283"/>
      <c r="I234" s="283"/>
      <c r="J234" s="283"/>
      <c r="K234" s="283"/>
      <c r="L234" s="283"/>
      <c r="M234" s="283"/>
      <c r="N234" s="283"/>
      <c r="O234" s="283"/>
      <c r="P234" s="283"/>
      <c r="Q234" s="283"/>
      <c r="R234" s="283"/>
      <c r="S234" s="283"/>
      <c r="T234" s="283"/>
      <c r="U234" s="283"/>
      <c r="V234" s="283"/>
      <c r="W234" s="283"/>
      <c r="X234" s="283"/>
      <c r="Y234" s="283"/>
      <c r="Z234" s="283"/>
    </row>
    <row r="235" ht="14.25" customHeight="1">
      <c r="A235" s="283"/>
      <c r="B235" s="283"/>
      <c r="C235" s="283"/>
      <c r="D235" s="283"/>
      <c r="E235" s="283"/>
      <c r="F235" s="283"/>
      <c r="G235" s="283"/>
      <c r="H235" s="283"/>
      <c r="I235" s="283"/>
      <c r="J235" s="283"/>
      <c r="K235" s="283"/>
      <c r="L235" s="283"/>
      <c r="M235" s="283"/>
      <c r="N235" s="283"/>
      <c r="O235" s="283"/>
      <c r="P235" s="283"/>
      <c r="Q235" s="283"/>
      <c r="R235" s="283"/>
      <c r="S235" s="283"/>
      <c r="T235" s="283"/>
      <c r="U235" s="283"/>
      <c r="V235" s="283"/>
      <c r="W235" s="283"/>
      <c r="X235" s="283"/>
      <c r="Y235" s="283"/>
      <c r="Z235" s="283"/>
    </row>
    <row r="236" ht="14.25" customHeight="1">
      <c r="A236" s="283"/>
      <c r="B236" s="283"/>
      <c r="C236" s="283"/>
      <c r="D236" s="283"/>
      <c r="E236" s="283"/>
      <c r="F236" s="283"/>
      <c r="G236" s="283"/>
      <c r="H236" s="283"/>
      <c r="I236" s="283"/>
      <c r="J236" s="283"/>
      <c r="K236" s="283"/>
      <c r="L236" s="283"/>
      <c r="M236" s="283"/>
      <c r="N236" s="283"/>
      <c r="O236" s="283"/>
      <c r="P236" s="283"/>
      <c r="Q236" s="283"/>
      <c r="R236" s="283"/>
      <c r="S236" s="283"/>
      <c r="T236" s="283"/>
      <c r="U236" s="283"/>
      <c r="V236" s="283"/>
      <c r="W236" s="283"/>
      <c r="X236" s="283"/>
      <c r="Y236" s="283"/>
      <c r="Z236" s="283"/>
    </row>
    <row r="237" ht="14.25" customHeight="1">
      <c r="A237" s="283"/>
      <c r="B237" s="283"/>
      <c r="C237" s="283"/>
      <c r="D237" s="283"/>
      <c r="E237" s="283"/>
      <c r="F237" s="283"/>
      <c r="G237" s="283"/>
      <c r="H237" s="283"/>
      <c r="I237" s="283"/>
      <c r="J237" s="283"/>
      <c r="K237" s="283"/>
      <c r="L237" s="283"/>
      <c r="M237" s="283"/>
      <c r="N237" s="283"/>
      <c r="O237" s="283"/>
      <c r="P237" s="283"/>
      <c r="Q237" s="283"/>
      <c r="R237" s="283"/>
      <c r="S237" s="283"/>
      <c r="T237" s="283"/>
      <c r="U237" s="283"/>
      <c r="V237" s="283"/>
      <c r="W237" s="283"/>
      <c r="X237" s="283"/>
      <c r="Y237" s="283"/>
      <c r="Z237" s="283"/>
    </row>
    <row r="238" ht="14.25" customHeight="1">
      <c r="A238" s="283"/>
      <c r="B238" s="283"/>
      <c r="C238" s="283"/>
      <c r="D238" s="283"/>
      <c r="E238" s="283"/>
      <c r="F238" s="283"/>
      <c r="G238" s="283"/>
      <c r="H238" s="283"/>
      <c r="I238" s="283"/>
      <c r="J238" s="283"/>
      <c r="K238" s="283"/>
      <c r="L238" s="283"/>
      <c r="M238" s="283"/>
      <c r="N238" s="283"/>
      <c r="O238" s="283"/>
      <c r="P238" s="283"/>
      <c r="Q238" s="283"/>
      <c r="R238" s="283"/>
      <c r="S238" s="283"/>
      <c r="T238" s="283"/>
      <c r="U238" s="283"/>
      <c r="V238" s="283"/>
      <c r="W238" s="283"/>
      <c r="X238" s="283"/>
      <c r="Y238" s="283"/>
      <c r="Z238" s="283"/>
    </row>
    <row r="239" ht="14.25" customHeight="1">
      <c r="A239" s="283"/>
      <c r="B239" s="283"/>
      <c r="C239" s="283"/>
      <c r="D239" s="283"/>
      <c r="E239" s="283"/>
      <c r="F239" s="283"/>
      <c r="G239" s="283"/>
      <c r="H239" s="283"/>
      <c r="I239" s="283"/>
      <c r="J239" s="283"/>
      <c r="K239" s="283"/>
      <c r="L239" s="283"/>
      <c r="M239" s="283"/>
      <c r="N239" s="283"/>
      <c r="O239" s="283"/>
      <c r="P239" s="283"/>
      <c r="Q239" s="283"/>
      <c r="R239" s="283"/>
      <c r="S239" s="283"/>
      <c r="T239" s="283"/>
      <c r="U239" s="283"/>
      <c r="V239" s="283"/>
      <c r="W239" s="283"/>
      <c r="X239" s="283"/>
      <c r="Y239" s="283"/>
      <c r="Z239" s="283"/>
    </row>
    <row r="240" ht="14.25" customHeight="1">
      <c r="A240" s="283"/>
      <c r="B240" s="283"/>
      <c r="C240" s="283"/>
      <c r="D240" s="283"/>
      <c r="E240" s="283"/>
      <c r="F240" s="283"/>
      <c r="G240" s="283"/>
      <c r="H240" s="283"/>
      <c r="I240" s="283"/>
      <c r="J240" s="283"/>
      <c r="K240" s="283"/>
      <c r="L240" s="283"/>
      <c r="M240" s="283"/>
      <c r="N240" s="283"/>
      <c r="O240" s="283"/>
      <c r="P240" s="283"/>
      <c r="Q240" s="283"/>
      <c r="R240" s="283"/>
      <c r="S240" s="283"/>
      <c r="T240" s="283"/>
      <c r="U240" s="283"/>
      <c r="V240" s="283"/>
      <c r="W240" s="283"/>
      <c r="X240" s="283"/>
      <c r="Y240" s="283"/>
      <c r="Z240" s="283"/>
    </row>
    <row r="241" ht="14.25" customHeight="1">
      <c r="A241" s="283"/>
      <c r="B241" s="283"/>
      <c r="C241" s="283"/>
      <c r="D241" s="283"/>
      <c r="E241" s="283"/>
      <c r="F241" s="283"/>
      <c r="G241" s="283"/>
      <c r="H241" s="283"/>
      <c r="I241" s="283"/>
      <c r="J241" s="283"/>
      <c r="K241" s="283"/>
      <c r="L241" s="283"/>
      <c r="M241" s="283"/>
      <c r="N241" s="283"/>
      <c r="O241" s="283"/>
      <c r="P241" s="283"/>
      <c r="Q241" s="283"/>
      <c r="R241" s="283"/>
      <c r="S241" s="283"/>
      <c r="T241" s="283"/>
      <c r="U241" s="283"/>
      <c r="V241" s="283"/>
      <c r="W241" s="283"/>
      <c r="X241" s="283"/>
      <c r="Y241" s="283"/>
      <c r="Z241" s="283"/>
    </row>
    <row r="242" ht="14.25" customHeight="1">
      <c r="A242" s="283"/>
      <c r="B242" s="283"/>
      <c r="C242" s="283"/>
      <c r="D242" s="283"/>
      <c r="E242" s="283"/>
      <c r="F242" s="283"/>
      <c r="G242" s="283"/>
      <c r="H242" s="283"/>
      <c r="I242" s="283"/>
      <c r="J242" s="283"/>
      <c r="K242" s="283"/>
      <c r="L242" s="283"/>
      <c r="M242" s="283"/>
      <c r="N242" s="283"/>
      <c r="O242" s="283"/>
      <c r="P242" s="283"/>
      <c r="Q242" s="283"/>
      <c r="R242" s="283"/>
      <c r="S242" s="283"/>
      <c r="T242" s="283"/>
      <c r="U242" s="283"/>
      <c r="V242" s="283"/>
      <c r="W242" s="283"/>
      <c r="X242" s="283"/>
      <c r="Y242" s="283"/>
      <c r="Z242" s="283"/>
    </row>
    <row r="243" ht="14.25" customHeight="1">
      <c r="A243" s="283"/>
      <c r="B243" s="283"/>
      <c r="C243" s="283"/>
      <c r="D243" s="283"/>
      <c r="E243" s="283"/>
      <c r="F243" s="283"/>
      <c r="G243" s="283"/>
      <c r="H243" s="283"/>
      <c r="I243" s="283"/>
      <c r="J243" s="283"/>
      <c r="K243" s="283"/>
      <c r="L243" s="283"/>
      <c r="M243" s="283"/>
      <c r="N243" s="283"/>
      <c r="O243" s="283"/>
      <c r="P243" s="283"/>
      <c r="Q243" s="283"/>
      <c r="R243" s="283"/>
      <c r="S243" s="283"/>
      <c r="T243" s="283"/>
      <c r="U243" s="283"/>
      <c r="V243" s="283"/>
      <c r="W243" s="283"/>
      <c r="X243" s="283"/>
      <c r="Y243" s="283"/>
      <c r="Z243" s="283"/>
    </row>
    <row r="244" ht="14.25" customHeight="1">
      <c r="A244" s="283"/>
      <c r="B244" s="283"/>
      <c r="C244" s="283"/>
      <c r="D244" s="283"/>
      <c r="E244" s="283"/>
      <c r="F244" s="283"/>
      <c r="G244" s="283"/>
      <c r="H244" s="283"/>
      <c r="I244" s="283"/>
      <c r="J244" s="283"/>
      <c r="K244" s="283"/>
      <c r="L244" s="283"/>
      <c r="M244" s="283"/>
      <c r="N244" s="283"/>
      <c r="O244" s="283"/>
      <c r="P244" s="283"/>
      <c r="Q244" s="283"/>
      <c r="R244" s="283"/>
      <c r="S244" s="283"/>
      <c r="T244" s="283"/>
      <c r="U244" s="283"/>
      <c r="V244" s="283"/>
      <c r="W244" s="283"/>
      <c r="X244" s="283"/>
      <c r="Y244" s="283"/>
      <c r="Z244" s="283"/>
    </row>
    <row r="245" ht="14.25" customHeight="1">
      <c r="A245" s="283"/>
      <c r="B245" s="283"/>
      <c r="C245" s="283"/>
      <c r="D245" s="283"/>
      <c r="E245" s="283"/>
      <c r="F245" s="283"/>
      <c r="G245" s="283"/>
      <c r="H245" s="283"/>
      <c r="I245" s="283"/>
      <c r="J245" s="283"/>
      <c r="K245" s="283"/>
      <c r="L245" s="283"/>
      <c r="M245" s="283"/>
      <c r="N245" s="283"/>
      <c r="O245" s="283"/>
      <c r="P245" s="283"/>
      <c r="Q245" s="283"/>
      <c r="R245" s="283"/>
      <c r="S245" s="283"/>
      <c r="T245" s="283"/>
      <c r="U245" s="283"/>
      <c r="V245" s="283"/>
      <c r="W245" s="283"/>
      <c r="X245" s="283"/>
      <c r="Y245" s="283"/>
      <c r="Z245" s="283"/>
    </row>
    <row r="246" ht="14.25" customHeight="1">
      <c r="A246" s="283"/>
      <c r="B246" s="283"/>
      <c r="C246" s="283"/>
      <c r="D246" s="283"/>
      <c r="E246" s="283"/>
      <c r="F246" s="283"/>
      <c r="G246" s="283"/>
      <c r="H246" s="283"/>
      <c r="I246" s="283"/>
      <c r="J246" s="283"/>
      <c r="K246" s="283"/>
      <c r="L246" s="283"/>
      <c r="M246" s="283"/>
      <c r="N246" s="283"/>
      <c r="O246" s="283"/>
      <c r="P246" s="283"/>
      <c r="Q246" s="283"/>
      <c r="R246" s="283"/>
      <c r="S246" s="283"/>
      <c r="T246" s="283"/>
      <c r="U246" s="283"/>
      <c r="V246" s="283"/>
      <c r="W246" s="283"/>
      <c r="X246" s="283"/>
      <c r="Y246" s="283"/>
      <c r="Z246" s="283"/>
    </row>
    <row r="247" ht="14.25" customHeight="1">
      <c r="A247" s="283"/>
      <c r="B247" s="283"/>
      <c r="C247" s="283"/>
      <c r="D247" s="283"/>
      <c r="E247" s="283"/>
      <c r="F247" s="283"/>
      <c r="G247" s="283"/>
      <c r="H247" s="283"/>
      <c r="I247" s="283"/>
      <c r="J247" s="283"/>
      <c r="K247" s="283"/>
      <c r="L247" s="283"/>
      <c r="M247" s="283"/>
      <c r="N247" s="283"/>
      <c r="O247" s="283"/>
      <c r="P247" s="283"/>
      <c r="Q247" s="283"/>
      <c r="R247" s="283"/>
      <c r="S247" s="283"/>
      <c r="T247" s="283"/>
      <c r="U247" s="283"/>
      <c r="V247" s="283"/>
      <c r="W247" s="283"/>
      <c r="X247" s="283"/>
      <c r="Y247" s="283"/>
      <c r="Z247" s="283"/>
    </row>
    <row r="248" ht="14.25" customHeight="1">
      <c r="A248" s="283"/>
      <c r="B248" s="283"/>
      <c r="C248" s="283"/>
      <c r="D248" s="283"/>
      <c r="E248" s="283"/>
      <c r="F248" s="283"/>
      <c r="G248" s="283"/>
      <c r="H248" s="283"/>
      <c r="I248" s="283"/>
      <c r="J248" s="283"/>
      <c r="K248" s="283"/>
      <c r="L248" s="283"/>
      <c r="M248" s="283"/>
      <c r="N248" s="283"/>
      <c r="O248" s="283"/>
      <c r="P248" s="283"/>
      <c r="Q248" s="283"/>
      <c r="R248" s="283"/>
      <c r="S248" s="283"/>
      <c r="T248" s="283"/>
      <c r="U248" s="283"/>
      <c r="V248" s="283"/>
      <c r="W248" s="283"/>
      <c r="X248" s="283"/>
      <c r="Y248" s="283"/>
      <c r="Z248" s="283"/>
    </row>
    <row r="249" ht="14.25" customHeight="1">
      <c r="A249" s="283"/>
      <c r="B249" s="283"/>
      <c r="C249" s="283"/>
      <c r="D249" s="283"/>
      <c r="E249" s="283"/>
      <c r="F249" s="283"/>
      <c r="G249" s="283"/>
      <c r="H249" s="283"/>
      <c r="I249" s="283"/>
      <c r="J249" s="283"/>
      <c r="K249" s="283"/>
      <c r="L249" s="283"/>
      <c r="M249" s="283"/>
      <c r="N249" s="283"/>
      <c r="O249" s="283"/>
      <c r="P249" s="283"/>
      <c r="Q249" s="283"/>
      <c r="R249" s="283"/>
      <c r="S249" s="283"/>
      <c r="T249" s="283"/>
      <c r="U249" s="283"/>
      <c r="V249" s="283"/>
      <c r="W249" s="283"/>
      <c r="X249" s="283"/>
      <c r="Y249" s="283"/>
      <c r="Z249" s="283"/>
    </row>
    <row r="250" ht="14.25" customHeight="1">
      <c r="A250" s="283"/>
      <c r="B250" s="283"/>
      <c r="C250" s="283"/>
      <c r="D250" s="283"/>
      <c r="E250" s="283"/>
      <c r="F250" s="283"/>
      <c r="G250" s="283"/>
      <c r="H250" s="283"/>
      <c r="I250" s="283"/>
      <c r="J250" s="283"/>
      <c r="K250" s="283"/>
      <c r="L250" s="283"/>
      <c r="M250" s="283"/>
      <c r="N250" s="283"/>
      <c r="O250" s="283"/>
      <c r="P250" s="283"/>
      <c r="Q250" s="283"/>
      <c r="R250" s="283"/>
      <c r="S250" s="283"/>
      <c r="T250" s="283"/>
      <c r="U250" s="283"/>
      <c r="V250" s="283"/>
      <c r="W250" s="283"/>
      <c r="X250" s="283"/>
      <c r="Y250" s="283"/>
      <c r="Z250" s="283"/>
    </row>
    <row r="251" ht="14.25" customHeight="1">
      <c r="A251" s="283"/>
      <c r="B251" s="283"/>
      <c r="C251" s="283"/>
      <c r="D251" s="283"/>
      <c r="E251" s="283"/>
      <c r="F251" s="283"/>
      <c r="G251" s="283"/>
      <c r="H251" s="283"/>
      <c r="I251" s="283"/>
      <c r="J251" s="283"/>
      <c r="K251" s="283"/>
      <c r="L251" s="283"/>
      <c r="M251" s="283"/>
      <c r="N251" s="283"/>
      <c r="O251" s="283"/>
      <c r="P251" s="283"/>
      <c r="Q251" s="283"/>
      <c r="R251" s="283"/>
      <c r="S251" s="283"/>
      <c r="T251" s="283"/>
      <c r="U251" s="283"/>
      <c r="V251" s="283"/>
      <c r="W251" s="283"/>
      <c r="X251" s="283"/>
      <c r="Y251" s="283"/>
      <c r="Z251" s="283"/>
    </row>
    <row r="252" ht="14.25" customHeight="1">
      <c r="A252" s="283"/>
      <c r="B252" s="283"/>
      <c r="C252" s="283"/>
      <c r="D252" s="283"/>
      <c r="E252" s="283"/>
      <c r="F252" s="283"/>
      <c r="G252" s="283"/>
      <c r="H252" s="283"/>
      <c r="I252" s="283"/>
      <c r="J252" s="283"/>
      <c r="K252" s="283"/>
      <c r="L252" s="283"/>
      <c r="M252" s="283"/>
      <c r="N252" s="283"/>
      <c r="O252" s="283"/>
      <c r="P252" s="283"/>
      <c r="Q252" s="283"/>
      <c r="R252" s="283"/>
      <c r="S252" s="283"/>
      <c r="T252" s="283"/>
      <c r="U252" s="283"/>
      <c r="V252" s="283"/>
      <c r="W252" s="283"/>
      <c r="X252" s="283"/>
      <c r="Y252" s="283"/>
      <c r="Z252" s="283"/>
    </row>
    <row r="253" ht="14.25" customHeight="1">
      <c r="A253" s="283"/>
      <c r="B253" s="283"/>
      <c r="C253" s="283"/>
      <c r="D253" s="283"/>
      <c r="E253" s="283"/>
      <c r="F253" s="283"/>
      <c r="G253" s="283"/>
      <c r="H253" s="283"/>
      <c r="I253" s="283"/>
      <c r="J253" s="283"/>
      <c r="K253" s="283"/>
      <c r="L253" s="283"/>
      <c r="M253" s="283"/>
      <c r="N253" s="283"/>
      <c r="O253" s="283"/>
      <c r="P253" s="283"/>
      <c r="Q253" s="283"/>
      <c r="R253" s="283"/>
      <c r="S253" s="283"/>
      <c r="T253" s="283"/>
      <c r="U253" s="283"/>
      <c r="V253" s="283"/>
      <c r="W253" s="283"/>
      <c r="X253" s="283"/>
      <c r="Y253" s="283"/>
      <c r="Z253" s="283"/>
    </row>
    <row r="254" ht="14.25" customHeight="1">
      <c r="A254" s="283"/>
      <c r="B254" s="283"/>
      <c r="C254" s="283"/>
      <c r="D254" s="283"/>
      <c r="E254" s="283"/>
      <c r="F254" s="283"/>
      <c r="G254" s="283"/>
      <c r="H254" s="283"/>
      <c r="I254" s="283"/>
      <c r="J254" s="283"/>
      <c r="K254" s="283"/>
      <c r="L254" s="283"/>
      <c r="M254" s="283"/>
      <c r="N254" s="283"/>
      <c r="O254" s="283"/>
      <c r="P254" s="283"/>
      <c r="Q254" s="283"/>
      <c r="R254" s="283"/>
      <c r="S254" s="283"/>
      <c r="T254" s="283"/>
      <c r="U254" s="283"/>
      <c r="V254" s="283"/>
      <c r="W254" s="283"/>
      <c r="X254" s="283"/>
      <c r="Y254" s="283"/>
      <c r="Z254" s="283"/>
    </row>
    <row r="255" ht="14.25" customHeight="1">
      <c r="A255" s="283"/>
      <c r="B255" s="283"/>
      <c r="C255" s="283"/>
      <c r="D255" s="283"/>
      <c r="E255" s="283"/>
      <c r="F255" s="283"/>
      <c r="G255" s="283"/>
      <c r="H255" s="283"/>
      <c r="I255" s="283"/>
      <c r="J255" s="283"/>
      <c r="K255" s="283"/>
      <c r="L255" s="283"/>
      <c r="M255" s="283"/>
      <c r="N255" s="283"/>
      <c r="O255" s="283"/>
      <c r="P255" s="283"/>
      <c r="Q255" s="283"/>
      <c r="R255" s="283"/>
      <c r="S255" s="283"/>
      <c r="T255" s="283"/>
      <c r="U255" s="283"/>
      <c r="V255" s="283"/>
      <c r="W255" s="283"/>
      <c r="X255" s="283"/>
      <c r="Y255" s="283"/>
      <c r="Z255" s="283"/>
    </row>
    <row r="256" ht="14.25" customHeight="1">
      <c r="A256" s="283"/>
      <c r="B256" s="283"/>
      <c r="C256" s="283"/>
      <c r="D256" s="283"/>
      <c r="E256" s="283"/>
      <c r="F256" s="283"/>
      <c r="G256" s="283"/>
      <c r="H256" s="283"/>
      <c r="I256" s="283"/>
      <c r="J256" s="283"/>
      <c r="K256" s="283"/>
      <c r="L256" s="283"/>
      <c r="M256" s="283"/>
      <c r="N256" s="283"/>
      <c r="O256" s="283"/>
      <c r="P256" s="283"/>
      <c r="Q256" s="283"/>
      <c r="R256" s="283"/>
      <c r="S256" s="283"/>
      <c r="T256" s="283"/>
      <c r="U256" s="283"/>
      <c r="V256" s="283"/>
      <c r="W256" s="283"/>
      <c r="X256" s="283"/>
      <c r="Y256" s="283"/>
      <c r="Z256" s="283"/>
    </row>
    <row r="257" ht="14.25" customHeight="1">
      <c r="A257" s="283"/>
      <c r="B257" s="283"/>
      <c r="C257" s="283"/>
      <c r="D257" s="283"/>
      <c r="E257" s="283"/>
      <c r="F257" s="283"/>
      <c r="G257" s="283"/>
      <c r="H257" s="283"/>
      <c r="I257" s="283"/>
      <c r="J257" s="283"/>
      <c r="K257" s="283"/>
      <c r="L257" s="283"/>
      <c r="M257" s="283"/>
      <c r="N257" s="283"/>
      <c r="O257" s="283"/>
      <c r="P257" s="283"/>
      <c r="Q257" s="283"/>
      <c r="R257" s="283"/>
      <c r="S257" s="283"/>
      <c r="T257" s="283"/>
      <c r="U257" s="283"/>
      <c r="V257" s="283"/>
      <c r="W257" s="283"/>
      <c r="X257" s="283"/>
      <c r="Y257" s="283"/>
      <c r="Z257" s="283"/>
    </row>
    <row r="258" ht="14.25" customHeight="1">
      <c r="A258" s="283"/>
      <c r="B258" s="283"/>
      <c r="C258" s="283"/>
      <c r="D258" s="283"/>
      <c r="E258" s="283"/>
      <c r="F258" s="283"/>
      <c r="G258" s="283"/>
      <c r="H258" s="283"/>
      <c r="I258" s="283"/>
      <c r="J258" s="283"/>
      <c r="K258" s="283"/>
      <c r="L258" s="283"/>
      <c r="M258" s="283"/>
      <c r="N258" s="283"/>
      <c r="O258" s="283"/>
      <c r="P258" s="283"/>
      <c r="Q258" s="283"/>
      <c r="R258" s="283"/>
      <c r="S258" s="283"/>
      <c r="T258" s="283"/>
      <c r="U258" s="283"/>
      <c r="V258" s="283"/>
      <c r="W258" s="283"/>
      <c r="X258" s="283"/>
      <c r="Y258" s="283"/>
      <c r="Z258" s="283"/>
    </row>
    <row r="259" ht="14.25" customHeight="1">
      <c r="A259" s="283"/>
      <c r="B259" s="283"/>
      <c r="C259" s="283"/>
      <c r="D259" s="283"/>
      <c r="E259" s="283"/>
      <c r="F259" s="283"/>
      <c r="G259" s="283"/>
      <c r="H259" s="283"/>
      <c r="I259" s="283"/>
      <c r="J259" s="283"/>
      <c r="K259" s="283"/>
      <c r="L259" s="283"/>
      <c r="M259" s="283"/>
      <c r="N259" s="283"/>
      <c r="O259" s="283"/>
      <c r="P259" s="283"/>
      <c r="Q259" s="283"/>
      <c r="R259" s="283"/>
      <c r="S259" s="283"/>
      <c r="T259" s="283"/>
      <c r="U259" s="283"/>
      <c r="V259" s="283"/>
      <c r="W259" s="283"/>
      <c r="X259" s="283"/>
      <c r="Y259" s="283"/>
      <c r="Z259" s="283"/>
    </row>
    <row r="260" ht="14.25" customHeight="1">
      <c r="A260" s="283"/>
      <c r="B260" s="283"/>
      <c r="C260" s="283"/>
      <c r="D260" s="283"/>
      <c r="E260" s="283"/>
      <c r="F260" s="283"/>
      <c r="G260" s="283"/>
      <c r="H260" s="283"/>
      <c r="I260" s="283"/>
      <c r="J260" s="283"/>
      <c r="K260" s="283"/>
      <c r="L260" s="283"/>
      <c r="M260" s="283"/>
      <c r="N260" s="283"/>
      <c r="O260" s="283"/>
      <c r="P260" s="283"/>
      <c r="Q260" s="283"/>
      <c r="R260" s="283"/>
      <c r="S260" s="283"/>
      <c r="T260" s="283"/>
      <c r="U260" s="283"/>
      <c r="V260" s="283"/>
      <c r="W260" s="283"/>
      <c r="X260" s="283"/>
      <c r="Y260" s="283"/>
      <c r="Z260" s="283"/>
    </row>
    <row r="261" ht="14.25" customHeight="1">
      <c r="A261" s="283"/>
      <c r="B261" s="283"/>
      <c r="C261" s="283"/>
      <c r="D261" s="283"/>
      <c r="E261" s="283"/>
      <c r="F261" s="283"/>
      <c r="G261" s="283"/>
      <c r="H261" s="283"/>
      <c r="I261" s="283"/>
      <c r="J261" s="283"/>
      <c r="K261" s="283"/>
      <c r="L261" s="283"/>
      <c r="M261" s="283"/>
      <c r="N261" s="283"/>
      <c r="O261" s="283"/>
      <c r="P261" s="283"/>
      <c r="Q261" s="283"/>
      <c r="R261" s="283"/>
      <c r="S261" s="283"/>
      <c r="T261" s="283"/>
      <c r="U261" s="283"/>
      <c r="V261" s="283"/>
      <c r="W261" s="283"/>
      <c r="X261" s="283"/>
      <c r="Y261" s="283"/>
      <c r="Z261" s="283"/>
    </row>
    <row r="262" ht="14.25" customHeight="1">
      <c r="A262" s="283"/>
      <c r="B262" s="283"/>
      <c r="C262" s="283"/>
      <c r="D262" s="283"/>
      <c r="E262" s="283"/>
      <c r="F262" s="283"/>
      <c r="G262" s="283"/>
      <c r="H262" s="283"/>
      <c r="I262" s="283"/>
      <c r="J262" s="283"/>
      <c r="K262" s="283"/>
      <c r="L262" s="283"/>
      <c r="M262" s="283"/>
      <c r="N262" s="283"/>
      <c r="O262" s="283"/>
      <c r="P262" s="283"/>
      <c r="Q262" s="283"/>
      <c r="R262" s="283"/>
      <c r="S262" s="283"/>
      <c r="T262" s="283"/>
      <c r="U262" s="283"/>
      <c r="V262" s="283"/>
      <c r="W262" s="283"/>
      <c r="X262" s="283"/>
      <c r="Y262" s="283"/>
      <c r="Z262" s="283"/>
    </row>
    <row r="263" ht="14.25" customHeight="1">
      <c r="A263" s="283"/>
      <c r="B263" s="283"/>
      <c r="C263" s="283"/>
      <c r="D263" s="283"/>
      <c r="E263" s="283"/>
      <c r="F263" s="283"/>
      <c r="G263" s="283"/>
      <c r="H263" s="283"/>
      <c r="I263" s="283"/>
      <c r="J263" s="283"/>
      <c r="K263" s="283"/>
      <c r="L263" s="283"/>
      <c r="M263" s="283"/>
      <c r="N263" s="283"/>
      <c r="O263" s="283"/>
      <c r="P263" s="283"/>
      <c r="Q263" s="283"/>
      <c r="R263" s="283"/>
      <c r="S263" s="283"/>
      <c r="T263" s="283"/>
      <c r="U263" s="283"/>
      <c r="V263" s="283"/>
      <c r="W263" s="283"/>
      <c r="X263" s="283"/>
      <c r="Y263" s="283"/>
      <c r="Z263" s="283"/>
    </row>
    <row r="264" ht="14.25" customHeight="1">
      <c r="A264" s="283"/>
      <c r="B264" s="283"/>
      <c r="C264" s="283"/>
      <c r="D264" s="283"/>
      <c r="E264" s="283"/>
      <c r="F264" s="283"/>
      <c r="G264" s="283"/>
      <c r="H264" s="283"/>
      <c r="I264" s="283"/>
      <c r="J264" s="283"/>
      <c r="K264" s="283"/>
      <c r="L264" s="283"/>
      <c r="M264" s="283"/>
      <c r="N264" s="283"/>
      <c r="O264" s="283"/>
      <c r="P264" s="283"/>
      <c r="Q264" s="283"/>
      <c r="R264" s="283"/>
      <c r="S264" s="283"/>
      <c r="T264" s="283"/>
      <c r="U264" s="283"/>
      <c r="V264" s="283"/>
      <c r="W264" s="283"/>
      <c r="X264" s="283"/>
      <c r="Y264" s="283"/>
      <c r="Z264" s="283"/>
    </row>
    <row r="265" ht="14.25" customHeight="1">
      <c r="A265" s="283"/>
      <c r="B265" s="283"/>
      <c r="C265" s="283"/>
      <c r="D265" s="283"/>
      <c r="E265" s="283"/>
      <c r="F265" s="283"/>
      <c r="G265" s="283"/>
      <c r="H265" s="283"/>
      <c r="I265" s="283"/>
      <c r="J265" s="283"/>
      <c r="K265" s="283"/>
      <c r="L265" s="283"/>
      <c r="M265" s="283"/>
      <c r="N265" s="283"/>
      <c r="O265" s="283"/>
      <c r="P265" s="283"/>
      <c r="Q265" s="283"/>
      <c r="R265" s="283"/>
      <c r="S265" s="283"/>
      <c r="T265" s="283"/>
      <c r="U265" s="283"/>
      <c r="V265" s="283"/>
      <c r="W265" s="283"/>
      <c r="X265" s="283"/>
      <c r="Y265" s="283"/>
      <c r="Z265" s="283"/>
    </row>
    <row r="266" ht="14.25" customHeight="1">
      <c r="A266" s="283"/>
      <c r="B266" s="283"/>
      <c r="C266" s="283"/>
      <c r="D266" s="283"/>
      <c r="E266" s="283"/>
      <c r="F266" s="283"/>
      <c r="G266" s="283"/>
      <c r="H266" s="283"/>
      <c r="I266" s="283"/>
      <c r="J266" s="283"/>
      <c r="K266" s="283"/>
      <c r="L266" s="283"/>
      <c r="M266" s="283"/>
      <c r="N266" s="283"/>
      <c r="O266" s="283"/>
      <c r="P266" s="283"/>
      <c r="Q266" s="283"/>
      <c r="R266" s="283"/>
      <c r="S266" s="283"/>
      <c r="T266" s="283"/>
      <c r="U266" s="283"/>
      <c r="V266" s="283"/>
      <c r="W266" s="283"/>
      <c r="X266" s="283"/>
      <c r="Y266" s="283"/>
      <c r="Z266" s="283"/>
    </row>
    <row r="267" ht="14.25" customHeight="1">
      <c r="A267" s="283"/>
      <c r="B267" s="283"/>
      <c r="C267" s="283"/>
      <c r="D267" s="283"/>
      <c r="E267" s="283"/>
      <c r="F267" s="283"/>
      <c r="G267" s="283"/>
      <c r="H267" s="283"/>
      <c r="I267" s="283"/>
      <c r="J267" s="283"/>
      <c r="K267" s="283"/>
      <c r="L267" s="283"/>
      <c r="M267" s="283"/>
      <c r="N267" s="283"/>
      <c r="O267" s="283"/>
      <c r="P267" s="283"/>
      <c r="Q267" s="283"/>
      <c r="R267" s="283"/>
      <c r="S267" s="283"/>
      <c r="T267" s="283"/>
      <c r="U267" s="283"/>
      <c r="V267" s="283"/>
      <c r="W267" s="283"/>
      <c r="X267" s="283"/>
      <c r="Y267" s="283"/>
      <c r="Z267" s="283"/>
    </row>
    <row r="268" ht="14.25" customHeight="1">
      <c r="A268" s="283"/>
      <c r="B268" s="283"/>
      <c r="C268" s="283"/>
      <c r="D268" s="283"/>
      <c r="E268" s="283"/>
      <c r="F268" s="283"/>
      <c r="G268" s="283"/>
      <c r="H268" s="283"/>
      <c r="I268" s="283"/>
      <c r="J268" s="283"/>
      <c r="K268" s="283"/>
      <c r="L268" s="283"/>
      <c r="M268" s="283"/>
      <c r="N268" s="283"/>
      <c r="O268" s="283"/>
      <c r="P268" s="283"/>
      <c r="Q268" s="283"/>
      <c r="R268" s="283"/>
      <c r="S268" s="283"/>
      <c r="T268" s="283"/>
      <c r="U268" s="283"/>
      <c r="V268" s="283"/>
      <c r="W268" s="283"/>
      <c r="X268" s="283"/>
      <c r="Y268" s="283"/>
      <c r="Z268" s="283"/>
    </row>
    <row r="269" ht="14.25" customHeight="1">
      <c r="A269" s="283"/>
      <c r="B269" s="283"/>
      <c r="C269" s="283"/>
      <c r="D269" s="283"/>
      <c r="E269" s="283"/>
      <c r="F269" s="283"/>
      <c r="G269" s="283"/>
      <c r="H269" s="283"/>
      <c r="I269" s="283"/>
      <c r="J269" s="283"/>
      <c r="K269" s="283"/>
      <c r="L269" s="283"/>
      <c r="M269" s="283"/>
      <c r="N269" s="283"/>
      <c r="O269" s="283"/>
      <c r="P269" s="283"/>
      <c r="Q269" s="283"/>
      <c r="R269" s="283"/>
      <c r="S269" s="283"/>
      <c r="T269" s="283"/>
      <c r="U269" s="283"/>
      <c r="V269" s="283"/>
      <c r="W269" s="283"/>
      <c r="X269" s="283"/>
      <c r="Y269" s="283"/>
      <c r="Z269" s="283"/>
    </row>
    <row r="270" ht="14.25" customHeight="1">
      <c r="A270" s="283"/>
      <c r="B270" s="283"/>
      <c r="C270" s="283"/>
      <c r="D270" s="283"/>
      <c r="E270" s="283"/>
      <c r="F270" s="283"/>
      <c r="G270" s="283"/>
      <c r="H270" s="283"/>
      <c r="I270" s="283"/>
      <c r="J270" s="283"/>
      <c r="K270" s="283"/>
      <c r="L270" s="283"/>
      <c r="M270" s="283"/>
      <c r="N270" s="283"/>
      <c r="O270" s="283"/>
      <c r="P270" s="283"/>
      <c r="Q270" s="283"/>
      <c r="R270" s="283"/>
      <c r="S270" s="283"/>
      <c r="T270" s="283"/>
      <c r="U270" s="283"/>
      <c r="V270" s="283"/>
      <c r="W270" s="283"/>
      <c r="X270" s="283"/>
      <c r="Y270" s="283"/>
      <c r="Z270" s="283"/>
    </row>
    <row r="271" ht="14.25" customHeight="1">
      <c r="A271" s="283"/>
      <c r="B271" s="283"/>
      <c r="C271" s="283"/>
      <c r="D271" s="283"/>
      <c r="E271" s="283"/>
      <c r="F271" s="283"/>
      <c r="G271" s="283"/>
      <c r="H271" s="283"/>
      <c r="I271" s="283"/>
      <c r="J271" s="283"/>
      <c r="K271" s="283"/>
      <c r="L271" s="283"/>
      <c r="M271" s="283"/>
      <c r="N271" s="283"/>
      <c r="O271" s="283"/>
      <c r="P271" s="283"/>
      <c r="Q271" s="283"/>
      <c r="R271" s="283"/>
      <c r="S271" s="283"/>
      <c r="T271" s="283"/>
      <c r="U271" s="283"/>
      <c r="V271" s="283"/>
      <c r="W271" s="283"/>
      <c r="X271" s="283"/>
      <c r="Y271" s="283"/>
      <c r="Z271" s="283"/>
    </row>
    <row r="272" ht="14.25" customHeight="1">
      <c r="A272" s="283"/>
      <c r="B272" s="283"/>
      <c r="C272" s="283"/>
      <c r="D272" s="283"/>
      <c r="E272" s="283"/>
      <c r="F272" s="283"/>
      <c r="G272" s="283"/>
      <c r="H272" s="283"/>
      <c r="I272" s="283"/>
      <c r="J272" s="283"/>
      <c r="K272" s="283"/>
      <c r="L272" s="283"/>
      <c r="M272" s="283"/>
      <c r="N272" s="283"/>
      <c r="O272" s="283"/>
      <c r="P272" s="283"/>
      <c r="Q272" s="283"/>
      <c r="R272" s="283"/>
      <c r="S272" s="283"/>
      <c r="T272" s="283"/>
      <c r="U272" s="283"/>
      <c r="V272" s="283"/>
      <c r="W272" s="283"/>
      <c r="X272" s="283"/>
      <c r="Y272" s="283"/>
      <c r="Z272" s="283"/>
    </row>
    <row r="273" ht="14.25" customHeight="1">
      <c r="A273" s="283"/>
      <c r="B273" s="283"/>
      <c r="C273" s="283"/>
      <c r="D273" s="283"/>
      <c r="E273" s="283"/>
      <c r="F273" s="283"/>
      <c r="G273" s="283"/>
      <c r="H273" s="283"/>
      <c r="I273" s="283"/>
      <c r="J273" s="283"/>
      <c r="K273" s="283"/>
      <c r="L273" s="283"/>
      <c r="M273" s="283"/>
      <c r="N273" s="283"/>
      <c r="O273" s="283"/>
      <c r="P273" s="283"/>
      <c r="Q273" s="283"/>
      <c r="R273" s="283"/>
      <c r="S273" s="283"/>
      <c r="T273" s="283"/>
      <c r="U273" s="283"/>
      <c r="V273" s="283"/>
      <c r="W273" s="283"/>
      <c r="X273" s="283"/>
      <c r="Y273" s="283"/>
      <c r="Z273" s="283"/>
    </row>
    <row r="274" ht="14.25" customHeight="1">
      <c r="A274" s="283"/>
      <c r="B274" s="283"/>
      <c r="C274" s="283"/>
      <c r="D274" s="283"/>
      <c r="E274" s="283"/>
      <c r="F274" s="283"/>
      <c r="G274" s="283"/>
      <c r="H274" s="283"/>
      <c r="I274" s="283"/>
      <c r="J274" s="283"/>
      <c r="K274" s="283"/>
      <c r="L274" s="283"/>
      <c r="M274" s="283"/>
      <c r="N274" s="283"/>
      <c r="O274" s="283"/>
      <c r="P274" s="283"/>
      <c r="Q274" s="283"/>
      <c r="R274" s="283"/>
      <c r="S274" s="283"/>
      <c r="T274" s="283"/>
      <c r="U274" s="283"/>
      <c r="V274" s="283"/>
      <c r="W274" s="283"/>
      <c r="X274" s="283"/>
      <c r="Y274" s="283"/>
      <c r="Z274" s="283"/>
    </row>
    <row r="275" ht="14.25" customHeight="1">
      <c r="A275" s="283"/>
      <c r="B275" s="283"/>
      <c r="C275" s="283"/>
      <c r="D275" s="283"/>
      <c r="E275" s="283"/>
      <c r="F275" s="283"/>
      <c r="G275" s="283"/>
      <c r="H275" s="283"/>
      <c r="I275" s="283"/>
      <c r="J275" s="283"/>
      <c r="K275" s="283"/>
      <c r="L275" s="283"/>
      <c r="M275" s="283"/>
      <c r="N275" s="283"/>
      <c r="O275" s="283"/>
      <c r="P275" s="283"/>
      <c r="Q275" s="283"/>
      <c r="R275" s="283"/>
      <c r="S275" s="283"/>
      <c r="T275" s="283"/>
      <c r="U275" s="283"/>
      <c r="V275" s="283"/>
      <c r="W275" s="283"/>
      <c r="X275" s="283"/>
      <c r="Y275" s="283"/>
      <c r="Z275" s="283"/>
    </row>
    <row r="276" ht="14.25" customHeight="1">
      <c r="A276" s="283"/>
      <c r="B276" s="283"/>
      <c r="C276" s="283"/>
      <c r="D276" s="283"/>
      <c r="E276" s="283"/>
      <c r="F276" s="283"/>
      <c r="G276" s="283"/>
      <c r="H276" s="283"/>
      <c r="I276" s="283"/>
      <c r="J276" s="283"/>
      <c r="K276" s="283"/>
      <c r="L276" s="283"/>
      <c r="M276" s="283"/>
      <c r="N276" s="283"/>
      <c r="O276" s="283"/>
      <c r="P276" s="283"/>
      <c r="Q276" s="283"/>
      <c r="R276" s="283"/>
      <c r="S276" s="283"/>
      <c r="T276" s="283"/>
      <c r="U276" s="283"/>
      <c r="V276" s="283"/>
      <c r="W276" s="283"/>
      <c r="X276" s="283"/>
      <c r="Y276" s="283"/>
      <c r="Z276" s="283"/>
    </row>
    <row r="277" ht="14.25" customHeight="1">
      <c r="A277" s="283"/>
      <c r="B277" s="283"/>
      <c r="C277" s="283"/>
      <c r="D277" s="283"/>
      <c r="E277" s="283"/>
      <c r="F277" s="283"/>
      <c r="G277" s="283"/>
      <c r="H277" s="283"/>
      <c r="I277" s="283"/>
      <c r="J277" s="283"/>
      <c r="K277" s="283"/>
      <c r="L277" s="283"/>
      <c r="M277" s="283"/>
      <c r="N277" s="283"/>
      <c r="O277" s="283"/>
      <c r="P277" s="283"/>
      <c r="Q277" s="283"/>
      <c r="R277" s="283"/>
      <c r="S277" s="283"/>
      <c r="T277" s="283"/>
      <c r="U277" s="283"/>
      <c r="V277" s="283"/>
      <c r="W277" s="283"/>
      <c r="X277" s="283"/>
      <c r="Y277" s="283"/>
      <c r="Z277" s="283"/>
    </row>
    <row r="278" ht="14.25" customHeight="1">
      <c r="A278" s="283"/>
      <c r="B278" s="283"/>
      <c r="C278" s="283"/>
      <c r="D278" s="283"/>
      <c r="E278" s="283"/>
      <c r="F278" s="283"/>
      <c r="G278" s="283"/>
      <c r="H278" s="283"/>
      <c r="I278" s="283"/>
      <c r="J278" s="283"/>
      <c r="K278" s="283"/>
      <c r="L278" s="283"/>
      <c r="M278" s="283"/>
      <c r="N278" s="283"/>
      <c r="O278" s="283"/>
      <c r="P278" s="283"/>
      <c r="Q278" s="283"/>
      <c r="R278" s="283"/>
      <c r="S278" s="283"/>
      <c r="T278" s="283"/>
      <c r="U278" s="283"/>
      <c r="V278" s="283"/>
      <c r="W278" s="283"/>
      <c r="X278" s="283"/>
      <c r="Y278" s="283"/>
      <c r="Z278" s="283"/>
    </row>
    <row r="279" ht="14.25" customHeight="1">
      <c r="A279" s="283"/>
      <c r="B279" s="283"/>
      <c r="C279" s="283"/>
      <c r="D279" s="283"/>
      <c r="E279" s="283"/>
      <c r="F279" s="283"/>
      <c r="G279" s="283"/>
      <c r="H279" s="283"/>
      <c r="I279" s="283"/>
      <c r="J279" s="283"/>
      <c r="K279" s="283"/>
      <c r="L279" s="283"/>
      <c r="M279" s="283"/>
      <c r="N279" s="283"/>
      <c r="O279" s="283"/>
      <c r="P279" s="283"/>
      <c r="Q279" s="283"/>
      <c r="R279" s="283"/>
      <c r="S279" s="283"/>
      <c r="T279" s="283"/>
      <c r="U279" s="283"/>
      <c r="V279" s="283"/>
      <c r="W279" s="283"/>
      <c r="X279" s="283"/>
      <c r="Y279" s="283"/>
      <c r="Z279" s="283"/>
    </row>
    <row r="280" ht="14.25" customHeight="1">
      <c r="A280" s="283"/>
      <c r="B280" s="283"/>
      <c r="C280" s="283"/>
      <c r="D280" s="283"/>
      <c r="E280" s="283"/>
      <c r="F280" s="283"/>
      <c r="G280" s="283"/>
      <c r="H280" s="283"/>
      <c r="I280" s="283"/>
      <c r="J280" s="283"/>
      <c r="K280" s="283"/>
      <c r="L280" s="283"/>
      <c r="M280" s="283"/>
      <c r="N280" s="283"/>
      <c r="O280" s="283"/>
      <c r="P280" s="283"/>
      <c r="Q280" s="283"/>
      <c r="R280" s="283"/>
      <c r="S280" s="283"/>
      <c r="T280" s="283"/>
      <c r="U280" s="283"/>
      <c r="V280" s="283"/>
      <c r="W280" s="283"/>
      <c r="X280" s="283"/>
      <c r="Y280" s="283"/>
      <c r="Z280" s="283"/>
    </row>
    <row r="281" ht="14.25" customHeight="1">
      <c r="A281" s="283"/>
      <c r="B281" s="283"/>
      <c r="C281" s="283"/>
      <c r="D281" s="283"/>
      <c r="E281" s="283"/>
      <c r="F281" s="283"/>
      <c r="G281" s="283"/>
      <c r="H281" s="283"/>
      <c r="I281" s="283"/>
      <c r="J281" s="283"/>
      <c r="K281" s="283"/>
      <c r="L281" s="283"/>
      <c r="M281" s="283"/>
      <c r="N281" s="283"/>
      <c r="O281" s="283"/>
      <c r="P281" s="283"/>
      <c r="Q281" s="283"/>
      <c r="R281" s="283"/>
      <c r="S281" s="283"/>
      <c r="T281" s="283"/>
      <c r="U281" s="283"/>
      <c r="V281" s="283"/>
      <c r="W281" s="283"/>
      <c r="X281" s="283"/>
      <c r="Y281" s="283"/>
      <c r="Z281" s="283"/>
    </row>
    <row r="282" ht="14.25" customHeight="1">
      <c r="A282" s="283"/>
      <c r="B282" s="283"/>
      <c r="C282" s="283"/>
      <c r="D282" s="283"/>
      <c r="E282" s="283"/>
      <c r="F282" s="283"/>
      <c r="G282" s="283"/>
      <c r="H282" s="283"/>
      <c r="I282" s="283"/>
      <c r="J282" s="283"/>
      <c r="K282" s="283"/>
      <c r="L282" s="283"/>
      <c r="M282" s="283"/>
      <c r="N282" s="283"/>
      <c r="O282" s="283"/>
      <c r="P282" s="283"/>
      <c r="Q282" s="283"/>
      <c r="R282" s="283"/>
      <c r="S282" s="283"/>
      <c r="T282" s="283"/>
      <c r="U282" s="283"/>
      <c r="V282" s="283"/>
      <c r="W282" s="283"/>
      <c r="X282" s="283"/>
      <c r="Y282" s="283"/>
      <c r="Z282" s="283"/>
    </row>
    <row r="283" ht="14.25" customHeight="1">
      <c r="A283" s="283"/>
      <c r="B283" s="283"/>
      <c r="C283" s="283"/>
      <c r="D283" s="283"/>
      <c r="E283" s="283"/>
      <c r="F283" s="283"/>
      <c r="G283" s="283"/>
      <c r="H283" s="283"/>
      <c r="I283" s="283"/>
      <c r="J283" s="283"/>
      <c r="K283" s="283"/>
      <c r="L283" s="283"/>
      <c r="M283" s="283"/>
      <c r="N283" s="283"/>
      <c r="O283" s="283"/>
      <c r="P283" s="283"/>
      <c r="Q283" s="283"/>
      <c r="R283" s="283"/>
      <c r="S283" s="283"/>
      <c r="T283" s="283"/>
      <c r="U283" s="283"/>
      <c r="V283" s="283"/>
      <c r="W283" s="283"/>
      <c r="X283" s="283"/>
      <c r="Y283" s="283"/>
      <c r="Z283" s="283"/>
    </row>
    <row r="284" ht="14.25" customHeight="1">
      <c r="A284" s="283"/>
      <c r="B284" s="283"/>
      <c r="C284" s="283"/>
      <c r="D284" s="283"/>
      <c r="E284" s="283"/>
      <c r="F284" s="283"/>
      <c r="G284" s="283"/>
      <c r="H284" s="283"/>
      <c r="I284" s="283"/>
      <c r="J284" s="283"/>
      <c r="K284" s="283"/>
      <c r="L284" s="283"/>
      <c r="M284" s="283"/>
      <c r="N284" s="283"/>
      <c r="O284" s="283"/>
      <c r="P284" s="283"/>
      <c r="Q284" s="283"/>
      <c r="R284" s="283"/>
      <c r="S284" s="283"/>
      <c r="T284" s="283"/>
      <c r="U284" s="283"/>
      <c r="V284" s="283"/>
      <c r="W284" s="283"/>
      <c r="X284" s="283"/>
      <c r="Y284" s="283"/>
      <c r="Z284" s="283"/>
    </row>
    <row r="285" ht="14.25" customHeight="1">
      <c r="A285" s="283"/>
      <c r="B285" s="283"/>
      <c r="C285" s="283"/>
      <c r="D285" s="283"/>
      <c r="E285" s="283"/>
      <c r="F285" s="283"/>
      <c r="G285" s="283"/>
      <c r="H285" s="283"/>
      <c r="I285" s="283"/>
      <c r="J285" s="283"/>
      <c r="K285" s="283"/>
      <c r="L285" s="283"/>
      <c r="M285" s="283"/>
      <c r="N285" s="283"/>
      <c r="O285" s="283"/>
      <c r="P285" s="283"/>
      <c r="Q285" s="283"/>
      <c r="R285" s="283"/>
      <c r="S285" s="283"/>
      <c r="T285" s="283"/>
      <c r="U285" s="283"/>
      <c r="V285" s="283"/>
      <c r="W285" s="283"/>
      <c r="X285" s="283"/>
      <c r="Y285" s="283"/>
      <c r="Z285" s="283"/>
    </row>
    <row r="286" ht="14.25" customHeight="1">
      <c r="A286" s="283"/>
      <c r="B286" s="283"/>
      <c r="C286" s="283"/>
      <c r="D286" s="283"/>
      <c r="E286" s="283"/>
      <c r="F286" s="283"/>
      <c r="G286" s="283"/>
      <c r="H286" s="283"/>
      <c r="I286" s="283"/>
      <c r="J286" s="283"/>
      <c r="K286" s="283"/>
      <c r="L286" s="283"/>
      <c r="M286" s="283"/>
      <c r="N286" s="283"/>
      <c r="O286" s="283"/>
      <c r="P286" s="283"/>
      <c r="Q286" s="283"/>
      <c r="R286" s="283"/>
      <c r="S286" s="283"/>
      <c r="T286" s="283"/>
      <c r="U286" s="283"/>
      <c r="V286" s="283"/>
      <c r="W286" s="283"/>
      <c r="X286" s="283"/>
      <c r="Y286" s="283"/>
      <c r="Z286" s="283"/>
    </row>
    <row r="287" ht="14.25" customHeight="1">
      <c r="A287" s="283"/>
      <c r="B287" s="283"/>
      <c r="C287" s="283"/>
      <c r="D287" s="283"/>
      <c r="E287" s="283"/>
      <c r="F287" s="283"/>
      <c r="G287" s="283"/>
      <c r="H287" s="283"/>
      <c r="I287" s="283"/>
      <c r="J287" s="283"/>
      <c r="K287" s="283"/>
      <c r="L287" s="283"/>
      <c r="M287" s="283"/>
      <c r="N287" s="283"/>
      <c r="O287" s="283"/>
      <c r="P287" s="283"/>
      <c r="Q287" s="283"/>
      <c r="R287" s="283"/>
      <c r="S287" s="283"/>
      <c r="T287" s="283"/>
      <c r="U287" s="283"/>
      <c r="V287" s="283"/>
      <c r="W287" s="283"/>
      <c r="X287" s="283"/>
      <c r="Y287" s="283"/>
      <c r="Z287" s="283"/>
    </row>
    <row r="288" ht="14.25" customHeight="1">
      <c r="A288" s="283"/>
      <c r="B288" s="283"/>
      <c r="C288" s="283"/>
      <c r="D288" s="283"/>
      <c r="E288" s="283"/>
      <c r="F288" s="283"/>
      <c r="G288" s="283"/>
      <c r="H288" s="283"/>
      <c r="I288" s="283"/>
      <c r="J288" s="283"/>
      <c r="K288" s="283"/>
      <c r="L288" s="283"/>
      <c r="M288" s="283"/>
      <c r="N288" s="283"/>
      <c r="O288" s="283"/>
      <c r="P288" s="283"/>
      <c r="Q288" s="283"/>
      <c r="R288" s="283"/>
      <c r="S288" s="283"/>
      <c r="T288" s="283"/>
      <c r="U288" s="283"/>
      <c r="V288" s="283"/>
      <c r="W288" s="283"/>
      <c r="X288" s="283"/>
      <c r="Y288" s="283"/>
      <c r="Z288" s="283"/>
    </row>
    <row r="289" ht="14.25" customHeight="1">
      <c r="A289" s="283"/>
      <c r="B289" s="283"/>
      <c r="C289" s="283"/>
      <c r="D289" s="283"/>
      <c r="E289" s="283"/>
      <c r="F289" s="283"/>
      <c r="G289" s="283"/>
      <c r="H289" s="283"/>
      <c r="I289" s="283"/>
      <c r="J289" s="283"/>
      <c r="K289" s="283"/>
      <c r="L289" s="283"/>
      <c r="M289" s="283"/>
      <c r="N289" s="283"/>
      <c r="O289" s="283"/>
      <c r="P289" s="283"/>
      <c r="Q289" s="283"/>
      <c r="R289" s="283"/>
      <c r="S289" s="283"/>
      <c r="T289" s="283"/>
      <c r="U289" s="283"/>
      <c r="V289" s="283"/>
      <c r="W289" s="283"/>
      <c r="X289" s="283"/>
      <c r="Y289" s="283"/>
      <c r="Z289" s="283"/>
    </row>
    <row r="290" ht="14.25" customHeight="1">
      <c r="A290" s="283"/>
      <c r="B290" s="283"/>
      <c r="C290" s="283"/>
      <c r="D290" s="283"/>
      <c r="E290" s="283"/>
      <c r="F290" s="283"/>
      <c r="G290" s="283"/>
      <c r="H290" s="283"/>
      <c r="I290" s="283"/>
      <c r="J290" s="283"/>
      <c r="K290" s="283"/>
      <c r="L290" s="283"/>
      <c r="M290" s="283"/>
      <c r="N290" s="283"/>
      <c r="O290" s="283"/>
      <c r="P290" s="283"/>
      <c r="Q290" s="283"/>
      <c r="R290" s="283"/>
      <c r="S290" s="283"/>
      <c r="T290" s="283"/>
      <c r="U290" s="283"/>
      <c r="V290" s="283"/>
      <c r="W290" s="283"/>
      <c r="X290" s="283"/>
      <c r="Y290" s="283"/>
      <c r="Z290" s="283"/>
    </row>
    <row r="291" ht="14.25" customHeight="1">
      <c r="A291" s="283"/>
      <c r="B291" s="283"/>
      <c r="C291" s="283"/>
      <c r="D291" s="283"/>
      <c r="E291" s="283"/>
      <c r="F291" s="283"/>
      <c r="G291" s="283"/>
      <c r="H291" s="283"/>
      <c r="I291" s="283"/>
      <c r="J291" s="283"/>
      <c r="K291" s="283"/>
      <c r="L291" s="283"/>
      <c r="M291" s="283"/>
      <c r="N291" s="283"/>
      <c r="O291" s="283"/>
      <c r="P291" s="283"/>
      <c r="Q291" s="283"/>
      <c r="R291" s="283"/>
      <c r="S291" s="283"/>
      <c r="T291" s="283"/>
      <c r="U291" s="283"/>
      <c r="V291" s="283"/>
      <c r="W291" s="283"/>
      <c r="X291" s="283"/>
      <c r="Y291" s="283"/>
      <c r="Z291" s="283"/>
    </row>
    <row r="292" ht="14.25" customHeight="1">
      <c r="A292" s="283"/>
      <c r="B292" s="283"/>
      <c r="C292" s="283"/>
      <c r="D292" s="283"/>
      <c r="E292" s="283"/>
      <c r="F292" s="283"/>
      <c r="G292" s="283"/>
      <c r="H292" s="283"/>
      <c r="I292" s="283"/>
      <c r="J292" s="283"/>
      <c r="K292" s="283"/>
      <c r="L292" s="283"/>
      <c r="M292" s="283"/>
      <c r="N292" s="283"/>
      <c r="O292" s="283"/>
      <c r="P292" s="283"/>
      <c r="Q292" s="283"/>
      <c r="R292" s="283"/>
      <c r="S292" s="283"/>
      <c r="T292" s="283"/>
      <c r="U292" s="283"/>
      <c r="V292" s="283"/>
      <c r="W292" s="283"/>
      <c r="X292" s="283"/>
      <c r="Y292" s="283"/>
      <c r="Z292" s="283"/>
    </row>
    <row r="293" ht="14.25" customHeight="1">
      <c r="A293" s="283"/>
      <c r="B293" s="283"/>
      <c r="C293" s="283"/>
      <c r="D293" s="283"/>
      <c r="E293" s="283"/>
      <c r="F293" s="283"/>
      <c r="G293" s="283"/>
      <c r="H293" s="283"/>
      <c r="I293" s="283"/>
      <c r="J293" s="283"/>
      <c r="K293" s="283"/>
      <c r="L293" s="283"/>
      <c r="M293" s="283"/>
      <c r="N293" s="283"/>
      <c r="O293" s="283"/>
      <c r="P293" s="283"/>
      <c r="Q293" s="283"/>
      <c r="R293" s="283"/>
      <c r="S293" s="283"/>
      <c r="T293" s="283"/>
      <c r="U293" s="283"/>
      <c r="V293" s="283"/>
      <c r="W293" s="283"/>
      <c r="X293" s="283"/>
      <c r="Y293" s="283"/>
      <c r="Z293" s="283"/>
    </row>
    <row r="294" ht="14.25" customHeight="1">
      <c r="A294" s="283"/>
      <c r="B294" s="283"/>
      <c r="C294" s="283"/>
      <c r="D294" s="283"/>
      <c r="E294" s="283"/>
      <c r="F294" s="283"/>
      <c r="G294" s="283"/>
      <c r="H294" s="283"/>
      <c r="I294" s="283"/>
      <c r="J294" s="283"/>
      <c r="K294" s="283"/>
      <c r="L294" s="283"/>
      <c r="M294" s="283"/>
      <c r="N294" s="283"/>
      <c r="O294" s="283"/>
      <c r="P294" s="283"/>
      <c r="Q294" s="283"/>
      <c r="R294" s="283"/>
      <c r="S294" s="283"/>
      <c r="T294" s="283"/>
      <c r="U294" s="283"/>
      <c r="V294" s="283"/>
      <c r="W294" s="283"/>
      <c r="X294" s="283"/>
      <c r="Y294" s="283"/>
      <c r="Z294" s="283"/>
    </row>
    <row r="295" ht="14.25" customHeight="1">
      <c r="A295" s="283"/>
      <c r="B295" s="283"/>
      <c r="C295" s="283"/>
      <c r="D295" s="283"/>
      <c r="E295" s="283"/>
      <c r="F295" s="283"/>
      <c r="G295" s="283"/>
      <c r="H295" s="283"/>
      <c r="I295" s="283"/>
      <c r="J295" s="283"/>
      <c r="K295" s="283"/>
      <c r="L295" s="283"/>
      <c r="M295" s="283"/>
      <c r="N295" s="283"/>
      <c r="O295" s="283"/>
      <c r="P295" s="283"/>
      <c r="Q295" s="283"/>
      <c r="R295" s="283"/>
      <c r="S295" s="283"/>
      <c r="T295" s="283"/>
      <c r="U295" s="283"/>
      <c r="V295" s="283"/>
      <c r="W295" s="283"/>
      <c r="X295" s="283"/>
      <c r="Y295" s="283"/>
      <c r="Z295" s="283"/>
    </row>
    <row r="296" ht="14.25" customHeight="1">
      <c r="A296" s="283"/>
      <c r="B296" s="283"/>
      <c r="C296" s="283"/>
      <c r="D296" s="283"/>
      <c r="E296" s="283"/>
      <c r="F296" s="283"/>
      <c r="G296" s="283"/>
      <c r="H296" s="283"/>
      <c r="I296" s="283"/>
      <c r="J296" s="283"/>
      <c r="K296" s="283"/>
      <c r="L296" s="283"/>
      <c r="M296" s="283"/>
      <c r="N296" s="283"/>
      <c r="O296" s="283"/>
      <c r="P296" s="283"/>
      <c r="Q296" s="283"/>
      <c r="R296" s="283"/>
      <c r="S296" s="283"/>
      <c r="T296" s="283"/>
      <c r="U296" s="283"/>
      <c r="V296" s="283"/>
      <c r="W296" s="283"/>
      <c r="X296" s="283"/>
      <c r="Y296" s="283"/>
      <c r="Z296" s="283"/>
    </row>
    <row r="297" ht="14.25" customHeight="1">
      <c r="A297" s="283"/>
      <c r="B297" s="283"/>
      <c r="C297" s="283"/>
      <c r="D297" s="283"/>
      <c r="E297" s="283"/>
      <c r="F297" s="283"/>
      <c r="G297" s="283"/>
      <c r="H297" s="283"/>
      <c r="I297" s="283"/>
      <c r="J297" s="283"/>
      <c r="K297" s="283"/>
      <c r="L297" s="283"/>
      <c r="M297" s="283"/>
      <c r="N297" s="283"/>
      <c r="O297" s="283"/>
      <c r="P297" s="283"/>
      <c r="Q297" s="283"/>
      <c r="R297" s="283"/>
      <c r="S297" s="283"/>
      <c r="T297" s="283"/>
      <c r="U297" s="283"/>
      <c r="V297" s="283"/>
      <c r="W297" s="283"/>
      <c r="X297" s="283"/>
      <c r="Y297" s="283"/>
      <c r="Z297" s="283"/>
    </row>
    <row r="298" ht="14.25" customHeight="1">
      <c r="A298" s="283"/>
      <c r="B298" s="283"/>
      <c r="C298" s="283"/>
      <c r="D298" s="283"/>
      <c r="E298" s="283"/>
      <c r="F298" s="283"/>
      <c r="G298" s="283"/>
      <c r="H298" s="283"/>
      <c r="I298" s="283"/>
      <c r="J298" s="283"/>
      <c r="K298" s="283"/>
      <c r="L298" s="283"/>
      <c r="M298" s="283"/>
      <c r="N298" s="283"/>
      <c r="O298" s="283"/>
      <c r="P298" s="283"/>
      <c r="Q298" s="283"/>
      <c r="R298" s="283"/>
      <c r="S298" s="283"/>
      <c r="T298" s="283"/>
      <c r="U298" s="283"/>
      <c r="V298" s="283"/>
      <c r="W298" s="283"/>
      <c r="X298" s="283"/>
      <c r="Y298" s="283"/>
      <c r="Z298" s="283"/>
    </row>
    <row r="299" ht="14.25" customHeight="1">
      <c r="A299" s="283"/>
      <c r="B299" s="283"/>
      <c r="C299" s="283"/>
      <c r="D299" s="283"/>
      <c r="E299" s="283"/>
      <c r="F299" s="283"/>
      <c r="G299" s="283"/>
      <c r="H299" s="283"/>
      <c r="I299" s="283"/>
      <c r="J299" s="283"/>
      <c r="K299" s="283"/>
      <c r="L299" s="283"/>
      <c r="M299" s="283"/>
      <c r="N299" s="283"/>
      <c r="O299" s="283"/>
      <c r="P299" s="283"/>
      <c r="Q299" s="283"/>
      <c r="R299" s="283"/>
      <c r="S299" s="283"/>
      <c r="T299" s="283"/>
      <c r="U299" s="283"/>
      <c r="V299" s="283"/>
      <c r="W299" s="283"/>
      <c r="X299" s="283"/>
      <c r="Y299" s="283"/>
      <c r="Z299" s="283"/>
    </row>
    <row r="300" ht="14.25" customHeight="1">
      <c r="A300" s="283"/>
      <c r="B300" s="283"/>
      <c r="C300" s="283"/>
      <c r="D300" s="283"/>
      <c r="E300" s="283"/>
      <c r="F300" s="283"/>
      <c r="G300" s="283"/>
      <c r="H300" s="283"/>
      <c r="I300" s="283"/>
      <c r="J300" s="283"/>
      <c r="K300" s="283"/>
      <c r="L300" s="283"/>
      <c r="M300" s="283"/>
      <c r="N300" s="283"/>
      <c r="O300" s="283"/>
      <c r="P300" s="283"/>
      <c r="Q300" s="283"/>
      <c r="R300" s="283"/>
      <c r="S300" s="283"/>
      <c r="T300" s="283"/>
      <c r="U300" s="283"/>
      <c r="V300" s="283"/>
      <c r="W300" s="283"/>
      <c r="X300" s="283"/>
      <c r="Y300" s="283"/>
      <c r="Z300" s="283"/>
    </row>
    <row r="301" ht="14.25" customHeight="1">
      <c r="A301" s="283"/>
      <c r="B301" s="283"/>
      <c r="C301" s="283"/>
      <c r="D301" s="283"/>
      <c r="E301" s="283"/>
      <c r="F301" s="283"/>
      <c r="G301" s="283"/>
      <c r="H301" s="283"/>
      <c r="I301" s="283"/>
      <c r="J301" s="283"/>
      <c r="K301" s="283"/>
      <c r="L301" s="283"/>
      <c r="M301" s="283"/>
      <c r="N301" s="283"/>
      <c r="O301" s="283"/>
      <c r="P301" s="283"/>
      <c r="Q301" s="283"/>
      <c r="R301" s="283"/>
      <c r="S301" s="283"/>
      <c r="T301" s="283"/>
      <c r="U301" s="283"/>
      <c r="V301" s="283"/>
      <c r="W301" s="283"/>
      <c r="X301" s="283"/>
      <c r="Y301" s="283"/>
      <c r="Z301" s="283"/>
    </row>
    <row r="302" ht="14.25" customHeight="1">
      <c r="A302" s="283"/>
      <c r="B302" s="283"/>
      <c r="C302" s="283"/>
      <c r="D302" s="283"/>
      <c r="E302" s="283"/>
      <c r="F302" s="283"/>
      <c r="G302" s="283"/>
      <c r="H302" s="283"/>
      <c r="I302" s="283"/>
      <c r="J302" s="283"/>
      <c r="K302" s="283"/>
      <c r="L302" s="283"/>
      <c r="M302" s="283"/>
      <c r="N302" s="283"/>
      <c r="O302" s="283"/>
      <c r="P302" s="283"/>
      <c r="Q302" s="283"/>
      <c r="R302" s="283"/>
      <c r="S302" s="283"/>
      <c r="T302" s="283"/>
      <c r="U302" s="283"/>
      <c r="V302" s="283"/>
      <c r="W302" s="283"/>
      <c r="X302" s="283"/>
      <c r="Y302" s="283"/>
      <c r="Z302" s="283"/>
    </row>
    <row r="303" ht="14.25" customHeight="1">
      <c r="A303" s="283"/>
      <c r="B303" s="283"/>
      <c r="C303" s="283"/>
      <c r="D303" s="283"/>
      <c r="E303" s="283"/>
      <c r="F303" s="283"/>
      <c r="G303" s="283"/>
      <c r="H303" s="283"/>
      <c r="I303" s="283"/>
      <c r="J303" s="283"/>
      <c r="K303" s="283"/>
      <c r="L303" s="283"/>
      <c r="M303" s="283"/>
      <c r="N303" s="283"/>
      <c r="O303" s="283"/>
      <c r="P303" s="283"/>
      <c r="Q303" s="283"/>
      <c r="R303" s="283"/>
      <c r="S303" s="283"/>
      <c r="T303" s="283"/>
      <c r="U303" s="283"/>
      <c r="V303" s="283"/>
      <c r="W303" s="283"/>
      <c r="X303" s="283"/>
      <c r="Y303" s="283"/>
      <c r="Z303" s="283"/>
    </row>
    <row r="304" ht="14.25" customHeight="1">
      <c r="A304" s="283"/>
      <c r="B304" s="283"/>
      <c r="C304" s="283"/>
      <c r="D304" s="283"/>
      <c r="E304" s="283"/>
      <c r="F304" s="283"/>
      <c r="G304" s="283"/>
      <c r="H304" s="283"/>
      <c r="I304" s="283"/>
      <c r="J304" s="283"/>
      <c r="K304" s="283"/>
      <c r="L304" s="283"/>
      <c r="M304" s="283"/>
      <c r="N304" s="283"/>
      <c r="O304" s="283"/>
      <c r="P304" s="283"/>
      <c r="Q304" s="283"/>
      <c r="R304" s="283"/>
      <c r="S304" s="283"/>
      <c r="T304" s="283"/>
      <c r="U304" s="283"/>
      <c r="V304" s="283"/>
      <c r="W304" s="283"/>
      <c r="X304" s="283"/>
      <c r="Y304" s="283"/>
      <c r="Z304" s="283"/>
    </row>
    <row r="305" ht="14.25" customHeight="1">
      <c r="A305" s="283"/>
      <c r="B305" s="283"/>
      <c r="C305" s="283"/>
      <c r="D305" s="283"/>
      <c r="E305" s="283"/>
      <c r="F305" s="283"/>
      <c r="G305" s="283"/>
      <c r="H305" s="283"/>
      <c r="I305" s="283"/>
      <c r="J305" s="283"/>
      <c r="K305" s="283"/>
      <c r="L305" s="283"/>
      <c r="M305" s="283"/>
      <c r="N305" s="283"/>
      <c r="O305" s="283"/>
      <c r="P305" s="283"/>
      <c r="Q305" s="283"/>
      <c r="R305" s="283"/>
      <c r="S305" s="283"/>
      <c r="T305" s="283"/>
      <c r="U305" s="283"/>
      <c r="V305" s="283"/>
      <c r="W305" s="283"/>
      <c r="X305" s="283"/>
      <c r="Y305" s="283"/>
      <c r="Z305" s="283"/>
    </row>
    <row r="306" ht="14.25" customHeight="1">
      <c r="A306" s="283"/>
      <c r="B306" s="283"/>
      <c r="C306" s="283"/>
      <c r="D306" s="283"/>
      <c r="E306" s="283"/>
      <c r="F306" s="283"/>
      <c r="G306" s="283"/>
      <c r="H306" s="283"/>
      <c r="I306" s="283"/>
      <c r="J306" s="283"/>
      <c r="K306" s="283"/>
      <c r="L306" s="283"/>
      <c r="M306" s="283"/>
      <c r="N306" s="283"/>
      <c r="O306" s="283"/>
      <c r="P306" s="283"/>
      <c r="Q306" s="283"/>
      <c r="R306" s="283"/>
      <c r="S306" s="283"/>
      <c r="T306" s="283"/>
      <c r="U306" s="283"/>
      <c r="V306" s="283"/>
      <c r="W306" s="283"/>
      <c r="X306" s="283"/>
      <c r="Y306" s="283"/>
      <c r="Z306" s="283"/>
    </row>
    <row r="307" ht="14.25" customHeight="1">
      <c r="A307" s="283"/>
      <c r="B307" s="283"/>
      <c r="C307" s="283"/>
      <c r="D307" s="283"/>
      <c r="E307" s="283"/>
      <c r="F307" s="283"/>
      <c r="G307" s="283"/>
      <c r="H307" s="283"/>
      <c r="I307" s="283"/>
      <c r="J307" s="283"/>
      <c r="K307" s="283"/>
      <c r="L307" s="283"/>
      <c r="M307" s="283"/>
      <c r="N307" s="283"/>
      <c r="O307" s="283"/>
      <c r="P307" s="283"/>
      <c r="Q307" s="283"/>
      <c r="R307" s="283"/>
      <c r="S307" s="283"/>
      <c r="T307" s="283"/>
      <c r="U307" s="283"/>
      <c r="V307" s="283"/>
      <c r="W307" s="283"/>
      <c r="X307" s="283"/>
      <c r="Y307" s="283"/>
      <c r="Z307" s="283"/>
    </row>
    <row r="308" ht="14.25" customHeight="1">
      <c r="A308" s="283"/>
      <c r="B308" s="283"/>
      <c r="C308" s="283"/>
      <c r="D308" s="283"/>
      <c r="E308" s="283"/>
      <c r="F308" s="283"/>
      <c r="G308" s="283"/>
      <c r="H308" s="283"/>
      <c r="I308" s="283"/>
      <c r="J308" s="283"/>
      <c r="K308" s="283"/>
      <c r="L308" s="283"/>
      <c r="M308" s="283"/>
      <c r="N308" s="283"/>
      <c r="O308" s="283"/>
      <c r="P308" s="283"/>
      <c r="Q308" s="283"/>
      <c r="R308" s="283"/>
      <c r="S308" s="283"/>
      <c r="T308" s="283"/>
      <c r="U308" s="283"/>
      <c r="V308" s="283"/>
      <c r="W308" s="283"/>
      <c r="X308" s="283"/>
      <c r="Y308" s="283"/>
      <c r="Z308" s="283"/>
    </row>
    <row r="309" ht="14.25" customHeight="1">
      <c r="A309" s="283"/>
      <c r="B309" s="283"/>
      <c r="C309" s="283"/>
      <c r="D309" s="283"/>
      <c r="E309" s="283"/>
      <c r="F309" s="283"/>
      <c r="G309" s="283"/>
      <c r="H309" s="283"/>
      <c r="I309" s="283"/>
      <c r="J309" s="283"/>
      <c r="K309" s="283"/>
      <c r="L309" s="283"/>
      <c r="M309" s="283"/>
      <c r="N309" s="283"/>
      <c r="O309" s="283"/>
      <c r="P309" s="283"/>
      <c r="Q309" s="283"/>
      <c r="R309" s="283"/>
      <c r="S309" s="283"/>
      <c r="T309" s="283"/>
      <c r="U309" s="283"/>
      <c r="V309" s="283"/>
      <c r="W309" s="283"/>
      <c r="X309" s="283"/>
      <c r="Y309" s="283"/>
      <c r="Z309" s="283"/>
    </row>
    <row r="310" ht="14.25" customHeight="1">
      <c r="A310" s="283"/>
      <c r="B310" s="283"/>
      <c r="C310" s="283"/>
      <c r="D310" s="283"/>
      <c r="E310" s="283"/>
      <c r="F310" s="283"/>
      <c r="G310" s="283"/>
      <c r="H310" s="283"/>
      <c r="I310" s="283"/>
      <c r="J310" s="283"/>
      <c r="K310" s="283"/>
      <c r="L310" s="283"/>
      <c r="M310" s="283"/>
      <c r="N310" s="283"/>
      <c r="O310" s="283"/>
      <c r="P310" s="283"/>
      <c r="Q310" s="283"/>
      <c r="R310" s="283"/>
      <c r="S310" s="283"/>
      <c r="T310" s="283"/>
      <c r="U310" s="283"/>
      <c r="V310" s="283"/>
      <c r="W310" s="283"/>
      <c r="X310" s="283"/>
      <c r="Y310" s="283"/>
      <c r="Z310" s="283"/>
    </row>
    <row r="311" ht="14.25" customHeight="1">
      <c r="A311" s="283"/>
      <c r="B311" s="283"/>
      <c r="C311" s="283"/>
      <c r="D311" s="283"/>
      <c r="E311" s="283"/>
      <c r="F311" s="283"/>
      <c r="G311" s="283"/>
      <c r="H311" s="283"/>
      <c r="I311" s="283"/>
      <c r="J311" s="283"/>
      <c r="K311" s="283"/>
      <c r="L311" s="283"/>
      <c r="M311" s="283"/>
      <c r="N311" s="283"/>
      <c r="O311" s="283"/>
      <c r="P311" s="283"/>
      <c r="Q311" s="283"/>
      <c r="R311" s="283"/>
      <c r="S311" s="283"/>
      <c r="T311" s="283"/>
      <c r="U311" s="283"/>
      <c r="V311" s="283"/>
      <c r="W311" s="283"/>
      <c r="X311" s="283"/>
      <c r="Y311" s="283"/>
      <c r="Z311" s="283"/>
    </row>
    <row r="312" ht="14.25" customHeight="1">
      <c r="A312" s="283"/>
      <c r="B312" s="283"/>
      <c r="C312" s="283"/>
      <c r="D312" s="283"/>
      <c r="E312" s="283"/>
      <c r="F312" s="283"/>
      <c r="G312" s="283"/>
      <c r="H312" s="283"/>
      <c r="I312" s="283"/>
      <c r="J312" s="283"/>
      <c r="K312" s="283"/>
      <c r="L312" s="283"/>
      <c r="M312" s="283"/>
      <c r="N312" s="283"/>
      <c r="O312" s="283"/>
      <c r="P312" s="283"/>
      <c r="Q312" s="283"/>
      <c r="R312" s="283"/>
      <c r="S312" s="283"/>
      <c r="T312" s="283"/>
      <c r="U312" s="283"/>
      <c r="V312" s="283"/>
      <c r="W312" s="283"/>
      <c r="X312" s="283"/>
      <c r="Y312" s="283"/>
      <c r="Z312" s="283"/>
    </row>
    <row r="313" ht="14.25" customHeight="1">
      <c r="A313" s="283"/>
      <c r="B313" s="283"/>
      <c r="C313" s="283"/>
      <c r="D313" s="283"/>
      <c r="E313" s="283"/>
      <c r="F313" s="283"/>
      <c r="G313" s="283"/>
      <c r="H313" s="283"/>
      <c r="I313" s="283"/>
      <c r="J313" s="283"/>
      <c r="K313" s="283"/>
      <c r="L313" s="283"/>
      <c r="M313" s="283"/>
      <c r="N313" s="283"/>
      <c r="O313" s="283"/>
      <c r="P313" s="283"/>
      <c r="Q313" s="283"/>
      <c r="R313" s="283"/>
      <c r="S313" s="283"/>
      <c r="T313" s="283"/>
      <c r="U313" s="283"/>
      <c r="V313" s="283"/>
      <c r="W313" s="283"/>
      <c r="X313" s="283"/>
      <c r="Y313" s="283"/>
      <c r="Z313" s="283"/>
    </row>
    <row r="314" ht="14.25" customHeight="1">
      <c r="A314" s="283"/>
      <c r="B314" s="283"/>
      <c r="C314" s="283"/>
      <c r="D314" s="283"/>
      <c r="E314" s="283"/>
      <c r="F314" s="283"/>
      <c r="G314" s="283"/>
      <c r="H314" s="283"/>
      <c r="I314" s="283"/>
      <c r="J314" s="283"/>
      <c r="K314" s="283"/>
      <c r="L314" s="283"/>
      <c r="M314" s="283"/>
      <c r="N314" s="283"/>
      <c r="O314" s="283"/>
      <c r="P314" s="283"/>
      <c r="Q314" s="283"/>
      <c r="R314" s="283"/>
      <c r="S314" s="283"/>
      <c r="T314" s="283"/>
      <c r="U314" s="283"/>
      <c r="V314" s="283"/>
      <c r="W314" s="283"/>
      <c r="X314" s="283"/>
      <c r="Y314" s="283"/>
      <c r="Z314" s="283"/>
    </row>
    <row r="315" ht="14.25" customHeight="1">
      <c r="A315" s="283"/>
      <c r="B315" s="283"/>
      <c r="C315" s="283"/>
      <c r="D315" s="283"/>
      <c r="E315" s="283"/>
      <c r="F315" s="283"/>
      <c r="G315" s="283"/>
      <c r="H315" s="283"/>
      <c r="I315" s="283"/>
      <c r="J315" s="283"/>
      <c r="K315" s="283"/>
      <c r="L315" s="283"/>
      <c r="M315" s="283"/>
      <c r="N315" s="283"/>
      <c r="O315" s="283"/>
      <c r="P315" s="283"/>
      <c r="Q315" s="283"/>
      <c r="R315" s="283"/>
      <c r="S315" s="283"/>
      <c r="T315" s="283"/>
      <c r="U315" s="283"/>
      <c r="V315" s="283"/>
      <c r="W315" s="283"/>
      <c r="X315" s="283"/>
      <c r="Y315" s="283"/>
      <c r="Z315" s="283"/>
    </row>
    <row r="316" ht="14.25" customHeight="1">
      <c r="A316" s="283"/>
      <c r="B316" s="283"/>
      <c r="C316" s="283"/>
      <c r="D316" s="283"/>
      <c r="E316" s="283"/>
      <c r="F316" s="283"/>
      <c r="G316" s="283"/>
      <c r="H316" s="283"/>
      <c r="I316" s="283"/>
      <c r="J316" s="283"/>
      <c r="K316" s="283"/>
      <c r="L316" s="283"/>
      <c r="M316" s="283"/>
      <c r="N316" s="283"/>
      <c r="O316" s="283"/>
      <c r="P316" s="283"/>
      <c r="Q316" s="283"/>
      <c r="R316" s="283"/>
      <c r="S316" s="283"/>
      <c r="T316" s="283"/>
      <c r="U316" s="283"/>
      <c r="V316" s="283"/>
      <c r="W316" s="283"/>
      <c r="X316" s="283"/>
      <c r="Y316" s="283"/>
      <c r="Z316" s="283"/>
    </row>
    <row r="317" ht="14.25" customHeight="1">
      <c r="A317" s="283"/>
      <c r="B317" s="283"/>
      <c r="C317" s="283"/>
      <c r="D317" s="283"/>
      <c r="E317" s="283"/>
      <c r="F317" s="283"/>
      <c r="G317" s="283"/>
      <c r="H317" s="283"/>
      <c r="I317" s="283"/>
      <c r="J317" s="283"/>
      <c r="K317" s="283"/>
      <c r="L317" s="283"/>
      <c r="M317" s="283"/>
      <c r="N317" s="283"/>
      <c r="O317" s="283"/>
      <c r="P317" s="283"/>
      <c r="Q317" s="283"/>
      <c r="R317" s="283"/>
      <c r="S317" s="283"/>
      <c r="T317" s="283"/>
      <c r="U317" s="283"/>
      <c r="V317" s="283"/>
      <c r="W317" s="283"/>
      <c r="X317" s="283"/>
      <c r="Y317" s="283"/>
      <c r="Z317" s="283"/>
    </row>
    <row r="318" ht="14.25" customHeight="1">
      <c r="A318" s="283"/>
      <c r="B318" s="283"/>
      <c r="C318" s="283"/>
      <c r="D318" s="283"/>
      <c r="E318" s="283"/>
      <c r="F318" s="283"/>
      <c r="G318" s="283"/>
      <c r="H318" s="283"/>
      <c r="I318" s="283"/>
      <c r="J318" s="283"/>
      <c r="K318" s="283"/>
      <c r="L318" s="283"/>
      <c r="M318" s="283"/>
      <c r="N318" s="283"/>
      <c r="O318" s="283"/>
      <c r="P318" s="283"/>
      <c r="Q318" s="283"/>
      <c r="R318" s="283"/>
      <c r="S318" s="283"/>
      <c r="T318" s="283"/>
      <c r="U318" s="283"/>
      <c r="V318" s="283"/>
      <c r="W318" s="283"/>
      <c r="X318" s="283"/>
      <c r="Y318" s="283"/>
      <c r="Z318" s="283"/>
    </row>
    <row r="319" ht="14.25" customHeight="1">
      <c r="A319" s="283"/>
      <c r="B319" s="283"/>
      <c r="C319" s="283"/>
      <c r="D319" s="283"/>
      <c r="E319" s="283"/>
      <c r="F319" s="283"/>
      <c r="G319" s="283"/>
      <c r="H319" s="283"/>
      <c r="I319" s="283"/>
      <c r="J319" s="283"/>
      <c r="K319" s="283"/>
      <c r="L319" s="283"/>
      <c r="M319" s="283"/>
      <c r="N319" s="283"/>
      <c r="O319" s="283"/>
      <c r="P319" s="283"/>
      <c r="Q319" s="283"/>
      <c r="R319" s="283"/>
      <c r="S319" s="283"/>
      <c r="T319" s="283"/>
      <c r="U319" s="283"/>
      <c r="V319" s="283"/>
      <c r="W319" s="283"/>
      <c r="X319" s="283"/>
      <c r="Y319" s="283"/>
      <c r="Z319" s="283"/>
    </row>
    <row r="320" ht="14.25" customHeight="1">
      <c r="A320" s="283"/>
      <c r="B320" s="283"/>
      <c r="C320" s="283"/>
      <c r="D320" s="283"/>
      <c r="E320" s="283"/>
      <c r="F320" s="283"/>
      <c r="G320" s="283"/>
      <c r="H320" s="283"/>
      <c r="I320" s="283"/>
      <c r="J320" s="283"/>
      <c r="K320" s="283"/>
      <c r="L320" s="283"/>
      <c r="M320" s="283"/>
      <c r="N320" s="283"/>
      <c r="O320" s="283"/>
      <c r="P320" s="283"/>
      <c r="Q320" s="283"/>
      <c r="R320" s="283"/>
      <c r="S320" s="283"/>
      <c r="T320" s="283"/>
      <c r="U320" s="283"/>
      <c r="V320" s="283"/>
      <c r="W320" s="283"/>
      <c r="X320" s="283"/>
      <c r="Y320" s="283"/>
      <c r="Z320" s="283"/>
    </row>
    <row r="321" ht="14.25" customHeight="1">
      <c r="A321" s="283"/>
      <c r="B321" s="283"/>
      <c r="C321" s="283"/>
      <c r="D321" s="283"/>
      <c r="E321" s="283"/>
      <c r="F321" s="283"/>
      <c r="G321" s="283"/>
      <c r="H321" s="283"/>
      <c r="I321" s="283"/>
      <c r="J321" s="283"/>
      <c r="K321" s="283"/>
      <c r="L321" s="283"/>
      <c r="M321" s="283"/>
      <c r="N321" s="283"/>
      <c r="O321" s="283"/>
      <c r="P321" s="283"/>
      <c r="Q321" s="283"/>
      <c r="R321" s="283"/>
      <c r="S321" s="283"/>
      <c r="T321" s="283"/>
      <c r="U321" s="283"/>
      <c r="V321" s="283"/>
      <c r="W321" s="283"/>
      <c r="X321" s="283"/>
      <c r="Y321" s="283"/>
      <c r="Z321" s="283"/>
    </row>
    <row r="322" ht="14.25" customHeight="1">
      <c r="A322" s="283"/>
      <c r="B322" s="283"/>
      <c r="C322" s="283"/>
      <c r="D322" s="283"/>
      <c r="E322" s="283"/>
      <c r="F322" s="283"/>
      <c r="G322" s="283"/>
      <c r="H322" s="283"/>
      <c r="I322" s="283"/>
      <c r="J322" s="283"/>
      <c r="K322" s="283"/>
      <c r="L322" s="283"/>
      <c r="M322" s="283"/>
      <c r="N322" s="283"/>
      <c r="O322" s="283"/>
      <c r="P322" s="283"/>
      <c r="Q322" s="283"/>
      <c r="R322" s="283"/>
      <c r="S322" s="283"/>
      <c r="T322" s="283"/>
      <c r="U322" s="283"/>
      <c r="V322" s="283"/>
      <c r="W322" s="283"/>
      <c r="X322" s="283"/>
      <c r="Y322" s="283"/>
      <c r="Z322" s="283"/>
    </row>
    <row r="323" ht="14.25" customHeight="1">
      <c r="A323" s="283"/>
      <c r="B323" s="283"/>
      <c r="C323" s="283"/>
      <c r="D323" s="283"/>
      <c r="E323" s="283"/>
      <c r="F323" s="283"/>
      <c r="G323" s="283"/>
      <c r="H323" s="283"/>
      <c r="I323" s="283"/>
      <c r="J323" s="283"/>
      <c r="K323" s="283"/>
      <c r="L323" s="283"/>
      <c r="M323" s="283"/>
      <c r="N323" s="283"/>
      <c r="O323" s="283"/>
      <c r="P323" s="283"/>
      <c r="Q323" s="283"/>
      <c r="R323" s="283"/>
      <c r="S323" s="283"/>
      <c r="T323" s="283"/>
      <c r="U323" s="283"/>
      <c r="V323" s="283"/>
      <c r="W323" s="283"/>
      <c r="X323" s="283"/>
      <c r="Y323" s="283"/>
      <c r="Z323" s="283"/>
    </row>
    <row r="324" ht="14.25" customHeight="1">
      <c r="A324" s="283"/>
      <c r="B324" s="283"/>
      <c r="C324" s="283"/>
      <c r="D324" s="283"/>
      <c r="E324" s="283"/>
      <c r="F324" s="283"/>
      <c r="G324" s="283"/>
      <c r="H324" s="283"/>
      <c r="I324" s="283"/>
      <c r="J324" s="283"/>
      <c r="K324" s="283"/>
      <c r="L324" s="283"/>
      <c r="M324" s="283"/>
      <c r="N324" s="283"/>
      <c r="O324" s="283"/>
      <c r="P324" s="283"/>
      <c r="Q324" s="283"/>
      <c r="R324" s="283"/>
      <c r="S324" s="283"/>
      <c r="T324" s="283"/>
      <c r="U324" s="283"/>
      <c r="V324" s="283"/>
      <c r="W324" s="283"/>
      <c r="X324" s="283"/>
      <c r="Y324" s="283"/>
      <c r="Z324" s="283"/>
    </row>
    <row r="325" ht="14.25" customHeight="1">
      <c r="A325" s="283"/>
      <c r="B325" s="283"/>
      <c r="C325" s="283"/>
      <c r="D325" s="283"/>
      <c r="E325" s="283"/>
      <c r="F325" s="283"/>
      <c r="G325" s="283"/>
      <c r="H325" s="283"/>
      <c r="I325" s="283"/>
      <c r="J325" s="283"/>
      <c r="K325" s="283"/>
      <c r="L325" s="283"/>
      <c r="M325" s="283"/>
      <c r="N325" s="283"/>
      <c r="O325" s="283"/>
      <c r="P325" s="283"/>
      <c r="Q325" s="283"/>
      <c r="R325" s="283"/>
      <c r="S325" s="283"/>
      <c r="T325" s="283"/>
      <c r="U325" s="283"/>
      <c r="V325" s="283"/>
      <c r="W325" s="283"/>
      <c r="X325" s="283"/>
      <c r="Y325" s="283"/>
      <c r="Z325" s="283"/>
    </row>
    <row r="326" ht="14.25" customHeight="1">
      <c r="A326" s="283"/>
      <c r="B326" s="283"/>
      <c r="C326" s="283"/>
      <c r="D326" s="283"/>
      <c r="E326" s="283"/>
      <c r="F326" s="283"/>
      <c r="G326" s="283"/>
      <c r="H326" s="283"/>
      <c r="I326" s="283"/>
      <c r="J326" s="283"/>
      <c r="K326" s="283"/>
      <c r="L326" s="283"/>
      <c r="M326" s="283"/>
      <c r="N326" s="283"/>
      <c r="O326" s="283"/>
      <c r="P326" s="283"/>
      <c r="Q326" s="283"/>
      <c r="R326" s="283"/>
      <c r="S326" s="283"/>
      <c r="T326" s="283"/>
      <c r="U326" s="283"/>
      <c r="V326" s="283"/>
      <c r="W326" s="283"/>
      <c r="X326" s="283"/>
      <c r="Y326" s="283"/>
      <c r="Z326" s="283"/>
    </row>
    <row r="327" ht="14.25" customHeight="1">
      <c r="A327" s="283"/>
      <c r="B327" s="283"/>
      <c r="C327" s="283"/>
      <c r="D327" s="283"/>
      <c r="E327" s="283"/>
      <c r="F327" s="283"/>
      <c r="G327" s="283"/>
      <c r="H327" s="283"/>
      <c r="I327" s="283"/>
      <c r="J327" s="283"/>
      <c r="K327" s="283"/>
      <c r="L327" s="283"/>
      <c r="M327" s="283"/>
      <c r="N327" s="283"/>
      <c r="O327" s="283"/>
      <c r="P327" s="283"/>
      <c r="Q327" s="283"/>
      <c r="R327" s="283"/>
      <c r="S327" s="283"/>
      <c r="T327" s="283"/>
      <c r="U327" s="283"/>
      <c r="V327" s="283"/>
      <c r="W327" s="283"/>
      <c r="X327" s="283"/>
      <c r="Y327" s="283"/>
      <c r="Z327" s="283"/>
    </row>
    <row r="328" ht="14.25" customHeight="1">
      <c r="A328" s="283"/>
      <c r="B328" s="283"/>
      <c r="C328" s="283"/>
      <c r="D328" s="283"/>
      <c r="E328" s="283"/>
      <c r="F328" s="283"/>
      <c r="G328" s="283"/>
      <c r="H328" s="283"/>
      <c r="I328" s="283"/>
      <c r="J328" s="283"/>
      <c r="K328" s="283"/>
      <c r="L328" s="283"/>
      <c r="M328" s="283"/>
      <c r="N328" s="283"/>
      <c r="O328" s="283"/>
      <c r="P328" s="283"/>
      <c r="Q328" s="283"/>
      <c r="R328" s="283"/>
      <c r="S328" s="283"/>
      <c r="T328" s="283"/>
      <c r="U328" s="283"/>
      <c r="V328" s="283"/>
      <c r="W328" s="283"/>
      <c r="X328" s="283"/>
      <c r="Y328" s="283"/>
      <c r="Z328" s="283"/>
    </row>
    <row r="329" ht="14.25" customHeight="1">
      <c r="A329" s="283"/>
      <c r="B329" s="283"/>
      <c r="C329" s="283"/>
      <c r="D329" s="283"/>
      <c r="E329" s="283"/>
      <c r="F329" s="283"/>
      <c r="G329" s="283"/>
      <c r="H329" s="283"/>
      <c r="I329" s="283"/>
      <c r="J329" s="283"/>
      <c r="K329" s="283"/>
      <c r="L329" s="283"/>
      <c r="M329" s="283"/>
      <c r="N329" s="283"/>
      <c r="O329" s="283"/>
      <c r="P329" s="283"/>
      <c r="Q329" s="283"/>
      <c r="R329" s="283"/>
      <c r="S329" s="283"/>
      <c r="T329" s="283"/>
      <c r="U329" s="283"/>
      <c r="V329" s="283"/>
      <c r="W329" s="283"/>
      <c r="X329" s="283"/>
      <c r="Y329" s="283"/>
      <c r="Z329" s="283"/>
    </row>
    <row r="330" ht="14.25" customHeight="1">
      <c r="A330" s="283"/>
      <c r="B330" s="283"/>
      <c r="C330" s="283"/>
      <c r="D330" s="283"/>
      <c r="E330" s="283"/>
      <c r="F330" s="283"/>
      <c r="G330" s="283"/>
      <c r="H330" s="283"/>
      <c r="I330" s="283"/>
      <c r="J330" s="283"/>
      <c r="K330" s="283"/>
      <c r="L330" s="283"/>
      <c r="M330" s="283"/>
      <c r="N330" s="283"/>
      <c r="O330" s="283"/>
      <c r="P330" s="283"/>
      <c r="Q330" s="283"/>
      <c r="R330" s="283"/>
      <c r="S330" s="283"/>
      <c r="T330" s="283"/>
      <c r="U330" s="283"/>
      <c r="V330" s="283"/>
      <c r="W330" s="283"/>
      <c r="X330" s="283"/>
      <c r="Y330" s="283"/>
      <c r="Z330" s="283"/>
    </row>
    <row r="331" ht="14.25" customHeight="1">
      <c r="A331" s="283"/>
      <c r="B331" s="283"/>
      <c r="C331" s="283"/>
      <c r="D331" s="283"/>
      <c r="E331" s="283"/>
      <c r="F331" s="283"/>
      <c r="G331" s="283"/>
      <c r="H331" s="283"/>
      <c r="I331" s="283"/>
      <c r="J331" s="283"/>
      <c r="K331" s="283"/>
      <c r="L331" s="283"/>
      <c r="M331" s="283"/>
      <c r="N331" s="283"/>
      <c r="O331" s="283"/>
      <c r="P331" s="283"/>
      <c r="Q331" s="283"/>
      <c r="R331" s="283"/>
      <c r="S331" s="283"/>
      <c r="T331" s="283"/>
      <c r="U331" s="283"/>
      <c r="V331" s="283"/>
      <c r="W331" s="283"/>
      <c r="X331" s="283"/>
      <c r="Y331" s="283"/>
      <c r="Z331" s="283"/>
    </row>
    <row r="332" ht="14.25" customHeight="1">
      <c r="A332" s="283"/>
      <c r="B332" s="283"/>
      <c r="C332" s="283"/>
      <c r="D332" s="283"/>
      <c r="E332" s="283"/>
      <c r="F332" s="283"/>
      <c r="G332" s="283"/>
      <c r="H332" s="283"/>
      <c r="I332" s="283"/>
      <c r="J332" s="283"/>
      <c r="K332" s="283"/>
      <c r="L332" s="283"/>
      <c r="M332" s="283"/>
      <c r="N332" s="283"/>
      <c r="O332" s="283"/>
      <c r="P332" s="283"/>
      <c r="Q332" s="283"/>
      <c r="R332" s="283"/>
      <c r="S332" s="283"/>
      <c r="T332" s="283"/>
      <c r="U332" s="283"/>
      <c r="V332" s="283"/>
      <c r="W332" s="283"/>
      <c r="X332" s="283"/>
      <c r="Y332" s="283"/>
      <c r="Z332" s="283"/>
    </row>
    <row r="333" ht="14.25" customHeight="1">
      <c r="A333" s="283"/>
      <c r="B333" s="283"/>
      <c r="C333" s="283"/>
      <c r="D333" s="283"/>
      <c r="E333" s="283"/>
      <c r="F333" s="283"/>
      <c r="G333" s="283"/>
      <c r="H333" s="283"/>
      <c r="I333" s="283"/>
      <c r="J333" s="283"/>
      <c r="K333" s="283"/>
      <c r="L333" s="283"/>
      <c r="M333" s="283"/>
      <c r="N333" s="283"/>
      <c r="O333" s="283"/>
      <c r="P333" s="283"/>
      <c r="Q333" s="283"/>
      <c r="R333" s="283"/>
      <c r="S333" s="283"/>
      <c r="T333" s="283"/>
      <c r="U333" s="283"/>
      <c r="V333" s="283"/>
      <c r="W333" s="283"/>
      <c r="X333" s="283"/>
      <c r="Y333" s="283"/>
      <c r="Z333" s="283"/>
    </row>
    <row r="334" ht="14.25" customHeight="1">
      <c r="A334" s="283"/>
      <c r="B334" s="283"/>
      <c r="C334" s="283"/>
      <c r="D334" s="283"/>
      <c r="E334" s="283"/>
      <c r="F334" s="283"/>
      <c r="G334" s="283"/>
      <c r="H334" s="283"/>
      <c r="I334" s="283"/>
      <c r="J334" s="283"/>
      <c r="K334" s="283"/>
      <c r="L334" s="283"/>
      <c r="M334" s="283"/>
      <c r="N334" s="283"/>
      <c r="O334" s="283"/>
      <c r="P334" s="283"/>
      <c r="Q334" s="283"/>
      <c r="R334" s="283"/>
      <c r="S334" s="283"/>
      <c r="T334" s="283"/>
      <c r="U334" s="283"/>
      <c r="V334" s="283"/>
      <c r="W334" s="283"/>
      <c r="X334" s="283"/>
      <c r="Y334" s="283"/>
      <c r="Z334" s="283"/>
    </row>
    <row r="335" ht="14.25" customHeight="1">
      <c r="A335" s="283"/>
      <c r="B335" s="283"/>
      <c r="C335" s="283"/>
      <c r="D335" s="283"/>
      <c r="E335" s="283"/>
      <c r="F335" s="283"/>
      <c r="G335" s="283"/>
      <c r="H335" s="283"/>
      <c r="I335" s="283"/>
      <c r="J335" s="283"/>
      <c r="K335" s="283"/>
      <c r="L335" s="283"/>
      <c r="M335" s="283"/>
      <c r="N335" s="283"/>
      <c r="O335" s="283"/>
      <c r="P335" s="283"/>
      <c r="Q335" s="283"/>
      <c r="R335" s="283"/>
      <c r="S335" s="283"/>
      <c r="T335" s="283"/>
      <c r="U335" s="283"/>
      <c r="V335" s="283"/>
      <c r="W335" s="283"/>
      <c r="X335" s="283"/>
      <c r="Y335" s="283"/>
      <c r="Z335" s="283"/>
    </row>
    <row r="336" ht="14.25" customHeight="1">
      <c r="A336" s="283"/>
      <c r="B336" s="283"/>
      <c r="C336" s="283"/>
      <c r="D336" s="283"/>
      <c r="E336" s="283"/>
      <c r="F336" s="283"/>
      <c r="G336" s="283"/>
      <c r="H336" s="283"/>
      <c r="I336" s="283"/>
      <c r="J336" s="283"/>
      <c r="K336" s="283"/>
      <c r="L336" s="283"/>
      <c r="M336" s="283"/>
      <c r="N336" s="283"/>
      <c r="O336" s="283"/>
      <c r="P336" s="283"/>
      <c r="Q336" s="283"/>
      <c r="R336" s="283"/>
      <c r="S336" s="283"/>
      <c r="T336" s="283"/>
      <c r="U336" s="283"/>
      <c r="V336" s="283"/>
      <c r="W336" s="283"/>
      <c r="X336" s="283"/>
      <c r="Y336" s="283"/>
      <c r="Z336" s="283"/>
    </row>
    <row r="337" ht="14.25" customHeight="1">
      <c r="A337" s="283"/>
      <c r="B337" s="283"/>
      <c r="C337" s="283"/>
      <c r="D337" s="283"/>
      <c r="E337" s="283"/>
      <c r="F337" s="283"/>
      <c r="G337" s="283"/>
      <c r="H337" s="283"/>
      <c r="I337" s="283"/>
      <c r="J337" s="283"/>
      <c r="K337" s="283"/>
      <c r="L337" s="283"/>
      <c r="M337" s="283"/>
      <c r="N337" s="283"/>
      <c r="O337" s="283"/>
      <c r="P337" s="283"/>
      <c r="Q337" s="283"/>
      <c r="R337" s="283"/>
      <c r="S337" s="283"/>
      <c r="T337" s="283"/>
      <c r="U337" s="283"/>
      <c r="V337" s="283"/>
      <c r="W337" s="283"/>
      <c r="X337" s="283"/>
      <c r="Y337" s="283"/>
      <c r="Z337" s="283"/>
    </row>
    <row r="338" ht="14.25" customHeight="1">
      <c r="A338" s="283"/>
      <c r="B338" s="283"/>
      <c r="C338" s="283"/>
      <c r="D338" s="283"/>
      <c r="E338" s="283"/>
      <c r="F338" s="283"/>
      <c r="G338" s="283"/>
      <c r="H338" s="283"/>
      <c r="I338" s="283"/>
      <c r="J338" s="283"/>
      <c r="K338" s="283"/>
      <c r="L338" s="283"/>
      <c r="M338" s="283"/>
      <c r="N338" s="283"/>
      <c r="O338" s="283"/>
      <c r="P338" s="283"/>
      <c r="Q338" s="283"/>
      <c r="R338" s="283"/>
      <c r="S338" s="283"/>
      <c r="T338" s="283"/>
      <c r="U338" s="283"/>
      <c r="V338" s="283"/>
      <c r="W338" s="283"/>
      <c r="X338" s="283"/>
      <c r="Y338" s="283"/>
      <c r="Z338" s="283"/>
    </row>
    <row r="339" ht="14.25" customHeight="1">
      <c r="A339" s="283"/>
      <c r="B339" s="283"/>
      <c r="C339" s="283"/>
      <c r="D339" s="283"/>
      <c r="E339" s="283"/>
      <c r="F339" s="283"/>
      <c r="G339" s="283"/>
      <c r="H339" s="283"/>
      <c r="I339" s="283"/>
      <c r="J339" s="283"/>
      <c r="K339" s="283"/>
      <c r="L339" s="283"/>
      <c r="M339" s="283"/>
      <c r="N339" s="283"/>
      <c r="O339" s="283"/>
      <c r="P339" s="283"/>
      <c r="Q339" s="283"/>
      <c r="R339" s="283"/>
      <c r="S339" s="283"/>
      <c r="T339" s="283"/>
      <c r="U339" s="283"/>
      <c r="V339" s="283"/>
      <c r="W339" s="283"/>
      <c r="X339" s="283"/>
      <c r="Y339" s="283"/>
      <c r="Z339" s="283"/>
    </row>
    <row r="340" ht="14.25" customHeight="1">
      <c r="A340" s="283"/>
      <c r="B340" s="283"/>
      <c r="C340" s="283"/>
      <c r="D340" s="283"/>
      <c r="E340" s="283"/>
      <c r="F340" s="283"/>
      <c r="G340" s="283"/>
      <c r="H340" s="283"/>
      <c r="I340" s="283"/>
      <c r="J340" s="283"/>
      <c r="K340" s="283"/>
      <c r="L340" s="283"/>
      <c r="M340" s="283"/>
      <c r="N340" s="283"/>
      <c r="O340" s="283"/>
      <c r="P340" s="283"/>
      <c r="Q340" s="283"/>
      <c r="R340" s="283"/>
      <c r="S340" s="283"/>
      <c r="T340" s="283"/>
      <c r="U340" s="283"/>
      <c r="V340" s="283"/>
      <c r="W340" s="283"/>
      <c r="X340" s="283"/>
      <c r="Y340" s="283"/>
      <c r="Z340" s="283"/>
    </row>
    <row r="341" ht="14.25" customHeight="1">
      <c r="A341" s="283"/>
      <c r="B341" s="283"/>
      <c r="C341" s="283"/>
      <c r="D341" s="283"/>
      <c r="E341" s="283"/>
      <c r="F341" s="283"/>
      <c r="G341" s="283"/>
      <c r="H341" s="283"/>
      <c r="I341" s="283"/>
      <c r="J341" s="283"/>
      <c r="K341" s="283"/>
      <c r="L341" s="283"/>
      <c r="M341" s="283"/>
      <c r="N341" s="283"/>
      <c r="O341" s="283"/>
      <c r="P341" s="283"/>
      <c r="Q341" s="283"/>
      <c r="R341" s="283"/>
      <c r="S341" s="283"/>
      <c r="T341" s="283"/>
      <c r="U341" s="283"/>
      <c r="V341" s="283"/>
      <c r="W341" s="283"/>
      <c r="X341" s="283"/>
      <c r="Y341" s="283"/>
      <c r="Z341" s="283"/>
    </row>
    <row r="342" ht="14.25" customHeight="1">
      <c r="A342" s="283"/>
      <c r="B342" s="283"/>
      <c r="C342" s="283"/>
      <c r="D342" s="283"/>
      <c r="E342" s="283"/>
      <c r="F342" s="283"/>
      <c r="G342" s="283"/>
      <c r="H342" s="283"/>
      <c r="I342" s="283"/>
      <c r="J342" s="283"/>
      <c r="K342" s="283"/>
      <c r="L342" s="283"/>
      <c r="M342" s="283"/>
      <c r="N342" s="283"/>
      <c r="O342" s="283"/>
      <c r="P342" s="283"/>
      <c r="Q342" s="283"/>
      <c r="R342" s="283"/>
      <c r="S342" s="283"/>
      <c r="T342" s="283"/>
      <c r="U342" s="283"/>
      <c r="V342" s="283"/>
      <c r="W342" s="283"/>
      <c r="X342" s="283"/>
      <c r="Y342" s="283"/>
      <c r="Z342" s="283"/>
    </row>
    <row r="343" ht="14.25" customHeight="1">
      <c r="A343" s="283"/>
      <c r="B343" s="283"/>
      <c r="C343" s="283"/>
      <c r="D343" s="283"/>
      <c r="E343" s="283"/>
      <c r="F343" s="283"/>
      <c r="G343" s="283"/>
      <c r="H343" s="283"/>
      <c r="I343" s="283"/>
      <c r="J343" s="283"/>
      <c r="K343" s="283"/>
      <c r="L343" s="283"/>
      <c r="M343" s="283"/>
      <c r="N343" s="283"/>
      <c r="O343" s="283"/>
      <c r="P343" s="283"/>
      <c r="Q343" s="283"/>
      <c r="R343" s="283"/>
      <c r="S343" s="283"/>
      <c r="T343" s="283"/>
      <c r="U343" s="283"/>
      <c r="V343" s="283"/>
      <c r="W343" s="283"/>
      <c r="X343" s="283"/>
      <c r="Y343" s="283"/>
      <c r="Z343" s="283"/>
    </row>
    <row r="344" ht="14.25" customHeight="1">
      <c r="A344" s="283"/>
      <c r="B344" s="283"/>
      <c r="C344" s="283"/>
      <c r="D344" s="283"/>
      <c r="E344" s="283"/>
      <c r="F344" s="283"/>
      <c r="G344" s="283"/>
      <c r="H344" s="283"/>
      <c r="I344" s="283"/>
      <c r="J344" s="283"/>
      <c r="K344" s="283"/>
      <c r="L344" s="283"/>
      <c r="M344" s="283"/>
      <c r="N344" s="283"/>
      <c r="O344" s="283"/>
      <c r="P344" s="283"/>
      <c r="Q344" s="283"/>
      <c r="R344" s="283"/>
      <c r="S344" s="283"/>
      <c r="T344" s="283"/>
      <c r="U344" s="283"/>
      <c r="V344" s="283"/>
      <c r="W344" s="283"/>
      <c r="X344" s="283"/>
      <c r="Y344" s="283"/>
      <c r="Z344" s="283"/>
    </row>
    <row r="345" ht="14.25" customHeight="1">
      <c r="A345" s="283"/>
      <c r="B345" s="283"/>
      <c r="C345" s="283"/>
      <c r="D345" s="283"/>
      <c r="E345" s="283"/>
      <c r="F345" s="283"/>
      <c r="G345" s="283"/>
      <c r="H345" s="283"/>
      <c r="I345" s="283"/>
      <c r="J345" s="283"/>
      <c r="K345" s="283"/>
      <c r="L345" s="283"/>
      <c r="M345" s="283"/>
      <c r="N345" s="283"/>
      <c r="O345" s="283"/>
      <c r="P345" s="283"/>
      <c r="Q345" s="283"/>
      <c r="R345" s="283"/>
      <c r="S345" s="283"/>
      <c r="T345" s="283"/>
      <c r="U345" s="283"/>
      <c r="V345" s="283"/>
      <c r="W345" s="283"/>
      <c r="X345" s="283"/>
      <c r="Y345" s="283"/>
      <c r="Z345" s="283"/>
    </row>
    <row r="346" ht="14.25" customHeight="1">
      <c r="A346" s="283"/>
      <c r="B346" s="283"/>
      <c r="C346" s="283"/>
      <c r="D346" s="283"/>
      <c r="E346" s="283"/>
      <c r="F346" s="283"/>
      <c r="G346" s="283"/>
      <c r="H346" s="283"/>
      <c r="I346" s="283"/>
      <c r="J346" s="283"/>
      <c r="K346" s="283"/>
      <c r="L346" s="283"/>
      <c r="M346" s="283"/>
      <c r="N346" s="283"/>
      <c r="O346" s="283"/>
      <c r="P346" s="283"/>
      <c r="Q346" s="283"/>
      <c r="R346" s="283"/>
      <c r="S346" s="283"/>
      <c r="T346" s="283"/>
      <c r="U346" s="283"/>
      <c r="V346" s="283"/>
      <c r="W346" s="283"/>
      <c r="X346" s="283"/>
      <c r="Y346" s="283"/>
      <c r="Z346" s="283"/>
    </row>
    <row r="347" ht="14.25" customHeight="1">
      <c r="A347" s="283"/>
      <c r="B347" s="283"/>
      <c r="C347" s="283"/>
      <c r="D347" s="283"/>
      <c r="E347" s="283"/>
      <c r="F347" s="283"/>
      <c r="G347" s="283"/>
      <c r="H347" s="283"/>
      <c r="I347" s="283"/>
      <c r="J347" s="283"/>
      <c r="K347" s="283"/>
      <c r="L347" s="283"/>
      <c r="M347" s="283"/>
      <c r="N347" s="283"/>
      <c r="O347" s="283"/>
      <c r="P347" s="283"/>
      <c r="Q347" s="283"/>
      <c r="R347" s="283"/>
      <c r="S347" s="283"/>
      <c r="T347" s="283"/>
      <c r="U347" s="283"/>
      <c r="V347" s="283"/>
      <c r="W347" s="283"/>
      <c r="X347" s="283"/>
      <c r="Y347" s="283"/>
      <c r="Z347" s="283"/>
    </row>
    <row r="348" ht="14.25" customHeight="1">
      <c r="A348" s="283"/>
      <c r="B348" s="283"/>
      <c r="C348" s="283"/>
      <c r="D348" s="283"/>
      <c r="E348" s="283"/>
      <c r="F348" s="283"/>
      <c r="G348" s="283"/>
      <c r="H348" s="283"/>
      <c r="I348" s="283"/>
      <c r="J348" s="283"/>
      <c r="K348" s="283"/>
      <c r="L348" s="283"/>
      <c r="M348" s="283"/>
      <c r="N348" s="283"/>
      <c r="O348" s="283"/>
      <c r="P348" s="283"/>
      <c r="Q348" s="283"/>
      <c r="R348" s="283"/>
      <c r="S348" s="283"/>
      <c r="T348" s="283"/>
      <c r="U348" s="283"/>
      <c r="V348" s="283"/>
      <c r="W348" s="283"/>
      <c r="X348" s="283"/>
      <c r="Y348" s="283"/>
      <c r="Z348" s="283"/>
    </row>
    <row r="349" ht="14.25" customHeight="1">
      <c r="A349" s="283"/>
      <c r="B349" s="283"/>
      <c r="C349" s="283"/>
      <c r="D349" s="283"/>
      <c r="E349" s="283"/>
      <c r="F349" s="283"/>
      <c r="G349" s="283"/>
      <c r="H349" s="283"/>
      <c r="I349" s="283"/>
      <c r="J349" s="283"/>
      <c r="K349" s="283"/>
      <c r="L349" s="283"/>
      <c r="M349" s="283"/>
      <c r="N349" s="283"/>
      <c r="O349" s="283"/>
      <c r="P349" s="283"/>
      <c r="Q349" s="283"/>
      <c r="R349" s="283"/>
      <c r="S349" s="283"/>
      <c r="T349" s="283"/>
      <c r="U349" s="283"/>
      <c r="V349" s="283"/>
      <c r="W349" s="283"/>
      <c r="X349" s="283"/>
      <c r="Y349" s="283"/>
      <c r="Z349" s="283"/>
    </row>
    <row r="350" ht="14.25" customHeight="1">
      <c r="A350" s="283"/>
      <c r="B350" s="283"/>
      <c r="C350" s="283"/>
      <c r="D350" s="283"/>
      <c r="E350" s="283"/>
      <c r="F350" s="283"/>
      <c r="G350" s="283"/>
      <c r="H350" s="283"/>
      <c r="I350" s="283"/>
      <c r="J350" s="283"/>
      <c r="K350" s="283"/>
      <c r="L350" s="283"/>
      <c r="M350" s="283"/>
      <c r="N350" s="283"/>
      <c r="O350" s="283"/>
      <c r="P350" s="283"/>
      <c r="Q350" s="283"/>
      <c r="R350" s="283"/>
      <c r="S350" s="283"/>
      <c r="T350" s="283"/>
      <c r="U350" s="283"/>
      <c r="V350" s="283"/>
      <c r="W350" s="283"/>
      <c r="X350" s="283"/>
      <c r="Y350" s="283"/>
      <c r="Z350" s="283"/>
    </row>
    <row r="351" ht="14.25" customHeight="1">
      <c r="A351" s="283"/>
      <c r="B351" s="283"/>
      <c r="C351" s="283"/>
      <c r="D351" s="283"/>
      <c r="E351" s="283"/>
      <c r="F351" s="283"/>
      <c r="G351" s="283"/>
      <c r="H351" s="283"/>
      <c r="I351" s="283"/>
      <c r="J351" s="283"/>
      <c r="K351" s="283"/>
      <c r="L351" s="283"/>
      <c r="M351" s="283"/>
      <c r="N351" s="283"/>
      <c r="O351" s="283"/>
      <c r="P351" s="283"/>
      <c r="Q351" s="283"/>
      <c r="R351" s="283"/>
      <c r="S351" s="283"/>
      <c r="T351" s="283"/>
      <c r="U351" s="283"/>
      <c r="V351" s="283"/>
      <c r="W351" s="283"/>
      <c r="X351" s="283"/>
      <c r="Y351" s="283"/>
      <c r="Z351" s="283"/>
    </row>
    <row r="352" ht="14.25" customHeight="1">
      <c r="A352" s="283"/>
      <c r="B352" s="283"/>
      <c r="C352" s="283"/>
      <c r="D352" s="283"/>
      <c r="E352" s="283"/>
      <c r="F352" s="283"/>
      <c r="G352" s="283"/>
      <c r="H352" s="283"/>
      <c r="I352" s="283"/>
      <c r="J352" s="283"/>
      <c r="K352" s="283"/>
      <c r="L352" s="283"/>
      <c r="M352" s="283"/>
      <c r="N352" s="283"/>
      <c r="O352" s="283"/>
      <c r="P352" s="283"/>
      <c r="Q352" s="283"/>
      <c r="R352" s="283"/>
      <c r="S352" s="283"/>
      <c r="T352" s="283"/>
      <c r="U352" s="283"/>
      <c r="V352" s="283"/>
      <c r="W352" s="283"/>
      <c r="X352" s="283"/>
      <c r="Y352" s="283"/>
      <c r="Z352" s="283"/>
    </row>
    <row r="353" ht="14.25" customHeight="1">
      <c r="A353" s="283"/>
      <c r="B353" s="283"/>
      <c r="C353" s="283"/>
      <c r="D353" s="283"/>
      <c r="E353" s="283"/>
      <c r="F353" s="283"/>
      <c r="G353" s="283"/>
      <c r="H353" s="283"/>
      <c r="I353" s="283"/>
      <c r="J353" s="283"/>
      <c r="K353" s="283"/>
      <c r="L353" s="283"/>
      <c r="M353" s="283"/>
      <c r="N353" s="283"/>
      <c r="O353" s="283"/>
      <c r="P353" s="283"/>
      <c r="Q353" s="283"/>
      <c r="R353" s="283"/>
      <c r="S353" s="283"/>
      <c r="T353" s="283"/>
      <c r="U353" s="283"/>
      <c r="V353" s="283"/>
      <c r="W353" s="283"/>
      <c r="X353" s="283"/>
      <c r="Y353" s="283"/>
      <c r="Z353" s="283"/>
    </row>
    <row r="354" ht="14.25" customHeight="1">
      <c r="A354" s="283"/>
      <c r="B354" s="283"/>
      <c r="C354" s="283"/>
      <c r="D354" s="283"/>
      <c r="E354" s="283"/>
      <c r="F354" s="283"/>
      <c r="G354" s="283"/>
      <c r="H354" s="283"/>
      <c r="I354" s="283"/>
      <c r="J354" s="283"/>
      <c r="K354" s="283"/>
      <c r="L354" s="283"/>
      <c r="M354" s="283"/>
      <c r="N354" s="283"/>
      <c r="O354" s="283"/>
      <c r="P354" s="283"/>
      <c r="Q354" s="283"/>
      <c r="R354" s="283"/>
      <c r="S354" s="283"/>
      <c r="T354" s="283"/>
      <c r="U354" s="283"/>
      <c r="V354" s="283"/>
      <c r="W354" s="283"/>
      <c r="X354" s="283"/>
      <c r="Y354" s="283"/>
      <c r="Z354" s="283"/>
    </row>
    <row r="355" ht="14.25" customHeight="1">
      <c r="A355" s="283"/>
      <c r="B355" s="283"/>
      <c r="C355" s="283"/>
      <c r="D355" s="283"/>
      <c r="E355" s="283"/>
      <c r="F355" s="283"/>
      <c r="G355" s="283"/>
      <c r="H355" s="283"/>
      <c r="I355" s="283"/>
      <c r="J355" s="283"/>
      <c r="K355" s="283"/>
      <c r="L355" s="283"/>
      <c r="M355" s="283"/>
      <c r="N355" s="283"/>
      <c r="O355" s="283"/>
      <c r="P355" s="283"/>
      <c r="Q355" s="283"/>
      <c r="R355" s="283"/>
      <c r="S355" s="283"/>
      <c r="T355" s="283"/>
      <c r="U355" s="283"/>
      <c r="V355" s="283"/>
      <c r="W355" s="283"/>
      <c r="X355" s="283"/>
      <c r="Y355" s="283"/>
      <c r="Z355" s="283"/>
    </row>
    <row r="356" ht="14.25" customHeight="1">
      <c r="A356" s="283"/>
      <c r="B356" s="283"/>
      <c r="C356" s="283"/>
      <c r="D356" s="283"/>
      <c r="E356" s="283"/>
      <c r="F356" s="283"/>
      <c r="G356" s="283"/>
      <c r="H356" s="283"/>
      <c r="I356" s="283"/>
      <c r="J356" s="283"/>
      <c r="K356" s="283"/>
      <c r="L356" s="283"/>
      <c r="M356" s="283"/>
      <c r="N356" s="283"/>
      <c r="O356" s="283"/>
      <c r="P356" s="283"/>
      <c r="Q356" s="283"/>
      <c r="R356" s="283"/>
      <c r="S356" s="283"/>
      <c r="T356" s="283"/>
      <c r="U356" s="283"/>
      <c r="V356" s="283"/>
      <c r="W356" s="283"/>
      <c r="X356" s="283"/>
      <c r="Y356" s="283"/>
      <c r="Z356" s="283"/>
    </row>
    <row r="357" ht="14.25" customHeight="1">
      <c r="A357" s="283"/>
      <c r="B357" s="283"/>
      <c r="C357" s="283"/>
      <c r="D357" s="283"/>
      <c r="E357" s="283"/>
      <c r="F357" s="283"/>
      <c r="G357" s="283"/>
      <c r="H357" s="283"/>
      <c r="I357" s="283"/>
      <c r="J357" s="283"/>
      <c r="K357" s="283"/>
      <c r="L357" s="283"/>
      <c r="M357" s="283"/>
      <c r="N357" s="283"/>
      <c r="O357" s="283"/>
      <c r="P357" s="283"/>
      <c r="Q357" s="283"/>
      <c r="R357" s="283"/>
      <c r="S357" s="283"/>
      <c r="T357" s="283"/>
      <c r="U357" s="283"/>
      <c r="V357" s="283"/>
      <c r="W357" s="283"/>
      <c r="X357" s="283"/>
      <c r="Y357" s="283"/>
      <c r="Z357" s="283"/>
    </row>
    <row r="358" ht="14.25" customHeight="1">
      <c r="A358" s="283"/>
      <c r="B358" s="283"/>
      <c r="C358" s="283"/>
      <c r="D358" s="283"/>
      <c r="E358" s="283"/>
      <c r="F358" s="283"/>
      <c r="G358" s="283"/>
      <c r="H358" s="283"/>
      <c r="I358" s="283"/>
      <c r="J358" s="283"/>
      <c r="K358" s="283"/>
      <c r="L358" s="283"/>
      <c r="M358" s="283"/>
      <c r="N358" s="283"/>
      <c r="O358" s="283"/>
      <c r="P358" s="283"/>
      <c r="Q358" s="283"/>
      <c r="R358" s="283"/>
      <c r="S358" s="283"/>
      <c r="T358" s="283"/>
      <c r="U358" s="283"/>
      <c r="V358" s="283"/>
      <c r="W358" s="283"/>
      <c r="X358" s="283"/>
      <c r="Y358" s="283"/>
      <c r="Z358" s="283"/>
    </row>
    <row r="359" ht="14.25" customHeight="1">
      <c r="A359" s="283"/>
      <c r="B359" s="283"/>
      <c r="C359" s="283"/>
      <c r="D359" s="283"/>
      <c r="E359" s="283"/>
      <c r="F359" s="283"/>
      <c r="G359" s="283"/>
      <c r="H359" s="283"/>
      <c r="I359" s="283"/>
      <c r="J359" s="283"/>
      <c r="K359" s="283"/>
      <c r="L359" s="283"/>
      <c r="M359" s="283"/>
      <c r="N359" s="283"/>
      <c r="O359" s="283"/>
      <c r="P359" s="283"/>
      <c r="Q359" s="283"/>
      <c r="R359" s="283"/>
      <c r="S359" s="283"/>
      <c r="T359" s="283"/>
      <c r="U359" s="283"/>
      <c r="V359" s="283"/>
      <c r="W359" s="283"/>
      <c r="X359" s="283"/>
      <c r="Y359" s="283"/>
      <c r="Z359" s="283"/>
    </row>
    <row r="360" ht="14.25" customHeight="1">
      <c r="A360" s="283"/>
      <c r="B360" s="283"/>
      <c r="C360" s="283"/>
      <c r="D360" s="283"/>
      <c r="E360" s="283"/>
      <c r="F360" s="283"/>
      <c r="G360" s="283"/>
      <c r="H360" s="283"/>
      <c r="I360" s="283"/>
      <c r="J360" s="283"/>
      <c r="K360" s="283"/>
      <c r="L360" s="283"/>
      <c r="M360" s="283"/>
      <c r="N360" s="283"/>
      <c r="O360" s="283"/>
      <c r="P360" s="283"/>
      <c r="Q360" s="283"/>
      <c r="R360" s="283"/>
      <c r="S360" s="283"/>
      <c r="T360" s="283"/>
      <c r="U360" s="283"/>
      <c r="V360" s="283"/>
      <c r="W360" s="283"/>
      <c r="X360" s="283"/>
      <c r="Y360" s="283"/>
      <c r="Z360" s="283"/>
    </row>
    <row r="361" ht="14.25" customHeight="1">
      <c r="A361" s="283"/>
      <c r="B361" s="283"/>
      <c r="C361" s="283"/>
      <c r="D361" s="283"/>
      <c r="E361" s="283"/>
      <c r="F361" s="283"/>
      <c r="G361" s="283"/>
      <c r="H361" s="283"/>
      <c r="I361" s="283"/>
      <c r="J361" s="283"/>
      <c r="K361" s="283"/>
      <c r="L361" s="283"/>
      <c r="M361" s="283"/>
      <c r="N361" s="283"/>
      <c r="O361" s="283"/>
      <c r="P361" s="283"/>
      <c r="Q361" s="283"/>
      <c r="R361" s="283"/>
      <c r="S361" s="283"/>
      <c r="T361" s="283"/>
      <c r="U361" s="283"/>
      <c r="V361" s="283"/>
      <c r="W361" s="283"/>
      <c r="X361" s="283"/>
      <c r="Y361" s="283"/>
      <c r="Z361" s="283"/>
    </row>
    <row r="362" ht="14.25" customHeight="1">
      <c r="A362" s="283"/>
      <c r="B362" s="283"/>
      <c r="C362" s="283"/>
      <c r="D362" s="283"/>
      <c r="E362" s="283"/>
      <c r="F362" s="283"/>
      <c r="G362" s="283"/>
      <c r="H362" s="283"/>
      <c r="I362" s="283"/>
      <c r="J362" s="283"/>
      <c r="K362" s="283"/>
      <c r="L362" s="283"/>
      <c r="M362" s="283"/>
      <c r="N362" s="283"/>
      <c r="O362" s="283"/>
      <c r="P362" s="283"/>
      <c r="Q362" s="283"/>
      <c r="R362" s="283"/>
      <c r="S362" s="283"/>
      <c r="T362" s="283"/>
      <c r="U362" s="283"/>
      <c r="V362" s="283"/>
      <c r="W362" s="283"/>
      <c r="X362" s="283"/>
      <c r="Y362" s="283"/>
      <c r="Z362" s="283"/>
    </row>
    <row r="363" ht="14.25" customHeight="1">
      <c r="A363" s="283"/>
      <c r="B363" s="283"/>
      <c r="C363" s="283"/>
      <c r="D363" s="283"/>
      <c r="E363" s="283"/>
      <c r="F363" s="283"/>
      <c r="G363" s="283"/>
      <c r="H363" s="283"/>
      <c r="I363" s="283"/>
      <c r="J363" s="283"/>
      <c r="K363" s="283"/>
      <c r="L363" s="283"/>
      <c r="M363" s="283"/>
      <c r="N363" s="283"/>
      <c r="O363" s="283"/>
      <c r="P363" s="283"/>
      <c r="Q363" s="283"/>
      <c r="R363" s="283"/>
      <c r="S363" s="283"/>
      <c r="T363" s="283"/>
      <c r="U363" s="283"/>
      <c r="V363" s="283"/>
      <c r="W363" s="283"/>
      <c r="X363" s="283"/>
      <c r="Y363" s="283"/>
      <c r="Z363" s="283"/>
    </row>
    <row r="364" ht="14.25" customHeight="1">
      <c r="A364" s="283"/>
      <c r="B364" s="283"/>
      <c r="C364" s="283"/>
      <c r="D364" s="283"/>
      <c r="E364" s="283"/>
      <c r="F364" s="283"/>
      <c r="G364" s="283"/>
      <c r="H364" s="283"/>
      <c r="I364" s="283"/>
      <c r="J364" s="283"/>
      <c r="K364" s="283"/>
      <c r="L364" s="283"/>
      <c r="M364" s="283"/>
      <c r="N364" s="283"/>
      <c r="O364" s="283"/>
      <c r="P364" s="283"/>
      <c r="Q364" s="283"/>
      <c r="R364" s="283"/>
      <c r="S364" s="283"/>
      <c r="T364" s="283"/>
      <c r="U364" s="283"/>
      <c r="V364" s="283"/>
      <c r="W364" s="283"/>
      <c r="X364" s="283"/>
      <c r="Y364" s="283"/>
      <c r="Z364" s="283"/>
    </row>
    <row r="365" ht="14.25" customHeight="1">
      <c r="A365" s="283"/>
      <c r="B365" s="283"/>
      <c r="C365" s="283"/>
      <c r="D365" s="283"/>
      <c r="E365" s="283"/>
      <c r="F365" s="283"/>
      <c r="G365" s="283"/>
      <c r="H365" s="283"/>
      <c r="I365" s="283"/>
      <c r="J365" s="283"/>
      <c r="K365" s="283"/>
      <c r="L365" s="283"/>
      <c r="M365" s="283"/>
      <c r="N365" s="283"/>
      <c r="O365" s="283"/>
      <c r="P365" s="283"/>
      <c r="Q365" s="283"/>
      <c r="R365" s="283"/>
      <c r="S365" s="283"/>
      <c r="T365" s="283"/>
      <c r="U365" s="283"/>
      <c r="V365" s="283"/>
      <c r="W365" s="283"/>
      <c r="X365" s="283"/>
      <c r="Y365" s="283"/>
      <c r="Z365" s="283"/>
    </row>
    <row r="366" ht="14.25" customHeight="1">
      <c r="A366" s="283"/>
      <c r="B366" s="283"/>
      <c r="C366" s="283"/>
      <c r="D366" s="283"/>
      <c r="E366" s="283"/>
      <c r="F366" s="283"/>
      <c r="G366" s="283"/>
      <c r="H366" s="283"/>
      <c r="I366" s="283"/>
      <c r="J366" s="283"/>
      <c r="K366" s="283"/>
      <c r="L366" s="283"/>
      <c r="M366" s="283"/>
      <c r="N366" s="283"/>
      <c r="O366" s="283"/>
      <c r="P366" s="283"/>
      <c r="Q366" s="283"/>
      <c r="R366" s="283"/>
      <c r="S366" s="283"/>
      <c r="T366" s="283"/>
      <c r="U366" s="283"/>
      <c r="V366" s="283"/>
      <c r="W366" s="283"/>
      <c r="X366" s="283"/>
      <c r="Y366" s="283"/>
      <c r="Z366" s="283"/>
    </row>
    <row r="367" ht="14.25" customHeight="1">
      <c r="A367" s="283"/>
      <c r="B367" s="283"/>
      <c r="C367" s="283"/>
      <c r="D367" s="283"/>
      <c r="E367" s="283"/>
      <c r="F367" s="283"/>
      <c r="G367" s="283"/>
      <c r="H367" s="283"/>
      <c r="I367" s="283"/>
      <c r="J367" s="283"/>
      <c r="K367" s="283"/>
      <c r="L367" s="283"/>
      <c r="M367" s="283"/>
      <c r="N367" s="283"/>
      <c r="O367" s="283"/>
      <c r="P367" s="283"/>
      <c r="Q367" s="283"/>
      <c r="R367" s="283"/>
      <c r="S367" s="283"/>
      <c r="T367" s="283"/>
      <c r="U367" s="283"/>
      <c r="V367" s="283"/>
      <c r="W367" s="283"/>
      <c r="X367" s="283"/>
      <c r="Y367" s="283"/>
      <c r="Z367" s="283"/>
    </row>
    <row r="368" ht="14.25" customHeight="1">
      <c r="A368" s="283"/>
      <c r="B368" s="283"/>
      <c r="C368" s="283"/>
      <c r="D368" s="283"/>
      <c r="E368" s="283"/>
      <c r="F368" s="283"/>
      <c r="G368" s="283"/>
      <c r="H368" s="283"/>
      <c r="I368" s="283"/>
      <c r="J368" s="283"/>
      <c r="K368" s="283"/>
      <c r="L368" s="283"/>
      <c r="M368" s="283"/>
      <c r="N368" s="283"/>
      <c r="O368" s="283"/>
      <c r="P368" s="283"/>
      <c r="Q368" s="283"/>
      <c r="R368" s="283"/>
      <c r="S368" s="283"/>
      <c r="T368" s="283"/>
      <c r="U368" s="283"/>
      <c r="V368" s="283"/>
      <c r="W368" s="283"/>
      <c r="X368" s="283"/>
      <c r="Y368" s="283"/>
      <c r="Z368" s="283"/>
    </row>
    <row r="369" ht="14.25" customHeight="1">
      <c r="A369" s="283"/>
      <c r="B369" s="283"/>
      <c r="C369" s="283"/>
      <c r="D369" s="283"/>
      <c r="E369" s="283"/>
      <c r="F369" s="283"/>
      <c r="G369" s="283"/>
      <c r="H369" s="283"/>
      <c r="I369" s="283"/>
      <c r="J369" s="283"/>
      <c r="K369" s="283"/>
      <c r="L369" s="283"/>
      <c r="M369" s="283"/>
      <c r="N369" s="283"/>
      <c r="O369" s="283"/>
      <c r="P369" s="283"/>
      <c r="Q369" s="283"/>
      <c r="R369" s="283"/>
      <c r="S369" s="283"/>
      <c r="T369" s="283"/>
      <c r="U369" s="283"/>
      <c r="V369" s="283"/>
      <c r="W369" s="283"/>
      <c r="X369" s="283"/>
      <c r="Y369" s="283"/>
      <c r="Z369" s="283"/>
    </row>
    <row r="370" ht="14.25" customHeight="1">
      <c r="A370" s="283"/>
      <c r="B370" s="283"/>
      <c r="C370" s="283"/>
      <c r="D370" s="283"/>
      <c r="E370" s="283"/>
      <c r="F370" s="283"/>
      <c r="G370" s="283"/>
      <c r="H370" s="283"/>
      <c r="I370" s="283"/>
      <c r="J370" s="283"/>
      <c r="K370" s="283"/>
      <c r="L370" s="283"/>
      <c r="M370" s="283"/>
      <c r="N370" s="283"/>
      <c r="O370" s="283"/>
      <c r="P370" s="283"/>
      <c r="Q370" s="283"/>
      <c r="R370" s="283"/>
      <c r="S370" s="283"/>
      <c r="T370" s="283"/>
      <c r="U370" s="283"/>
      <c r="V370" s="283"/>
      <c r="W370" s="283"/>
      <c r="X370" s="283"/>
      <c r="Y370" s="283"/>
      <c r="Z370" s="283"/>
    </row>
    <row r="371" ht="14.25" customHeight="1">
      <c r="A371" s="283"/>
      <c r="B371" s="283"/>
      <c r="C371" s="283"/>
      <c r="D371" s="283"/>
      <c r="E371" s="283"/>
      <c r="F371" s="283"/>
      <c r="G371" s="283"/>
      <c r="H371" s="283"/>
      <c r="I371" s="283"/>
      <c r="J371" s="283"/>
      <c r="K371" s="283"/>
      <c r="L371" s="283"/>
      <c r="M371" s="283"/>
      <c r="N371" s="283"/>
      <c r="O371" s="283"/>
      <c r="P371" s="283"/>
      <c r="Q371" s="283"/>
      <c r="R371" s="283"/>
      <c r="S371" s="283"/>
      <c r="T371" s="283"/>
      <c r="U371" s="283"/>
      <c r="V371" s="283"/>
      <c r="W371" s="283"/>
      <c r="X371" s="283"/>
      <c r="Y371" s="283"/>
      <c r="Z371" s="283"/>
    </row>
    <row r="372" ht="14.25" customHeight="1">
      <c r="A372" s="283"/>
      <c r="B372" s="283"/>
      <c r="C372" s="283"/>
      <c r="D372" s="283"/>
      <c r="E372" s="283"/>
      <c r="F372" s="283"/>
      <c r="G372" s="283"/>
      <c r="H372" s="283"/>
      <c r="I372" s="283"/>
      <c r="J372" s="283"/>
      <c r="K372" s="283"/>
      <c r="L372" s="283"/>
      <c r="M372" s="283"/>
      <c r="N372" s="283"/>
      <c r="O372" s="283"/>
      <c r="P372" s="283"/>
      <c r="Q372" s="283"/>
      <c r="R372" s="283"/>
      <c r="S372" s="283"/>
      <c r="T372" s="283"/>
      <c r="U372" s="283"/>
      <c r="V372" s="283"/>
      <c r="W372" s="283"/>
      <c r="X372" s="283"/>
      <c r="Y372" s="283"/>
      <c r="Z372" s="283"/>
    </row>
    <row r="373" ht="14.25" customHeight="1">
      <c r="A373" s="283"/>
      <c r="B373" s="283"/>
      <c r="C373" s="283"/>
      <c r="D373" s="283"/>
      <c r="E373" s="283"/>
      <c r="F373" s="283"/>
      <c r="G373" s="283"/>
      <c r="H373" s="283"/>
      <c r="I373" s="283"/>
      <c r="J373" s="283"/>
      <c r="K373" s="283"/>
      <c r="L373" s="283"/>
      <c r="M373" s="283"/>
      <c r="N373" s="283"/>
      <c r="O373" s="283"/>
      <c r="P373" s="283"/>
      <c r="Q373" s="283"/>
      <c r="R373" s="283"/>
      <c r="S373" s="283"/>
      <c r="T373" s="283"/>
      <c r="U373" s="283"/>
      <c r="V373" s="283"/>
      <c r="W373" s="283"/>
      <c r="X373" s="283"/>
      <c r="Y373" s="283"/>
      <c r="Z373" s="283"/>
    </row>
    <row r="374" ht="14.25" customHeight="1">
      <c r="A374" s="283"/>
      <c r="B374" s="283"/>
      <c r="C374" s="283"/>
      <c r="D374" s="283"/>
      <c r="E374" s="283"/>
      <c r="F374" s="283"/>
      <c r="G374" s="283"/>
      <c r="H374" s="283"/>
      <c r="I374" s="283"/>
      <c r="J374" s="283"/>
      <c r="K374" s="283"/>
      <c r="L374" s="283"/>
      <c r="M374" s="283"/>
      <c r="N374" s="283"/>
      <c r="O374" s="283"/>
      <c r="P374" s="283"/>
      <c r="Q374" s="283"/>
      <c r="R374" s="283"/>
      <c r="S374" s="283"/>
      <c r="T374" s="283"/>
      <c r="U374" s="283"/>
      <c r="V374" s="283"/>
      <c r="W374" s="283"/>
      <c r="X374" s="283"/>
      <c r="Y374" s="283"/>
      <c r="Z374" s="283"/>
    </row>
    <row r="375" ht="14.25" customHeight="1">
      <c r="A375" s="283"/>
      <c r="B375" s="283"/>
      <c r="C375" s="283"/>
      <c r="D375" s="283"/>
      <c r="E375" s="283"/>
      <c r="F375" s="283"/>
      <c r="G375" s="283"/>
      <c r="H375" s="283"/>
      <c r="I375" s="283"/>
      <c r="J375" s="283"/>
      <c r="K375" s="283"/>
      <c r="L375" s="283"/>
      <c r="M375" s="283"/>
      <c r="N375" s="283"/>
      <c r="O375" s="283"/>
      <c r="P375" s="283"/>
      <c r="Q375" s="283"/>
      <c r="R375" s="283"/>
      <c r="S375" s="283"/>
      <c r="T375" s="283"/>
      <c r="U375" s="283"/>
      <c r="V375" s="283"/>
      <c r="W375" s="283"/>
      <c r="X375" s="283"/>
      <c r="Y375" s="283"/>
      <c r="Z375" s="283"/>
    </row>
    <row r="376" ht="14.25" customHeight="1">
      <c r="A376" s="283"/>
      <c r="B376" s="283"/>
      <c r="C376" s="283"/>
      <c r="D376" s="283"/>
      <c r="E376" s="283"/>
      <c r="F376" s="283"/>
      <c r="G376" s="283"/>
      <c r="H376" s="283"/>
      <c r="I376" s="283"/>
      <c r="J376" s="283"/>
      <c r="K376" s="283"/>
      <c r="L376" s="283"/>
      <c r="M376" s="283"/>
      <c r="N376" s="283"/>
      <c r="O376" s="283"/>
      <c r="P376" s="283"/>
      <c r="Q376" s="283"/>
      <c r="R376" s="283"/>
      <c r="S376" s="283"/>
      <c r="T376" s="283"/>
      <c r="U376" s="283"/>
      <c r="V376" s="283"/>
      <c r="W376" s="283"/>
      <c r="X376" s="283"/>
      <c r="Y376" s="283"/>
      <c r="Z376" s="283"/>
    </row>
    <row r="377" ht="14.25" customHeight="1">
      <c r="A377" s="283"/>
      <c r="B377" s="283"/>
      <c r="C377" s="283"/>
      <c r="D377" s="283"/>
      <c r="E377" s="283"/>
      <c r="F377" s="283"/>
      <c r="G377" s="283"/>
      <c r="H377" s="283"/>
      <c r="I377" s="283"/>
      <c r="J377" s="283"/>
      <c r="K377" s="283"/>
      <c r="L377" s="283"/>
      <c r="M377" s="283"/>
      <c r="N377" s="283"/>
      <c r="O377" s="283"/>
      <c r="P377" s="283"/>
      <c r="Q377" s="283"/>
      <c r="R377" s="283"/>
      <c r="S377" s="283"/>
      <c r="T377" s="283"/>
      <c r="U377" s="283"/>
      <c r="V377" s="283"/>
      <c r="W377" s="283"/>
      <c r="X377" s="283"/>
      <c r="Y377" s="283"/>
      <c r="Z377" s="283"/>
    </row>
    <row r="378" ht="14.25" customHeight="1">
      <c r="A378" s="283"/>
      <c r="B378" s="283"/>
      <c r="C378" s="283"/>
      <c r="D378" s="283"/>
      <c r="E378" s="283"/>
      <c r="F378" s="283"/>
      <c r="G378" s="283"/>
      <c r="H378" s="283"/>
      <c r="I378" s="283"/>
      <c r="J378" s="283"/>
      <c r="K378" s="283"/>
      <c r="L378" s="283"/>
      <c r="M378" s="283"/>
      <c r="N378" s="283"/>
      <c r="O378" s="283"/>
      <c r="P378" s="283"/>
      <c r="Q378" s="283"/>
      <c r="R378" s="283"/>
      <c r="S378" s="283"/>
      <c r="T378" s="283"/>
      <c r="U378" s="283"/>
      <c r="V378" s="283"/>
      <c r="W378" s="283"/>
      <c r="X378" s="283"/>
      <c r="Y378" s="283"/>
      <c r="Z378" s="283"/>
    </row>
    <row r="379" ht="14.25" customHeight="1">
      <c r="A379" s="283"/>
      <c r="B379" s="283"/>
      <c r="C379" s="283"/>
      <c r="D379" s="283"/>
      <c r="E379" s="283"/>
      <c r="F379" s="283"/>
      <c r="G379" s="283"/>
      <c r="H379" s="283"/>
      <c r="I379" s="283"/>
      <c r="J379" s="283"/>
      <c r="K379" s="283"/>
      <c r="L379" s="283"/>
      <c r="M379" s="283"/>
      <c r="N379" s="283"/>
      <c r="O379" s="283"/>
      <c r="P379" s="283"/>
      <c r="Q379" s="283"/>
      <c r="R379" s="283"/>
      <c r="S379" s="283"/>
      <c r="T379" s="283"/>
      <c r="U379" s="283"/>
      <c r="V379" s="283"/>
      <c r="W379" s="283"/>
      <c r="X379" s="283"/>
      <c r="Y379" s="283"/>
      <c r="Z379" s="283"/>
    </row>
    <row r="380" ht="14.25" customHeight="1">
      <c r="A380" s="283"/>
      <c r="B380" s="283"/>
      <c r="C380" s="283"/>
      <c r="D380" s="283"/>
      <c r="E380" s="283"/>
      <c r="F380" s="283"/>
      <c r="G380" s="283"/>
      <c r="H380" s="283"/>
      <c r="I380" s="283"/>
      <c r="J380" s="283"/>
      <c r="K380" s="283"/>
      <c r="L380" s="283"/>
      <c r="M380" s="283"/>
      <c r="N380" s="283"/>
      <c r="O380" s="283"/>
      <c r="P380" s="283"/>
      <c r="Q380" s="283"/>
      <c r="R380" s="283"/>
      <c r="S380" s="283"/>
      <c r="T380" s="283"/>
      <c r="U380" s="283"/>
      <c r="V380" s="283"/>
      <c r="W380" s="283"/>
      <c r="X380" s="283"/>
      <c r="Y380" s="283"/>
      <c r="Z380" s="283"/>
    </row>
    <row r="381" ht="14.25" customHeight="1">
      <c r="A381" s="283"/>
      <c r="B381" s="283"/>
      <c r="C381" s="283"/>
      <c r="D381" s="283"/>
      <c r="E381" s="283"/>
      <c r="F381" s="283"/>
      <c r="G381" s="283"/>
      <c r="H381" s="283"/>
      <c r="I381" s="283"/>
      <c r="J381" s="283"/>
      <c r="K381" s="283"/>
      <c r="L381" s="283"/>
      <c r="M381" s="283"/>
      <c r="N381" s="283"/>
      <c r="O381" s="283"/>
      <c r="P381" s="283"/>
      <c r="Q381" s="283"/>
      <c r="R381" s="283"/>
      <c r="S381" s="283"/>
      <c r="T381" s="283"/>
      <c r="U381" s="283"/>
      <c r="V381" s="283"/>
      <c r="W381" s="283"/>
      <c r="X381" s="283"/>
      <c r="Y381" s="283"/>
      <c r="Z381" s="283"/>
    </row>
    <row r="382" ht="14.25" customHeight="1">
      <c r="A382" s="283"/>
      <c r="B382" s="283"/>
      <c r="C382" s="283"/>
      <c r="D382" s="283"/>
      <c r="E382" s="283"/>
      <c r="F382" s="283"/>
      <c r="G382" s="283"/>
      <c r="H382" s="283"/>
      <c r="I382" s="283"/>
      <c r="J382" s="283"/>
      <c r="K382" s="283"/>
      <c r="L382" s="283"/>
      <c r="M382" s="283"/>
      <c r="N382" s="283"/>
      <c r="O382" s="283"/>
      <c r="P382" s="283"/>
      <c r="Q382" s="283"/>
      <c r="R382" s="283"/>
      <c r="S382" s="283"/>
      <c r="T382" s="283"/>
      <c r="U382" s="283"/>
      <c r="V382" s="283"/>
      <c r="W382" s="283"/>
      <c r="X382" s="283"/>
      <c r="Y382" s="283"/>
      <c r="Z382" s="283"/>
    </row>
    <row r="383" ht="14.25" customHeight="1">
      <c r="A383" s="283"/>
      <c r="B383" s="283"/>
      <c r="C383" s="283"/>
      <c r="D383" s="283"/>
      <c r="E383" s="283"/>
      <c r="F383" s="283"/>
      <c r="G383" s="283"/>
      <c r="H383" s="283"/>
      <c r="I383" s="283"/>
      <c r="J383" s="283"/>
      <c r="K383" s="283"/>
      <c r="L383" s="283"/>
      <c r="M383" s="283"/>
      <c r="N383" s="283"/>
      <c r="O383" s="283"/>
      <c r="P383" s="283"/>
      <c r="Q383" s="283"/>
      <c r="R383" s="283"/>
      <c r="S383" s="283"/>
      <c r="T383" s="283"/>
      <c r="U383" s="283"/>
      <c r="V383" s="283"/>
      <c r="W383" s="283"/>
      <c r="X383" s="283"/>
      <c r="Y383" s="283"/>
      <c r="Z383" s="283"/>
    </row>
    <row r="384" ht="14.25" customHeight="1">
      <c r="A384" s="283"/>
      <c r="B384" s="283"/>
      <c r="C384" s="283"/>
      <c r="D384" s="283"/>
      <c r="E384" s="283"/>
      <c r="F384" s="283"/>
      <c r="G384" s="283"/>
      <c r="H384" s="283"/>
      <c r="I384" s="283"/>
      <c r="J384" s="283"/>
      <c r="K384" s="283"/>
      <c r="L384" s="283"/>
      <c r="M384" s="283"/>
      <c r="N384" s="283"/>
      <c r="O384" s="283"/>
      <c r="P384" s="283"/>
      <c r="Q384" s="283"/>
      <c r="R384" s="283"/>
      <c r="S384" s="283"/>
      <c r="T384" s="283"/>
      <c r="U384" s="283"/>
      <c r="V384" s="283"/>
      <c r="W384" s="283"/>
      <c r="X384" s="283"/>
      <c r="Y384" s="283"/>
      <c r="Z384" s="283"/>
    </row>
    <row r="385" ht="14.25" customHeight="1">
      <c r="A385" s="283"/>
      <c r="B385" s="283"/>
      <c r="C385" s="283"/>
      <c r="D385" s="283"/>
      <c r="E385" s="283"/>
      <c r="F385" s="283"/>
      <c r="G385" s="283"/>
      <c r="H385" s="283"/>
      <c r="I385" s="283"/>
      <c r="J385" s="283"/>
      <c r="K385" s="283"/>
      <c r="L385" s="283"/>
      <c r="M385" s="283"/>
      <c r="N385" s="283"/>
      <c r="O385" s="283"/>
      <c r="P385" s="283"/>
      <c r="Q385" s="283"/>
      <c r="R385" s="283"/>
      <c r="S385" s="283"/>
      <c r="T385" s="283"/>
      <c r="U385" s="283"/>
      <c r="V385" s="283"/>
      <c r="W385" s="283"/>
      <c r="X385" s="283"/>
      <c r="Y385" s="283"/>
      <c r="Z385" s="283"/>
    </row>
    <row r="386" ht="14.25" customHeight="1">
      <c r="A386" s="283"/>
      <c r="B386" s="283"/>
      <c r="C386" s="283"/>
      <c r="D386" s="283"/>
      <c r="E386" s="283"/>
      <c r="F386" s="283"/>
      <c r="G386" s="283"/>
      <c r="H386" s="283"/>
      <c r="I386" s="283"/>
      <c r="J386" s="283"/>
      <c r="K386" s="283"/>
      <c r="L386" s="283"/>
      <c r="M386" s="283"/>
      <c r="N386" s="283"/>
      <c r="O386" s="283"/>
      <c r="P386" s="283"/>
      <c r="Q386" s="283"/>
      <c r="R386" s="283"/>
      <c r="S386" s="283"/>
      <c r="T386" s="283"/>
      <c r="U386" s="283"/>
      <c r="V386" s="283"/>
      <c r="W386" s="283"/>
      <c r="X386" s="283"/>
      <c r="Y386" s="283"/>
      <c r="Z386" s="283"/>
    </row>
    <row r="387" ht="14.25" customHeight="1">
      <c r="A387" s="283"/>
      <c r="B387" s="283"/>
      <c r="C387" s="283"/>
      <c r="D387" s="283"/>
      <c r="E387" s="283"/>
      <c r="F387" s="283"/>
      <c r="G387" s="283"/>
      <c r="H387" s="283"/>
      <c r="I387" s="283"/>
      <c r="J387" s="283"/>
      <c r="K387" s="283"/>
      <c r="L387" s="283"/>
      <c r="M387" s="283"/>
      <c r="N387" s="283"/>
      <c r="O387" s="283"/>
      <c r="P387" s="283"/>
      <c r="Q387" s="283"/>
      <c r="R387" s="283"/>
      <c r="S387" s="283"/>
      <c r="T387" s="283"/>
      <c r="U387" s="283"/>
      <c r="V387" s="283"/>
      <c r="W387" s="283"/>
      <c r="X387" s="283"/>
      <c r="Y387" s="283"/>
      <c r="Z387" s="283"/>
    </row>
    <row r="388" ht="14.25" customHeight="1">
      <c r="A388" s="283"/>
      <c r="B388" s="283"/>
      <c r="C388" s="283"/>
      <c r="D388" s="283"/>
      <c r="E388" s="283"/>
      <c r="F388" s="283"/>
      <c r="G388" s="283"/>
      <c r="H388" s="283"/>
      <c r="I388" s="283"/>
      <c r="J388" s="283"/>
      <c r="K388" s="283"/>
      <c r="L388" s="283"/>
      <c r="M388" s="283"/>
      <c r="N388" s="283"/>
      <c r="O388" s="283"/>
      <c r="P388" s="283"/>
      <c r="Q388" s="283"/>
      <c r="R388" s="283"/>
      <c r="S388" s="283"/>
      <c r="T388" s="283"/>
      <c r="U388" s="283"/>
      <c r="V388" s="283"/>
      <c r="W388" s="283"/>
      <c r="X388" s="283"/>
      <c r="Y388" s="283"/>
      <c r="Z388" s="283"/>
    </row>
    <row r="389" ht="14.25" customHeight="1">
      <c r="A389" s="283"/>
      <c r="B389" s="283"/>
      <c r="C389" s="283"/>
      <c r="D389" s="283"/>
      <c r="E389" s="283"/>
      <c r="F389" s="283"/>
      <c r="G389" s="283"/>
      <c r="H389" s="283"/>
      <c r="I389" s="283"/>
      <c r="J389" s="283"/>
      <c r="K389" s="283"/>
      <c r="L389" s="283"/>
      <c r="M389" s="283"/>
      <c r="N389" s="283"/>
      <c r="O389" s="283"/>
      <c r="P389" s="283"/>
      <c r="Q389" s="283"/>
      <c r="R389" s="283"/>
      <c r="S389" s="283"/>
      <c r="T389" s="283"/>
      <c r="U389" s="283"/>
      <c r="V389" s="283"/>
      <c r="W389" s="283"/>
      <c r="X389" s="283"/>
      <c r="Y389" s="283"/>
      <c r="Z389" s="283"/>
    </row>
    <row r="390" ht="14.25" customHeight="1">
      <c r="A390" s="283"/>
      <c r="B390" s="283"/>
      <c r="C390" s="283"/>
      <c r="D390" s="283"/>
      <c r="E390" s="283"/>
      <c r="F390" s="283"/>
      <c r="G390" s="283"/>
      <c r="H390" s="283"/>
      <c r="I390" s="283"/>
      <c r="J390" s="283"/>
      <c r="K390" s="283"/>
      <c r="L390" s="283"/>
      <c r="M390" s="283"/>
      <c r="N390" s="283"/>
      <c r="O390" s="283"/>
      <c r="P390" s="283"/>
      <c r="Q390" s="283"/>
      <c r="R390" s="283"/>
      <c r="S390" s="283"/>
      <c r="T390" s="283"/>
      <c r="U390" s="283"/>
      <c r="V390" s="283"/>
      <c r="W390" s="283"/>
      <c r="X390" s="283"/>
      <c r="Y390" s="283"/>
      <c r="Z390" s="283"/>
    </row>
    <row r="391" ht="14.25" customHeight="1">
      <c r="A391" s="283"/>
      <c r="B391" s="283"/>
      <c r="C391" s="283"/>
      <c r="D391" s="283"/>
      <c r="E391" s="283"/>
      <c r="F391" s="283"/>
      <c r="G391" s="283"/>
      <c r="H391" s="283"/>
      <c r="I391" s="283"/>
      <c r="J391" s="283"/>
      <c r="K391" s="283"/>
      <c r="L391" s="283"/>
      <c r="M391" s="283"/>
      <c r="N391" s="283"/>
      <c r="O391" s="283"/>
      <c r="P391" s="283"/>
      <c r="Q391" s="283"/>
      <c r="R391" s="283"/>
      <c r="S391" s="283"/>
      <c r="T391" s="283"/>
      <c r="U391" s="283"/>
      <c r="V391" s="283"/>
      <c r="W391" s="283"/>
      <c r="X391" s="283"/>
      <c r="Y391" s="283"/>
      <c r="Z391" s="283"/>
    </row>
    <row r="392" ht="14.25" customHeight="1">
      <c r="A392" s="283"/>
      <c r="B392" s="283"/>
      <c r="C392" s="283"/>
      <c r="D392" s="283"/>
      <c r="E392" s="283"/>
      <c r="F392" s="283"/>
      <c r="G392" s="283"/>
      <c r="H392" s="283"/>
      <c r="I392" s="283"/>
      <c r="J392" s="283"/>
      <c r="K392" s="283"/>
      <c r="L392" s="283"/>
      <c r="M392" s="283"/>
      <c r="N392" s="283"/>
      <c r="O392" s="283"/>
      <c r="P392" s="283"/>
      <c r="Q392" s="283"/>
      <c r="R392" s="283"/>
      <c r="S392" s="283"/>
      <c r="T392" s="283"/>
      <c r="U392" s="283"/>
      <c r="V392" s="283"/>
      <c r="W392" s="283"/>
      <c r="X392" s="283"/>
      <c r="Y392" s="283"/>
      <c r="Z392" s="283"/>
    </row>
    <row r="393" ht="14.25" customHeight="1">
      <c r="A393" s="283"/>
      <c r="B393" s="283"/>
      <c r="C393" s="283"/>
      <c r="D393" s="283"/>
      <c r="E393" s="283"/>
      <c r="F393" s="283"/>
      <c r="G393" s="283"/>
      <c r="H393" s="283"/>
      <c r="I393" s="283"/>
      <c r="J393" s="283"/>
      <c r="K393" s="283"/>
      <c r="L393" s="283"/>
      <c r="M393" s="283"/>
      <c r="N393" s="283"/>
      <c r="O393" s="283"/>
      <c r="P393" s="283"/>
      <c r="Q393" s="283"/>
      <c r="R393" s="283"/>
      <c r="S393" s="283"/>
      <c r="T393" s="283"/>
      <c r="U393" s="283"/>
      <c r="V393" s="283"/>
      <c r="W393" s="283"/>
      <c r="X393" s="283"/>
      <c r="Y393" s="283"/>
      <c r="Z393" s="283"/>
    </row>
    <row r="394" ht="14.25" customHeight="1">
      <c r="A394" s="283"/>
      <c r="B394" s="283"/>
      <c r="C394" s="283"/>
      <c r="D394" s="283"/>
      <c r="E394" s="283"/>
      <c r="F394" s="283"/>
      <c r="G394" s="283"/>
      <c r="H394" s="283"/>
      <c r="I394" s="283"/>
      <c r="J394" s="283"/>
      <c r="K394" s="283"/>
      <c r="L394" s="283"/>
      <c r="M394" s="283"/>
      <c r="N394" s="283"/>
      <c r="O394" s="283"/>
      <c r="P394" s="283"/>
      <c r="Q394" s="283"/>
      <c r="R394" s="283"/>
      <c r="S394" s="283"/>
      <c r="T394" s="283"/>
      <c r="U394" s="283"/>
      <c r="V394" s="283"/>
      <c r="W394" s="283"/>
      <c r="X394" s="283"/>
      <c r="Y394" s="283"/>
      <c r="Z394" s="283"/>
    </row>
    <row r="395" ht="14.25" customHeight="1">
      <c r="A395" s="283"/>
      <c r="B395" s="283"/>
      <c r="C395" s="283"/>
      <c r="D395" s="283"/>
      <c r="E395" s="283"/>
      <c r="F395" s="283"/>
      <c r="G395" s="283"/>
      <c r="H395" s="283"/>
      <c r="I395" s="283"/>
      <c r="J395" s="283"/>
      <c r="K395" s="283"/>
      <c r="L395" s="283"/>
      <c r="M395" s="283"/>
      <c r="N395" s="283"/>
      <c r="O395" s="283"/>
      <c r="P395" s="283"/>
      <c r="Q395" s="283"/>
      <c r="R395" s="283"/>
      <c r="S395" s="283"/>
      <c r="T395" s="283"/>
      <c r="U395" s="283"/>
      <c r="V395" s="283"/>
      <c r="W395" s="283"/>
      <c r="X395" s="283"/>
      <c r="Y395" s="283"/>
      <c r="Z395" s="283"/>
    </row>
    <row r="396" ht="14.25" customHeight="1">
      <c r="A396" s="283"/>
      <c r="B396" s="283"/>
      <c r="C396" s="283"/>
      <c r="D396" s="283"/>
      <c r="E396" s="283"/>
      <c r="F396" s="283"/>
      <c r="G396" s="283"/>
      <c r="H396" s="283"/>
      <c r="I396" s="283"/>
      <c r="J396" s="283"/>
      <c r="K396" s="283"/>
      <c r="L396" s="283"/>
      <c r="M396" s="283"/>
      <c r="N396" s="283"/>
      <c r="O396" s="283"/>
      <c r="P396" s="283"/>
      <c r="Q396" s="283"/>
      <c r="R396" s="283"/>
      <c r="S396" s="283"/>
      <c r="T396" s="283"/>
      <c r="U396" s="283"/>
      <c r="V396" s="283"/>
      <c r="W396" s="283"/>
      <c r="X396" s="283"/>
      <c r="Y396" s="283"/>
      <c r="Z396" s="283"/>
    </row>
    <row r="397" ht="14.25" customHeight="1">
      <c r="A397" s="283"/>
      <c r="B397" s="283"/>
      <c r="C397" s="283"/>
      <c r="D397" s="283"/>
      <c r="E397" s="283"/>
      <c r="F397" s="283"/>
      <c r="G397" s="283"/>
      <c r="H397" s="283"/>
      <c r="I397" s="283"/>
      <c r="J397" s="283"/>
      <c r="K397" s="283"/>
      <c r="L397" s="283"/>
      <c r="M397" s="283"/>
      <c r="N397" s="283"/>
      <c r="O397" s="283"/>
      <c r="P397" s="283"/>
      <c r="Q397" s="283"/>
      <c r="R397" s="283"/>
      <c r="S397" s="283"/>
      <c r="T397" s="283"/>
      <c r="U397" s="283"/>
      <c r="V397" s="283"/>
      <c r="W397" s="283"/>
      <c r="X397" s="283"/>
      <c r="Y397" s="283"/>
      <c r="Z397" s="283"/>
    </row>
    <row r="398" ht="14.25" customHeight="1">
      <c r="A398" s="283"/>
      <c r="B398" s="283"/>
      <c r="C398" s="283"/>
      <c r="D398" s="283"/>
      <c r="E398" s="283"/>
      <c r="F398" s="283"/>
      <c r="G398" s="283"/>
      <c r="H398" s="283"/>
      <c r="I398" s="283"/>
      <c r="J398" s="283"/>
      <c r="K398" s="283"/>
      <c r="L398" s="283"/>
      <c r="M398" s="283"/>
      <c r="N398" s="283"/>
      <c r="O398" s="283"/>
      <c r="P398" s="283"/>
      <c r="Q398" s="283"/>
      <c r="R398" s="283"/>
      <c r="S398" s="283"/>
      <c r="T398" s="283"/>
      <c r="U398" s="283"/>
      <c r="V398" s="283"/>
      <c r="W398" s="283"/>
      <c r="X398" s="283"/>
      <c r="Y398" s="283"/>
      <c r="Z398" s="283"/>
    </row>
    <row r="399" ht="14.25" customHeight="1">
      <c r="A399" s="283"/>
      <c r="B399" s="283"/>
      <c r="C399" s="283"/>
      <c r="D399" s="283"/>
      <c r="E399" s="283"/>
      <c r="F399" s="283"/>
      <c r="G399" s="283"/>
      <c r="H399" s="283"/>
      <c r="I399" s="283"/>
      <c r="J399" s="283"/>
      <c r="K399" s="283"/>
      <c r="L399" s="283"/>
      <c r="M399" s="283"/>
      <c r="N399" s="283"/>
      <c r="O399" s="283"/>
      <c r="P399" s="283"/>
      <c r="Q399" s="283"/>
      <c r="R399" s="283"/>
      <c r="S399" s="283"/>
      <c r="T399" s="283"/>
      <c r="U399" s="283"/>
      <c r="V399" s="283"/>
      <c r="W399" s="283"/>
      <c r="X399" s="283"/>
      <c r="Y399" s="283"/>
      <c r="Z399" s="283"/>
    </row>
    <row r="400" ht="14.25" customHeight="1">
      <c r="A400" s="283"/>
      <c r="B400" s="283"/>
      <c r="C400" s="283"/>
      <c r="D400" s="283"/>
      <c r="E400" s="283"/>
      <c r="F400" s="283"/>
      <c r="G400" s="283"/>
      <c r="H400" s="283"/>
      <c r="I400" s="283"/>
      <c r="J400" s="283"/>
      <c r="K400" s="283"/>
      <c r="L400" s="283"/>
      <c r="M400" s="283"/>
      <c r="N400" s="283"/>
      <c r="O400" s="283"/>
      <c r="P400" s="283"/>
      <c r="Q400" s="283"/>
      <c r="R400" s="283"/>
      <c r="S400" s="283"/>
      <c r="T400" s="283"/>
      <c r="U400" s="283"/>
      <c r="V400" s="283"/>
      <c r="W400" s="283"/>
      <c r="X400" s="283"/>
      <c r="Y400" s="283"/>
      <c r="Z400" s="283"/>
    </row>
    <row r="401" ht="14.25" customHeight="1">
      <c r="A401" s="283"/>
      <c r="B401" s="283"/>
      <c r="C401" s="283"/>
      <c r="D401" s="283"/>
      <c r="E401" s="283"/>
      <c r="F401" s="283"/>
      <c r="G401" s="283"/>
      <c r="H401" s="283"/>
      <c r="I401" s="283"/>
      <c r="J401" s="283"/>
      <c r="K401" s="283"/>
      <c r="L401" s="283"/>
      <c r="M401" s="283"/>
      <c r="N401" s="283"/>
      <c r="O401" s="283"/>
      <c r="P401" s="283"/>
      <c r="Q401" s="283"/>
      <c r="R401" s="283"/>
      <c r="S401" s="283"/>
      <c r="T401" s="283"/>
      <c r="U401" s="283"/>
      <c r="V401" s="283"/>
      <c r="W401" s="283"/>
      <c r="X401" s="283"/>
      <c r="Y401" s="283"/>
      <c r="Z401" s="283"/>
    </row>
    <row r="402" ht="14.25" customHeight="1">
      <c r="A402" s="283"/>
      <c r="B402" s="283"/>
      <c r="C402" s="283"/>
      <c r="D402" s="283"/>
      <c r="E402" s="283"/>
      <c r="F402" s="283"/>
      <c r="G402" s="283"/>
      <c r="H402" s="283"/>
      <c r="I402" s="283"/>
      <c r="J402" s="283"/>
      <c r="K402" s="283"/>
      <c r="L402" s="283"/>
      <c r="M402" s="283"/>
      <c r="N402" s="283"/>
      <c r="O402" s="283"/>
      <c r="P402" s="283"/>
      <c r="Q402" s="283"/>
      <c r="R402" s="283"/>
      <c r="S402" s="283"/>
      <c r="T402" s="283"/>
      <c r="U402" s="283"/>
      <c r="V402" s="283"/>
      <c r="W402" s="283"/>
      <c r="X402" s="283"/>
      <c r="Y402" s="283"/>
      <c r="Z402" s="283"/>
    </row>
    <row r="403" ht="14.25" customHeight="1">
      <c r="A403" s="283"/>
      <c r="B403" s="283"/>
      <c r="C403" s="283"/>
      <c r="D403" s="283"/>
      <c r="E403" s="283"/>
      <c r="F403" s="283"/>
      <c r="G403" s="283"/>
      <c r="H403" s="283"/>
      <c r="I403" s="283"/>
      <c r="J403" s="283"/>
      <c r="K403" s="283"/>
      <c r="L403" s="283"/>
      <c r="M403" s="283"/>
      <c r="N403" s="283"/>
      <c r="O403" s="283"/>
      <c r="P403" s="283"/>
      <c r="Q403" s="283"/>
      <c r="R403" s="283"/>
      <c r="S403" s="283"/>
      <c r="T403" s="283"/>
      <c r="U403" s="283"/>
      <c r="V403" s="283"/>
      <c r="W403" s="283"/>
      <c r="X403" s="283"/>
      <c r="Y403" s="283"/>
      <c r="Z403" s="283"/>
    </row>
    <row r="404" ht="14.25" customHeight="1">
      <c r="A404" s="283"/>
      <c r="B404" s="283"/>
      <c r="C404" s="283"/>
      <c r="D404" s="283"/>
      <c r="E404" s="283"/>
      <c r="F404" s="283"/>
      <c r="G404" s="283"/>
      <c r="H404" s="283"/>
      <c r="I404" s="283"/>
      <c r="J404" s="283"/>
      <c r="K404" s="283"/>
      <c r="L404" s="283"/>
      <c r="M404" s="283"/>
      <c r="N404" s="283"/>
      <c r="O404" s="283"/>
      <c r="P404" s="283"/>
      <c r="Q404" s="283"/>
      <c r="R404" s="283"/>
      <c r="S404" s="283"/>
      <c r="T404" s="283"/>
      <c r="U404" s="283"/>
      <c r="V404" s="283"/>
      <c r="W404" s="283"/>
      <c r="X404" s="283"/>
      <c r="Y404" s="283"/>
      <c r="Z404" s="283"/>
    </row>
    <row r="405" ht="14.25" customHeight="1">
      <c r="A405" s="283"/>
      <c r="B405" s="283"/>
      <c r="C405" s="283"/>
      <c r="D405" s="283"/>
      <c r="E405" s="283"/>
      <c r="F405" s="283"/>
      <c r="G405" s="283"/>
      <c r="H405" s="283"/>
      <c r="I405" s="283"/>
      <c r="J405" s="283"/>
      <c r="K405" s="283"/>
      <c r="L405" s="283"/>
      <c r="M405" s="283"/>
      <c r="N405" s="283"/>
      <c r="O405" s="283"/>
      <c r="P405" s="283"/>
      <c r="Q405" s="283"/>
      <c r="R405" s="283"/>
      <c r="S405" s="283"/>
      <c r="T405" s="283"/>
      <c r="U405" s="283"/>
      <c r="V405" s="283"/>
      <c r="W405" s="283"/>
      <c r="X405" s="283"/>
      <c r="Y405" s="283"/>
      <c r="Z405" s="283"/>
    </row>
    <row r="406" ht="14.25" customHeight="1">
      <c r="A406" s="283"/>
      <c r="B406" s="283"/>
      <c r="C406" s="283"/>
      <c r="D406" s="283"/>
      <c r="E406" s="283"/>
      <c r="F406" s="283"/>
      <c r="G406" s="283"/>
      <c r="H406" s="283"/>
      <c r="I406" s="283"/>
      <c r="J406" s="283"/>
      <c r="K406" s="283"/>
      <c r="L406" s="283"/>
      <c r="M406" s="283"/>
      <c r="N406" s="283"/>
      <c r="O406" s="283"/>
      <c r="P406" s="283"/>
      <c r="Q406" s="283"/>
      <c r="R406" s="283"/>
      <c r="S406" s="283"/>
      <c r="T406" s="283"/>
      <c r="U406" s="283"/>
      <c r="V406" s="283"/>
      <c r="W406" s="283"/>
      <c r="X406" s="283"/>
      <c r="Y406" s="283"/>
      <c r="Z406" s="283"/>
    </row>
    <row r="407" ht="14.25" customHeight="1">
      <c r="A407" s="283"/>
      <c r="B407" s="283"/>
      <c r="C407" s="283"/>
      <c r="D407" s="283"/>
      <c r="E407" s="283"/>
      <c r="F407" s="283"/>
      <c r="G407" s="283"/>
      <c r="H407" s="283"/>
      <c r="I407" s="283"/>
      <c r="J407" s="283"/>
      <c r="K407" s="283"/>
      <c r="L407" s="283"/>
      <c r="M407" s="283"/>
      <c r="N407" s="283"/>
      <c r="O407" s="283"/>
      <c r="P407" s="283"/>
      <c r="Q407" s="283"/>
      <c r="R407" s="283"/>
      <c r="S407" s="283"/>
      <c r="T407" s="283"/>
      <c r="U407" s="283"/>
      <c r="V407" s="283"/>
      <c r="W407" s="283"/>
      <c r="X407" s="283"/>
      <c r="Y407" s="283"/>
      <c r="Z407" s="283"/>
    </row>
    <row r="408" ht="14.25" customHeight="1">
      <c r="A408" s="283"/>
      <c r="B408" s="283"/>
      <c r="C408" s="283"/>
      <c r="D408" s="283"/>
      <c r="E408" s="283"/>
      <c r="F408" s="283"/>
      <c r="G408" s="283"/>
      <c r="H408" s="283"/>
      <c r="I408" s="283"/>
      <c r="J408" s="283"/>
      <c r="K408" s="283"/>
      <c r="L408" s="283"/>
      <c r="M408" s="283"/>
      <c r="N408" s="283"/>
      <c r="O408" s="283"/>
      <c r="P408" s="283"/>
      <c r="Q408" s="283"/>
      <c r="R408" s="283"/>
      <c r="S408" s="283"/>
      <c r="T408" s="283"/>
      <c r="U408" s="283"/>
      <c r="V408" s="283"/>
      <c r="W408" s="283"/>
      <c r="X408" s="283"/>
      <c r="Y408" s="283"/>
      <c r="Z408" s="283"/>
    </row>
    <row r="409" ht="14.25" customHeight="1">
      <c r="A409" s="283"/>
      <c r="B409" s="283"/>
      <c r="C409" s="283"/>
      <c r="D409" s="283"/>
      <c r="E409" s="283"/>
      <c r="F409" s="283"/>
      <c r="G409" s="283"/>
      <c r="H409" s="283"/>
      <c r="I409" s="283"/>
      <c r="J409" s="283"/>
      <c r="K409" s="283"/>
      <c r="L409" s="283"/>
      <c r="M409" s="283"/>
      <c r="N409" s="283"/>
      <c r="O409" s="283"/>
      <c r="P409" s="283"/>
      <c r="Q409" s="283"/>
      <c r="R409" s="283"/>
      <c r="S409" s="283"/>
      <c r="T409" s="283"/>
      <c r="U409" s="283"/>
      <c r="V409" s="283"/>
      <c r="W409" s="283"/>
      <c r="X409" s="283"/>
      <c r="Y409" s="283"/>
      <c r="Z409" s="283"/>
    </row>
    <row r="410" ht="14.25" customHeight="1">
      <c r="A410" s="283"/>
      <c r="B410" s="283"/>
      <c r="C410" s="283"/>
      <c r="D410" s="283"/>
      <c r="E410" s="283"/>
      <c r="F410" s="283"/>
      <c r="G410" s="283"/>
      <c r="H410" s="283"/>
      <c r="I410" s="283"/>
      <c r="J410" s="283"/>
      <c r="K410" s="283"/>
      <c r="L410" s="283"/>
      <c r="M410" s="283"/>
      <c r="N410" s="283"/>
      <c r="O410" s="283"/>
      <c r="P410" s="283"/>
      <c r="Q410" s="283"/>
      <c r="R410" s="283"/>
      <c r="S410" s="283"/>
      <c r="T410" s="283"/>
      <c r="U410" s="283"/>
      <c r="V410" s="283"/>
      <c r="W410" s="283"/>
      <c r="X410" s="283"/>
      <c r="Y410" s="283"/>
      <c r="Z410" s="283"/>
    </row>
    <row r="411" ht="14.25" customHeight="1">
      <c r="A411" s="283"/>
      <c r="B411" s="283"/>
      <c r="C411" s="283"/>
      <c r="D411" s="283"/>
      <c r="E411" s="283"/>
      <c r="F411" s="283"/>
      <c r="G411" s="283"/>
      <c r="H411" s="283"/>
      <c r="I411" s="283"/>
      <c r="J411" s="283"/>
      <c r="K411" s="283"/>
      <c r="L411" s="283"/>
      <c r="M411" s="283"/>
      <c r="N411" s="283"/>
      <c r="O411" s="283"/>
      <c r="P411" s="283"/>
      <c r="Q411" s="283"/>
      <c r="R411" s="283"/>
      <c r="S411" s="283"/>
      <c r="T411" s="283"/>
      <c r="U411" s="283"/>
      <c r="V411" s="283"/>
      <c r="W411" s="283"/>
      <c r="X411" s="283"/>
      <c r="Y411" s="283"/>
      <c r="Z411" s="283"/>
    </row>
    <row r="412" ht="14.25" customHeight="1">
      <c r="A412" s="283"/>
      <c r="B412" s="283"/>
      <c r="C412" s="283"/>
      <c r="D412" s="283"/>
      <c r="E412" s="283"/>
      <c r="F412" s="283"/>
      <c r="G412" s="283"/>
      <c r="H412" s="283"/>
      <c r="I412" s="283"/>
      <c r="J412" s="283"/>
      <c r="K412" s="283"/>
      <c r="L412" s="283"/>
      <c r="M412" s="283"/>
      <c r="N412" s="283"/>
      <c r="O412" s="283"/>
      <c r="P412" s="283"/>
      <c r="Q412" s="283"/>
      <c r="R412" s="283"/>
      <c r="S412" s="283"/>
      <c r="T412" s="283"/>
      <c r="U412" s="283"/>
      <c r="V412" s="283"/>
      <c r="W412" s="283"/>
      <c r="X412" s="283"/>
      <c r="Y412" s="283"/>
      <c r="Z412" s="283"/>
    </row>
    <row r="413" ht="14.25" customHeight="1">
      <c r="A413" s="283"/>
      <c r="B413" s="283"/>
      <c r="C413" s="283"/>
      <c r="D413" s="283"/>
      <c r="E413" s="283"/>
      <c r="F413" s="283"/>
      <c r="G413" s="283"/>
      <c r="H413" s="283"/>
      <c r="I413" s="283"/>
      <c r="J413" s="283"/>
      <c r="K413" s="283"/>
      <c r="L413" s="283"/>
      <c r="M413" s="283"/>
      <c r="N413" s="283"/>
      <c r="O413" s="283"/>
      <c r="P413" s="283"/>
      <c r="Q413" s="283"/>
      <c r="R413" s="283"/>
      <c r="S413" s="283"/>
      <c r="T413" s="283"/>
      <c r="U413" s="283"/>
      <c r="V413" s="283"/>
      <c r="W413" s="283"/>
      <c r="X413" s="283"/>
      <c r="Y413" s="283"/>
      <c r="Z413" s="283"/>
    </row>
    <row r="414" ht="14.25" customHeight="1">
      <c r="A414" s="283"/>
      <c r="B414" s="283"/>
      <c r="C414" s="283"/>
      <c r="D414" s="283"/>
      <c r="E414" s="283"/>
      <c r="F414" s="283"/>
      <c r="G414" s="283"/>
      <c r="H414" s="283"/>
      <c r="I414" s="283"/>
      <c r="J414" s="283"/>
      <c r="K414" s="283"/>
      <c r="L414" s="283"/>
      <c r="M414" s="283"/>
      <c r="N414" s="283"/>
      <c r="O414" s="283"/>
      <c r="P414" s="283"/>
      <c r="Q414" s="283"/>
      <c r="R414" s="283"/>
      <c r="S414" s="283"/>
      <c r="T414" s="283"/>
      <c r="U414" s="283"/>
      <c r="V414" s="283"/>
      <c r="W414" s="283"/>
      <c r="X414" s="283"/>
      <c r="Y414" s="283"/>
      <c r="Z414" s="283"/>
    </row>
    <row r="415" ht="14.25" customHeight="1">
      <c r="A415" s="283"/>
      <c r="B415" s="283"/>
      <c r="C415" s="283"/>
      <c r="D415" s="283"/>
      <c r="E415" s="283"/>
      <c r="F415" s="283"/>
      <c r="G415" s="283"/>
      <c r="H415" s="283"/>
      <c r="I415" s="283"/>
      <c r="J415" s="283"/>
      <c r="K415" s="283"/>
      <c r="L415" s="283"/>
      <c r="M415" s="283"/>
      <c r="N415" s="283"/>
      <c r="O415" s="283"/>
      <c r="P415" s="283"/>
      <c r="Q415" s="283"/>
      <c r="R415" s="283"/>
      <c r="S415" s="283"/>
      <c r="T415" s="283"/>
      <c r="U415" s="283"/>
      <c r="V415" s="283"/>
      <c r="W415" s="283"/>
      <c r="X415" s="283"/>
      <c r="Y415" s="283"/>
      <c r="Z415" s="283"/>
    </row>
    <row r="416" ht="14.25" customHeight="1">
      <c r="A416" s="283"/>
      <c r="B416" s="283"/>
      <c r="C416" s="283"/>
      <c r="D416" s="283"/>
      <c r="E416" s="283"/>
      <c r="F416" s="283"/>
      <c r="G416" s="283"/>
      <c r="H416" s="283"/>
      <c r="I416" s="283"/>
      <c r="J416" s="283"/>
      <c r="K416" s="283"/>
      <c r="L416" s="283"/>
      <c r="M416" s="283"/>
      <c r="N416" s="283"/>
      <c r="O416" s="283"/>
      <c r="P416" s="283"/>
      <c r="Q416" s="283"/>
      <c r="R416" s="283"/>
      <c r="S416" s="283"/>
      <c r="T416" s="283"/>
      <c r="U416" s="283"/>
      <c r="V416" s="283"/>
      <c r="W416" s="283"/>
      <c r="X416" s="283"/>
      <c r="Y416" s="283"/>
      <c r="Z416" s="283"/>
    </row>
    <row r="417" ht="14.25" customHeight="1">
      <c r="A417" s="283"/>
      <c r="B417" s="283"/>
      <c r="C417" s="283"/>
      <c r="D417" s="283"/>
      <c r="E417" s="283"/>
      <c r="F417" s="283"/>
      <c r="G417" s="283"/>
      <c r="H417" s="283"/>
      <c r="I417" s="283"/>
      <c r="J417" s="283"/>
      <c r="K417" s="283"/>
      <c r="L417" s="283"/>
      <c r="M417" s="283"/>
      <c r="N417" s="283"/>
      <c r="O417" s="283"/>
      <c r="P417" s="283"/>
      <c r="Q417" s="283"/>
      <c r="R417" s="283"/>
      <c r="S417" s="283"/>
      <c r="T417" s="283"/>
      <c r="U417" s="283"/>
      <c r="V417" s="283"/>
      <c r="W417" s="283"/>
      <c r="X417" s="283"/>
      <c r="Y417" s="283"/>
      <c r="Z417" s="283"/>
    </row>
    <row r="418" ht="14.25" customHeight="1">
      <c r="A418" s="283"/>
      <c r="B418" s="283"/>
      <c r="C418" s="283"/>
      <c r="D418" s="283"/>
      <c r="E418" s="283"/>
      <c r="F418" s="283"/>
      <c r="G418" s="283"/>
      <c r="H418" s="283"/>
      <c r="I418" s="283"/>
      <c r="J418" s="283"/>
      <c r="K418" s="283"/>
      <c r="L418" s="283"/>
      <c r="M418" s="283"/>
      <c r="N418" s="283"/>
      <c r="O418" s="283"/>
      <c r="P418" s="283"/>
      <c r="Q418" s="283"/>
      <c r="R418" s="283"/>
      <c r="S418" s="283"/>
      <c r="T418" s="283"/>
      <c r="U418" s="283"/>
      <c r="V418" s="283"/>
      <c r="W418" s="283"/>
      <c r="X418" s="283"/>
      <c r="Y418" s="283"/>
      <c r="Z418" s="283"/>
    </row>
    <row r="419" ht="14.25" customHeight="1">
      <c r="A419" s="283"/>
      <c r="B419" s="283"/>
      <c r="C419" s="283"/>
      <c r="D419" s="283"/>
      <c r="E419" s="283"/>
      <c r="F419" s="283"/>
      <c r="G419" s="283"/>
      <c r="H419" s="283"/>
      <c r="I419" s="283"/>
      <c r="J419" s="283"/>
      <c r="K419" s="283"/>
      <c r="L419" s="283"/>
      <c r="M419" s="283"/>
      <c r="N419" s="283"/>
      <c r="O419" s="283"/>
      <c r="P419" s="283"/>
      <c r="Q419" s="283"/>
      <c r="R419" s="283"/>
      <c r="S419" s="283"/>
      <c r="T419" s="283"/>
      <c r="U419" s="283"/>
      <c r="V419" s="283"/>
      <c r="W419" s="283"/>
      <c r="X419" s="283"/>
      <c r="Y419" s="283"/>
      <c r="Z419" s="283"/>
    </row>
    <row r="420" ht="14.25" customHeight="1">
      <c r="A420" s="283"/>
      <c r="B420" s="283"/>
      <c r="C420" s="283"/>
      <c r="D420" s="283"/>
      <c r="E420" s="283"/>
      <c r="F420" s="283"/>
      <c r="G420" s="283"/>
      <c r="H420" s="283"/>
      <c r="I420" s="283"/>
      <c r="J420" s="283"/>
      <c r="K420" s="283"/>
      <c r="L420" s="283"/>
      <c r="M420" s="283"/>
      <c r="N420" s="283"/>
      <c r="O420" s="283"/>
      <c r="P420" s="283"/>
      <c r="Q420" s="283"/>
      <c r="R420" s="283"/>
      <c r="S420" s="283"/>
      <c r="T420" s="283"/>
      <c r="U420" s="283"/>
      <c r="V420" s="283"/>
      <c r="W420" s="283"/>
      <c r="X420" s="283"/>
      <c r="Y420" s="283"/>
      <c r="Z420" s="283"/>
    </row>
    <row r="421" ht="14.25" customHeight="1">
      <c r="A421" s="283"/>
      <c r="B421" s="283"/>
      <c r="C421" s="283"/>
      <c r="D421" s="283"/>
      <c r="E421" s="283"/>
      <c r="F421" s="283"/>
      <c r="G421" s="283"/>
      <c r="H421" s="283"/>
      <c r="I421" s="283"/>
      <c r="J421" s="283"/>
      <c r="K421" s="283"/>
      <c r="L421" s="283"/>
      <c r="M421" s="283"/>
      <c r="N421" s="283"/>
      <c r="O421" s="283"/>
      <c r="P421" s="283"/>
      <c r="Q421" s="283"/>
      <c r="R421" s="283"/>
      <c r="S421" s="283"/>
      <c r="T421" s="283"/>
      <c r="U421" s="283"/>
      <c r="V421" s="283"/>
      <c r="W421" s="283"/>
      <c r="X421" s="283"/>
      <c r="Y421" s="283"/>
      <c r="Z421" s="283"/>
    </row>
    <row r="422" ht="14.25" customHeight="1">
      <c r="A422" s="283"/>
      <c r="B422" s="283"/>
      <c r="C422" s="283"/>
      <c r="D422" s="283"/>
      <c r="E422" s="283"/>
      <c r="F422" s="283"/>
      <c r="G422" s="283"/>
      <c r="H422" s="283"/>
      <c r="I422" s="283"/>
      <c r="J422" s="283"/>
      <c r="K422" s="283"/>
      <c r="L422" s="283"/>
      <c r="M422" s="283"/>
      <c r="N422" s="283"/>
      <c r="O422" s="283"/>
      <c r="P422" s="283"/>
      <c r="Q422" s="283"/>
      <c r="R422" s="283"/>
      <c r="S422" s="283"/>
      <c r="T422" s="283"/>
      <c r="U422" s="283"/>
      <c r="V422" s="283"/>
      <c r="W422" s="283"/>
      <c r="X422" s="283"/>
      <c r="Y422" s="283"/>
      <c r="Z422" s="283"/>
    </row>
    <row r="423" ht="14.25" customHeight="1">
      <c r="A423" s="283"/>
      <c r="B423" s="283"/>
      <c r="C423" s="283"/>
      <c r="D423" s="283"/>
      <c r="E423" s="283"/>
      <c r="F423" s="283"/>
      <c r="G423" s="283"/>
      <c r="H423" s="283"/>
      <c r="I423" s="283"/>
      <c r="J423" s="283"/>
      <c r="K423" s="283"/>
      <c r="L423" s="283"/>
      <c r="M423" s="283"/>
      <c r="N423" s="283"/>
      <c r="O423" s="283"/>
      <c r="P423" s="283"/>
      <c r="Q423" s="283"/>
      <c r="R423" s="283"/>
      <c r="S423" s="283"/>
      <c r="T423" s="283"/>
      <c r="U423" s="283"/>
      <c r="V423" s="283"/>
      <c r="W423" s="283"/>
      <c r="X423" s="283"/>
      <c r="Y423" s="283"/>
      <c r="Z423" s="283"/>
    </row>
    <row r="424" ht="14.25" customHeight="1">
      <c r="A424" s="283"/>
      <c r="B424" s="283"/>
      <c r="C424" s="283"/>
      <c r="D424" s="283"/>
      <c r="E424" s="283"/>
      <c r="F424" s="283"/>
      <c r="G424" s="283"/>
      <c r="H424" s="283"/>
      <c r="I424" s="283"/>
      <c r="J424" s="283"/>
      <c r="K424" s="283"/>
      <c r="L424" s="283"/>
      <c r="M424" s="283"/>
      <c r="N424" s="283"/>
      <c r="O424" s="283"/>
      <c r="P424" s="283"/>
      <c r="Q424" s="283"/>
      <c r="R424" s="283"/>
      <c r="S424" s="283"/>
      <c r="T424" s="283"/>
      <c r="U424" s="283"/>
      <c r="V424" s="283"/>
      <c r="W424" s="283"/>
      <c r="X424" s="283"/>
      <c r="Y424" s="283"/>
      <c r="Z424" s="283"/>
    </row>
    <row r="425" ht="14.25" customHeight="1">
      <c r="A425" s="283"/>
      <c r="B425" s="283"/>
      <c r="C425" s="283"/>
      <c r="D425" s="283"/>
      <c r="E425" s="283"/>
      <c r="F425" s="283"/>
      <c r="G425" s="283"/>
      <c r="H425" s="283"/>
      <c r="I425" s="283"/>
      <c r="J425" s="283"/>
      <c r="K425" s="283"/>
      <c r="L425" s="283"/>
      <c r="M425" s="283"/>
      <c r="N425" s="283"/>
      <c r="O425" s="283"/>
      <c r="P425" s="283"/>
      <c r="Q425" s="283"/>
      <c r="R425" s="283"/>
      <c r="S425" s="283"/>
      <c r="T425" s="283"/>
      <c r="U425" s="283"/>
      <c r="V425" s="283"/>
      <c r="W425" s="283"/>
      <c r="X425" s="283"/>
      <c r="Y425" s="283"/>
      <c r="Z425" s="283"/>
    </row>
    <row r="426" ht="14.25" customHeight="1">
      <c r="A426" s="283"/>
      <c r="B426" s="283"/>
      <c r="C426" s="283"/>
      <c r="D426" s="283"/>
      <c r="E426" s="283"/>
      <c r="F426" s="283"/>
      <c r="G426" s="283"/>
      <c r="H426" s="283"/>
      <c r="I426" s="283"/>
      <c r="J426" s="283"/>
      <c r="K426" s="283"/>
      <c r="L426" s="283"/>
      <c r="M426" s="283"/>
      <c r="N426" s="283"/>
      <c r="O426" s="283"/>
      <c r="P426" s="283"/>
      <c r="Q426" s="283"/>
      <c r="R426" s="283"/>
      <c r="S426" s="283"/>
      <c r="T426" s="283"/>
      <c r="U426" s="283"/>
      <c r="V426" s="283"/>
      <c r="W426" s="283"/>
      <c r="X426" s="283"/>
      <c r="Y426" s="283"/>
      <c r="Z426" s="283"/>
    </row>
    <row r="427" ht="14.25" customHeight="1">
      <c r="A427" s="283"/>
      <c r="B427" s="283"/>
      <c r="C427" s="283"/>
      <c r="D427" s="283"/>
      <c r="E427" s="283"/>
      <c r="F427" s="283"/>
      <c r="G427" s="283"/>
      <c r="H427" s="283"/>
      <c r="I427" s="283"/>
      <c r="J427" s="283"/>
      <c r="K427" s="283"/>
      <c r="L427" s="283"/>
      <c r="M427" s="283"/>
      <c r="N427" s="283"/>
      <c r="O427" s="283"/>
      <c r="P427" s="283"/>
      <c r="Q427" s="283"/>
      <c r="R427" s="283"/>
      <c r="S427" s="283"/>
      <c r="T427" s="283"/>
      <c r="U427" s="283"/>
      <c r="V427" s="283"/>
      <c r="W427" s="283"/>
      <c r="X427" s="283"/>
      <c r="Y427" s="283"/>
      <c r="Z427" s="283"/>
    </row>
    <row r="428" ht="14.25" customHeight="1">
      <c r="A428" s="283"/>
      <c r="B428" s="283"/>
      <c r="C428" s="283"/>
      <c r="D428" s="283"/>
      <c r="E428" s="283"/>
      <c r="F428" s="283"/>
      <c r="G428" s="283"/>
      <c r="H428" s="283"/>
      <c r="I428" s="283"/>
      <c r="J428" s="283"/>
      <c r="K428" s="283"/>
      <c r="L428" s="283"/>
      <c r="M428" s="283"/>
      <c r="N428" s="283"/>
      <c r="O428" s="283"/>
      <c r="P428" s="283"/>
      <c r="Q428" s="283"/>
      <c r="R428" s="283"/>
      <c r="S428" s="283"/>
      <c r="T428" s="283"/>
      <c r="U428" s="283"/>
      <c r="V428" s="283"/>
      <c r="W428" s="283"/>
      <c r="X428" s="283"/>
      <c r="Y428" s="283"/>
      <c r="Z428" s="283"/>
    </row>
    <row r="429" ht="14.25" customHeight="1">
      <c r="A429" s="283"/>
      <c r="B429" s="283"/>
      <c r="C429" s="283"/>
      <c r="D429" s="283"/>
      <c r="E429" s="283"/>
      <c r="F429" s="283"/>
      <c r="G429" s="283"/>
      <c r="H429" s="283"/>
      <c r="I429" s="283"/>
      <c r="J429" s="283"/>
      <c r="K429" s="283"/>
      <c r="L429" s="283"/>
      <c r="M429" s="283"/>
      <c r="N429" s="283"/>
      <c r="O429" s="283"/>
      <c r="P429" s="283"/>
      <c r="Q429" s="283"/>
      <c r="R429" s="283"/>
      <c r="S429" s="283"/>
      <c r="T429" s="283"/>
      <c r="U429" s="283"/>
      <c r="V429" s="283"/>
      <c r="W429" s="283"/>
      <c r="X429" s="283"/>
      <c r="Y429" s="283"/>
      <c r="Z429" s="283"/>
    </row>
    <row r="430" ht="14.25" customHeight="1">
      <c r="A430" s="283"/>
      <c r="B430" s="283"/>
      <c r="C430" s="283"/>
      <c r="D430" s="283"/>
      <c r="E430" s="283"/>
      <c r="F430" s="283"/>
      <c r="G430" s="283"/>
      <c r="H430" s="283"/>
      <c r="I430" s="283"/>
      <c r="J430" s="283"/>
      <c r="K430" s="283"/>
      <c r="L430" s="283"/>
      <c r="M430" s="283"/>
      <c r="N430" s="283"/>
      <c r="O430" s="283"/>
      <c r="P430" s="283"/>
      <c r="Q430" s="283"/>
      <c r="R430" s="283"/>
      <c r="S430" s="283"/>
      <c r="T430" s="283"/>
      <c r="U430" s="283"/>
      <c r="V430" s="283"/>
      <c r="W430" s="283"/>
      <c r="X430" s="283"/>
      <c r="Y430" s="283"/>
      <c r="Z430" s="283"/>
    </row>
    <row r="431" ht="14.25" customHeight="1">
      <c r="A431" s="283"/>
      <c r="B431" s="283"/>
      <c r="C431" s="283"/>
      <c r="D431" s="283"/>
      <c r="E431" s="283"/>
      <c r="F431" s="283"/>
      <c r="G431" s="283"/>
      <c r="H431" s="283"/>
      <c r="I431" s="283"/>
      <c r="J431" s="283"/>
      <c r="K431" s="283"/>
      <c r="L431" s="283"/>
      <c r="M431" s="283"/>
      <c r="N431" s="283"/>
      <c r="O431" s="283"/>
      <c r="P431" s="283"/>
      <c r="Q431" s="283"/>
      <c r="R431" s="283"/>
      <c r="S431" s="283"/>
      <c r="T431" s="283"/>
      <c r="U431" s="283"/>
      <c r="V431" s="283"/>
      <c r="W431" s="283"/>
      <c r="X431" s="283"/>
      <c r="Y431" s="283"/>
      <c r="Z431" s="283"/>
    </row>
    <row r="432" ht="14.25" customHeight="1">
      <c r="A432" s="283"/>
      <c r="B432" s="283"/>
      <c r="C432" s="283"/>
      <c r="D432" s="283"/>
      <c r="E432" s="283"/>
      <c r="F432" s="283"/>
      <c r="G432" s="283"/>
      <c r="H432" s="283"/>
      <c r="I432" s="283"/>
      <c r="J432" s="283"/>
      <c r="K432" s="283"/>
      <c r="L432" s="283"/>
      <c r="M432" s="283"/>
      <c r="N432" s="283"/>
      <c r="O432" s="283"/>
      <c r="P432" s="283"/>
      <c r="Q432" s="283"/>
      <c r="R432" s="283"/>
      <c r="S432" s="283"/>
      <c r="T432" s="283"/>
      <c r="U432" s="283"/>
      <c r="V432" s="283"/>
      <c r="W432" s="283"/>
      <c r="X432" s="283"/>
      <c r="Y432" s="283"/>
      <c r="Z432" s="283"/>
    </row>
    <row r="433" ht="14.25" customHeight="1">
      <c r="A433" s="283"/>
      <c r="B433" s="283"/>
      <c r="C433" s="283"/>
      <c r="D433" s="283"/>
      <c r="E433" s="283"/>
      <c r="F433" s="283"/>
      <c r="G433" s="283"/>
      <c r="H433" s="283"/>
      <c r="I433" s="283"/>
      <c r="J433" s="283"/>
      <c r="K433" s="283"/>
      <c r="L433" s="283"/>
      <c r="M433" s="283"/>
      <c r="N433" s="283"/>
      <c r="O433" s="283"/>
      <c r="P433" s="283"/>
      <c r="Q433" s="283"/>
      <c r="R433" s="283"/>
      <c r="S433" s="283"/>
      <c r="T433" s="283"/>
      <c r="U433" s="283"/>
      <c r="V433" s="283"/>
      <c r="W433" s="283"/>
      <c r="X433" s="283"/>
      <c r="Y433" s="283"/>
      <c r="Z433" s="283"/>
    </row>
    <row r="434" ht="14.25" customHeight="1">
      <c r="A434" s="283"/>
      <c r="B434" s="283"/>
      <c r="C434" s="283"/>
      <c r="D434" s="283"/>
      <c r="E434" s="283"/>
      <c r="F434" s="283"/>
      <c r="G434" s="283"/>
      <c r="H434" s="283"/>
      <c r="I434" s="283"/>
      <c r="J434" s="283"/>
      <c r="K434" s="283"/>
      <c r="L434" s="283"/>
      <c r="M434" s="283"/>
      <c r="N434" s="283"/>
      <c r="O434" s="283"/>
      <c r="P434" s="283"/>
      <c r="Q434" s="283"/>
      <c r="R434" s="283"/>
      <c r="S434" s="283"/>
      <c r="T434" s="283"/>
      <c r="U434" s="283"/>
      <c r="V434" s="283"/>
      <c r="W434" s="283"/>
      <c r="X434" s="283"/>
      <c r="Y434" s="283"/>
      <c r="Z434" s="283"/>
    </row>
    <row r="435" ht="14.25" customHeight="1">
      <c r="A435" s="283"/>
      <c r="B435" s="283"/>
      <c r="C435" s="283"/>
      <c r="D435" s="283"/>
      <c r="E435" s="283"/>
      <c r="F435" s="283"/>
      <c r="G435" s="283"/>
      <c r="H435" s="283"/>
      <c r="I435" s="283"/>
      <c r="J435" s="283"/>
      <c r="K435" s="283"/>
      <c r="L435" s="283"/>
      <c r="M435" s="283"/>
      <c r="N435" s="283"/>
      <c r="O435" s="283"/>
      <c r="P435" s="283"/>
      <c r="Q435" s="283"/>
      <c r="R435" s="283"/>
      <c r="S435" s="283"/>
      <c r="T435" s="283"/>
      <c r="U435" s="283"/>
      <c r="V435" s="283"/>
      <c r="W435" s="283"/>
      <c r="X435" s="283"/>
      <c r="Y435" s="283"/>
      <c r="Z435" s="283"/>
    </row>
    <row r="436" ht="14.25" customHeight="1">
      <c r="A436" s="283"/>
      <c r="B436" s="283"/>
      <c r="C436" s="283"/>
      <c r="D436" s="283"/>
      <c r="E436" s="283"/>
      <c r="F436" s="283"/>
      <c r="G436" s="283"/>
      <c r="H436" s="283"/>
      <c r="I436" s="283"/>
      <c r="J436" s="283"/>
      <c r="K436" s="283"/>
      <c r="L436" s="283"/>
      <c r="M436" s="283"/>
      <c r="N436" s="283"/>
      <c r="O436" s="283"/>
      <c r="P436" s="283"/>
      <c r="Q436" s="283"/>
      <c r="R436" s="283"/>
      <c r="S436" s="283"/>
      <c r="T436" s="283"/>
      <c r="U436" s="283"/>
      <c r="V436" s="283"/>
      <c r="W436" s="283"/>
      <c r="X436" s="283"/>
      <c r="Y436" s="283"/>
      <c r="Z436" s="283"/>
    </row>
    <row r="437" ht="14.25" customHeight="1">
      <c r="A437" s="283"/>
      <c r="B437" s="283"/>
      <c r="C437" s="283"/>
      <c r="D437" s="283"/>
      <c r="E437" s="283"/>
      <c r="F437" s="283"/>
      <c r="G437" s="283"/>
      <c r="H437" s="283"/>
      <c r="I437" s="283"/>
      <c r="J437" s="283"/>
      <c r="K437" s="283"/>
      <c r="L437" s="283"/>
      <c r="M437" s="283"/>
      <c r="N437" s="283"/>
      <c r="O437" s="283"/>
      <c r="P437" s="283"/>
      <c r="Q437" s="283"/>
      <c r="R437" s="283"/>
      <c r="S437" s="283"/>
      <c r="T437" s="283"/>
      <c r="U437" s="283"/>
      <c r="V437" s="283"/>
      <c r="W437" s="283"/>
      <c r="X437" s="283"/>
      <c r="Y437" s="283"/>
      <c r="Z437" s="283"/>
    </row>
    <row r="438" ht="14.25" customHeight="1">
      <c r="A438" s="283"/>
      <c r="B438" s="283"/>
      <c r="C438" s="283"/>
      <c r="D438" s="283"/>
      <c r="E438" s="283"/>
      <c r="F438" s="283"/>
      <c r="G438" s="283"/>
      <c r="H438" s="283"/>
      <c r="I438" s="283"/>
      <c r="J438" s="283"/>
      <c r="K438" s="283"/>
      <c r="L438" s="283"/>
      <c r="M438" s="283"/>
      <c r="N438" s="283"/>
      <c r="O438" s="283"/>
      <c r="P438" s="283"/>
      <c r="Q438" s="283"/>
      <c r="R438" s="283"/>
      <c r="S438" s="283"/>
      <c r="T438" s="283"/>
      <c r="U438" s="283"/>
      <c r="V438" s="283"/>
      <c r="W438" s="283"/>
      <c r="X438" s="283"/>
      <c r="Y438" s="283"/>
      <c r="Z438" s="283"/>
    </row>
    <row r="439" ht="14.25" customHeight="1">
      <c r="A439" s="283"/>
      <c r="B439" s="283"/>
      <c r="C439" s="283"/>
      <c r="D439" s="283"/>
      <c r="E439" s="283"/>
      <c r="F439" s="283"/>
      <c r="G439" s="283"/>
      <c r="H439" s="283"/>
      <c r="I439" s="283"/>
      <c r="J439" s="283"/>
      <c r="K439" s="283"/>
      <c r="L439" s="283"/>
      <c r="M439" s="283"/>
      <c r="N439" s="283"/>
      <c r="O439" s="283"/>
      <c r="P439" s="283"/>
      <c r="Q439" s="283"/>
      <c r="R439" s="283"/>
      <c r="S439" s="283"/>
      <c r="T439" s="283"/>
      <c r="U439" s="283"/>
      <c r="V439" s="283"/>
      <c r="W439" s="283"/>
      <c r="X439" s="283"/>
      <c r="Y439" s="283"/>
      <c r="Z439" s="283"/>
    </row>
    <row r="440" ht="14.25" customHeight="1">
      <c r="A440" s="283"/>
      <c r="B440" s="283"/>
      <c r="C440" s="283"/>
      <c r="D440" s="283"/>
      <c r="E440" s="283"/>
      <c r="F440" s="283"/>
      <c r="G440" s="283"/>
      <c r="H440" s="283"/>
      <c r="I440" s="283"/>
      <c r="J440" s="283"/>
      <c r="K440" s="283"/>
      <c r="L440" s="283"/>
      <c r="M440" s="283"/>
      <c r="N440" s="283"/>
      <c r="O440" s="283"/>
      <c r="P440" s="283"/>
      <c r="Q440" s="283"/>
      <c r="R440" s="283"/>
      <c r="S440" s="283"/>
      <c r="T440" s="283"/>
      <c r="U440" s="283"/>
      <c r="V440" s="283"/>
      <c r="W440" s="283"/>
      <c r="X440" s="283"/>
      <c r="Y440" s="283"/>
      <c r="Z440" s="283"/>
    </row>
    <row r="441" ht="14.25" customHeight="1">
      <c r="A441" s="283"/>
      <c r="B441" s="283"/>
      <c r="C441" s="283"/>
      <c r="D441" s="283"/>
      <c r="E441" s="283"/>
      <c r="F441" s="283"/>
      <c r="G441" s="283"/>
      <c r="H441" s="283"/>
      <c r="I441" s="283"/>
      <c r="J441" s="283"/>
      <c r="K441" s="283"/>
      <c r="L441" s="283"/>
      <c r="M441" s="283"/>
      <c r="N441" s="283"/>
      <c r="O441" s="283"/>
      <c r="P441" s="283"/>
      <c r="Q441" s="283"/>
      <c r="R441" s="283"/>
      <c r="S441" s="283"/>
      <c r="T441" s="283"/>
      <c r="U441" s="283"/>
      <c r="V441" s="283"/>
      <c r="W441" s="283"/>
      <c r="X441" s="283"/>
      <c r="Y441" s="283"/>
      <c r="Z441" s="283"/>
    </row>
    <row r="442" ht="14.25" customHeight="1">
      <c r="A442" s="283"/>
      <c r="B442" s="283"/>
      <c r="C442" s="283"/>
      <c r="D442" s="283"/>
      <c r="E442" s="283"/>
      <c r="F442" s="283"/>
      <c r="G442" s="283"/>
      <c r="H442" s="283"/>
      <c r="I442" s="283"/>
      <c r="J442" s="283"/>
      <c r="K442" s="283"/>
      <c r="L442" s="283"/>
      <c r="M442" s="283"/>
      <c r="N442" s="283"/>
      <c r="O442" s="283"/>
      <c r="P442" s="283"/>
      <c r="Q442" s="283"/>
      <c r="R442" s="283"/>
      <c r="S442" s="283"/>
      <c r="T442" s="283"/>
      <c r="U442" s="283"/>
      <c r="V442" s="283"/>
      <c r="W442" s="283"/>
      <c r="X442" s="283"/>
      <c r="Y442" s="283"/>
      <c r="Z442" s="283"/>
    </row>
    <row r="443" ht="14.25" customHeight="1">
      <c r="A443" s="283"/>
      <c r="B443" s="283"/>
      <c r="C443" s="283"/>
      <c r="D443" s="283"/>
      <c r="E443" s="283"/>
      <c r="F443" s="283"/>
      <c r="G443" s="283"/>
      <c r="H443" s="283"/>
      <c r="I443" s="283"/>
      <c r="J443" s="283"/>
      <c r="K443" s="283"/>
      <c r="L443" s="283"/>
      <c r="M443" s="283"/>
      <c r="N443" s="283"/>
      <c r="O443" s="283"/>
      <c r="P443" s="283"/>
      <c r="Q443" s="283"/>
      <c r="R443" s="283"/>
      <c r="S443" s="283"/>
      <c r="T443" s="283"/>
      <c r="U443" s="283"/>
      <c r="V443" s="283"/>
      <c r="W443" s="283"/>
      <c r="X443" s="283"/>
      <c r="Y443" s="283"/>
      <c r="Z443" s="283"/>
    </row>
    <row r="444" ht="14.25" customHeight="1">
      <c r="A444" s="283"/>
      <c r="B444" s="283"/>
      <c r="C444" s="283"/>
      <c r="D444" s="283"/>
      <c r="E444" s="283"/>
      <c r="F444" s="283"/>
      <c r="G444" s="283"/>
      <c r="H444" s="283"/>
      <c r="I444" s="283"/>
      <c r="J444" s="283"/>
      <c r="K444" s="283"/>
      <c r="L444" s="283"/>
      <c r="M444" s="283"/>
      <c r="N444" s="283"/>
      <c r="O444" s="283"/>
      <c r="P444" s="283"/>
      <c r="Q444" s="283"/>
      <c r="R444" s="283"/>
      <c r="S444" s="283"/>
      <c r="T444" s="283"/>
      <c r="U444" s="283"/>
      <c r="V444" s="283"/>
      <c r="W444" s="283"/>
      <c r="X444" s="283"/>
      <c r="Y444" s="283"/>
      <c r="Z444" s="283"/>
    </row>
    <row r="445" ht="14.25" customHeight="1">
      <c r="A445" s="283"/>
      <c r="B445" s="283"/>
      <c r="C445" s="283"/>
      <c r="D445" s="283"/>
      <c r="E445" s="283"/>
      <c r="F445" s="283"/>
      <c r="G445" s="283"/>
      <c r="H445" s="283"/>
      <c r="I445" s="283"/>
      <c r="J445" s="283"/>
      <c r="K445" s="283"/>
      <c r="L445" s="283"/>
      <c r="M445" s="283"/>
      <c r="N445" s="283"/>
      <c r="O445" s="283"/>
      <c r="P445" s="283"/>
      <c r="Q445" s="283"/>
      <c r="R445" s="283"/>
      <c r="S445" s="283"/>
      <c r="T445" s="283"/>
      <c r="U445" s="283"/>
      <c r="V445" s="283"/>
      <c r="W445" s="283"/>
      <c r="X445" s="283"/>
      <c r="Y445" s="283"/>
      <c r="Z445" s="283"/>
    </row>
    <row r="446" ht="14.25" customHeight="1">
      <c r="A446" s="283"/>
      <c r="B446" s="283"/>
      <c r="C446" s="283"/>
      <c r="D446" s="283"/>
      <c r="E446" s="283"/>
      <c r="F446" s="283"/>
      <c r="G446" s="283"/>
      <c r="H446" s="283"/>
      <c r="I446" s="283"/>
      <c r="J446" s="283"/>
      <c r="K446" s="283"/>
      <c r="L446" s="283"/>
      <c r="M446" s="283"/>
      <c r="N446" s="283"/>
      <c r="O446" s="283"/>
      <c r="P446" s="283"/>
      <c r="Q446" s="283"/>
      <c r="R446" s="283"/>
      <c r="S446" s="283"/>
      <c r="T446" s="283"/>
      <c r="U446" s="283"/>
      <c r="V446" s="283"/>
      <c r="W446" s="283"/>
      <c r="X446" s="283"/>
      <c r="Y446" s="283"/>
      <c r="Z446" s="283"/>
    </row>
    <row r="447" ht="14.25" customHeight="1">
      <c r="A447" s="283"/>
      <c r="B447" s="283"/>
      <c r="C447" s="283"/>
      <c r="D447" s="283"/>
      <c r="E447" s="283"/>
      <c r="F447" s="283"/>
      <c r="G447" s="283"/>
      <c r="H447" s="283"/>
      <c r="I447" s="283"/>
      <c r="J447" s="283"/>
      <c r="K447" s="283"/>
      <c r="L447" s="283"/>
      <c r="M447" s="283"/>
      <c r="N447" s="283"/>
      <c r="O447" s="283"/>
      <c r="P447" s="283"/>
      <c r="Q447" s="283"/>
      <c r="R447" s="283"/>
      <c r="S447" s="283"/>
      <c r="T447" s="283"/>
      <c r="U447" s="283"/>
      <c r="V447" s="283"/>
      <c r="W447" s="283"/>
      <c r="X447" s="283"/>
      <c r="Y447" s="283"/>
      <c r="Z447" s="283"/>
    </row>
    <row r="448" ht="14.25" customHeight="1">
      <c r="A448" s="283"/>
      <c r="B448" s="283"/>
      <c r="C448" s="283"/>
      <c r="D448" s="283"/>
      <c r="E448" s="283"/>
      <c r="F448" s="283"/>
      <c r="G448" s="283"/>
      <c r="H448" s="283"/>
      <c r="I448" s="283"/>
      <c r="J448" s="283"/>
      <c r="K448" s="283"/>
      <c r="L448" s="283"/>
      <c r="M448" s="283"/>
      <c r="N448" s="283"/>
      <c r="O448" s="283"/>
      <c r="P448" s="283"/>
      <c r="Q448" s="283"/>
      <c r="R448" s="283"/>
      <c r="S448" s="283"/>
      <c r="T448" s="283"/>
      <c r="U448" s="283"/>
      <c r="V448" s="283"/>
      <c r="W448" s="283"/>
      <c r="X448" s="283"/>
      <c r="Y448" s="283"/>
      <c r="Z448" s="283"/>
    </row>
    <row r="449" ht="14.25" customHeight="1">
      <c r="A449" s="283"/>
      <c r="B449" s="283"/>
      <c r="C449" s="283"/>
      <c r="D449" s="283"/>
      <c r="E449" s="283"/>
      <c r="F449" s="283"/>
      <c r="G449" s="283"/>
      <c r="H449" s="283"/>
      <c r="I449" s="283"/>
      <c r="J449" s="283"/>
      <c r="K449" s="283"/>
      <c r="L449" s="283"/>
      <c r="M449" s="283"/>
      <c r="N449" s="283"/>
      <c r="O449" s="283"/>
      <c r="P449" s="283"/>
      <c r="Q449" s="283"/>
      <c r="R449" s="283"/>
      <c r="S449" s="283"/>
      <c r="T449" s="283"/>
      <c r="U449" s="283"/>
      <c r="V449" s="283"/>
      <c r="W449" s="283"/>
      <c r="X449" s="283"/>
      <c r="Y449" s="283"/>
      <c r="Z449" s="283"/>
    </row>
    <row r="450" ht="14.25" customHeight="1">
      <c r="A450" s="283"/>
      <c r="B450" s="283"/>
      <c r="C450" s="283"/>
      <c r="D450" s="283"/>
      <c r="E450" s="283"/>
      <c r="F450" s="283"/>
      <c r="G450" s="283"/>
      <c r="H450" s="283"/>
      <c r="I450" s="283"/>
      <c r="J450" s="283"/>
      <c r="K450" s="283"/>
      <c r="L450" s="283"/>
      <c r="M450" s="283"/>
      <c r="N450" s="283"/>
      <c r="O450" s="283"/>
      <c r="P450" s="283"/>
      <c r="Q450" s="283"/>
      <c r="R450" s="283"/>
      <c r="S450" s="283"/>
      <c r="T450" s="283"/>
      <c r="U450" s="283"/>
      <c r="V450" s="283"/>
      <c r="W450" s="283"/>
      <c r="X450" s="283"/>
      <c r="Y450" s="283"/>
      <c r="Z450" s="283"/>
    </row>
    <row r="451" ht="14.25" customHeight="1">
      <c r="A451" s="283"/>
      <c r="B451" s="283"/>
      <c r="C451" s="283"/>
      <c r="D451" s="283"/>
      <c r="E451" s="283"/>
      <c r="F451" s="283"/>
      <c r="G451" s="283"/>
      <c r="H451" s="283"/>
      <c r="I451" s="283"/>
      <c r="J451" s="283"/>
      <c r="K451" s="283"/>
      <c r="L451" s="283"/>
      <c r="M451" s="283"/>
      <c r="N451" s="283"/>
      <c r="O451" s="283"/>
      <c r="P451" s="283"/>
      <c r="Q451" s="283"/>
      <c r="R451" s="283"/>
      <c r="S451" s="283"/>
      <c r="T451" s="283"/>
      <c r="U451" s="283"/>
      <c r="V451" s="283"/>
      <c r="W451" s="283"/>
      <c r="X451" s="283"/>
      <c r="Y451" s="283"/>
      <c r="Z451" s="283"/>
    </row>
    <row r="452" ht="14.25" customHeight="1">
      <c r="A452" s="283"/>
      <c r="B452" s="283"/>
      <c r="C452" s="283"/>
      <c r="D452" s="283"/>
      <c r="E452" s="283"/>
      <c r="F452" s="283"/>
      <c r="G452" s="283"/>
      <c r="H452" s="283"/>
      <c r="I452" s="283"/>
      <c r="J452" s="283"/>
      <c r="K452" s="283"/>
      <c r="L452" s="283"/>
      <c r="M452" s="283"/>
      <c r="N452" s="283"/>
      <c r="O452" s="283"/>
      <c r="P452" s="283"/>
      <c r="Q452" s="283"/>
      <c r="R452" s="283"/>
      <c r="S452" s="283"/>
      <c r="T452" s="283"/>
      <c r="U452" s="283"/>
      <c r="V452" s="283"/>
      <c r="W452" s="283"/>
      <c r="X452" s="283"/>
      <c r="Y452" s="283"/>
      <c r="Z452" s="283"/>
    </row>
    <row r="453" ht="14.25" customHeight="1">
      <c r="A453" s="283"/>
      <c r="B453" s="283"/>
      <c r="C453" s="283"/>
      <c r="D453" s="283"/>
      <c r="E453" s="283"/>
      <c r="F453" s="283"/>
      <c r="G453" s="283"/>
      <c r="H453" s="283"/>
      <c r="I453" s="283"/>
      <c r="J453" s="283"/>
      <c r="K453" s="283"/>
      <c r="L453" s="283"/>
      <c r="M453" s="283"/>
      <c r="N453" s="283"/>
      <c r="O453" s="283"/>
      <c r="P453" s="283"/>
      <c r="Q453" s="283"/>
      <c r="R453" s="283"/>
      <c r="S453" s="283"/>
      <c r="T453" s="283"/>
      <c r="U453" s="283"/>
      <c r="V453" s="283"/>
      <c r="W453" s="283"/>
      <c r="X453" s="283"/>
      <c r="Y453" s="283"/>
      <c r="Z453" s="283"/>
    </row>
    <row r="454" ht="14.25" customHeight="1">
      <c r="A454" s="283"/>
      <c r="B454" s="283"/>
      <c r="C454" s="283"/>
      <c r="D454" s="283"/>
      <c r="E454" s="283"/>
      <c r="F454" s="283"/>
      <c r="G454" s="283"/>
      <c r="H454" s="283"/>
      <c r="I454" s="283"/>
      <c r="J454" s="283"/>
      <c r="K454" s="283"/>
      <c r="L454" s="283"/>
      <c r="M454" s="283"/>
      <c r="N454" s="283"/>
      <c r="O454" s="283"/>
      <c r="P454" s="283"/>
      <c r="Q454" s="283"/>
      <c r="R454" s="283"/>
      <c r="S454" s="283"/>
      <c r="T454" s="283"/>
      <c r="U454" s="283"/>
      <c r="V454" s="283"/>
      <c r="W454" s="283"/>
      <c r="X454" s="283"/>
      <c r="Y454" s="283"/>
      <c r="Z454" s="283"/>
    </row>
    <row r="455" ht="14.25" customHeight="1">
      <c r="A455" s="283"/>
      <c r="B455" s="283"/>
      <c r="C455" s="283"/>
      <c r="D455" s="283"/>
      <c r="E455" s="283"/>
      <c r="F455" s="283"/>
      <c r="G455" s="283"/>
      <c r="H455" s="283"/>
      <c r="I455" s="283"/>
      <c r="J455" s="283"/>
      <c r="K455" s="283"/>
      <c r="L455" s="283"/>
      <c r="M455" s="283"/>
      <c r="N455" s="283"/>
      <c r="O455" s="283"/>
      <c r="P455" s="283"/>
      <c r="Q455" s="283"/>
      <c r="R455" s="283"/>
      <c r="S455" s="283"/>
      <c r="T455" s="283"/>
      <c r="U455" s="283"/>
      <c r="V455" s="283"/>
      <c r="W455" s="283"/>
      <c r="X455" s="283"/>
      <c r="Y455" s="283"/>
      <c r="Z455" s="283"/>
    </row>
    <row r="456" ht="14.25" customHeight="1">
      <c r="A456" s="283"/>
      <c r="B456" s="283"/>
      <c r="C456" s="283"/>
      <c r="D456" s="283"/>
      <c r="E456" s="283"/>
      <c r="F456" s="283"/>
      <c r="G456" s="283"/>
      <c r="H456" s="283"/>
      <c r="I456" s="283"/>
      <c r="J456" s="283"/>
      <c r="K456" s="283"/>
      <c r="L456" s="283"/>
      <c r="M456" s="283"/>
      <c r="N456" s="283"/>
      <c r="O456" s="283"/>
      <c r="P456" s="283"/>
      <c r="Q456" s="283"/>
      <c r="R456" s="283"/>
      <c r="S456" s="283"/>
      <c r="T456" s="283"/>
      <c r="U456" s="283"/>
      <c r="V456" s="283"/>
      <c r="W456" s="283"/>
      <c r="X456" s="283"/>
      <c r="Y456" s="283"/>
      <c r="Z456" s="283"/>
    </row>
    <row r="457" ht="14.25" customHeight="1">
      <c r="A457" s="283"/>
      <c r="B457" s="283"/>
      <c r="C457" s="283"/>
      <c r="D457" s="283"/>
      <c r="E457" s="283"/>
      <c r="F457" s="283"/>
      <c r="G457" s="283"/>
      <c r="H457" s="283"/>
      <c r="I457" s="283"/>
      <c r="J457" s="283"/>
      <c r="K457" s="283"/>
      <c r="L457" s="283"/>
      <c r="M457" s="283"/>
      <c r="N457" s="283"/>
      <c r="O457" s="283"/>
      <c r="P457" s="283"/>
      <c r="Q457" s="283"/>
      <c r="R457" s="283"/>
      <c r="S457" s="283"/>
      <c r="T457" s="283"/>
      <c r="U457" s="283"/>
      <c r="V457" s="283"/>
      <c r="W457" s="283"/>
      <c r="X457" s="283"/>
      <c r="Y457" s="283"/>
      <c r="Z457" s="283"/>
    </row>
    <row r="458" ht="14.25" customHeight="1">
      <c r="A458" s="283"/>
      <c r="B458" s="283"/>
      <c r="C458" s="283"/>
      <c r="D458" s="283"/>
      <c r="E458" s="283"/>
      <c r="F458" s="283"/>
      <c r="G458" s="283"/>
      <c r="H458" s="283"/>
      <c r="I458" s="283"/>
      <c r="J458" s="283"/>
      <c r="K458" s="283"/>
      <c r="L458" s="283"/>
      <c r="M458" s="283"/>
      <c r="N458" s="283"/>
      <c r="O458" s="283"/>
      <c r="P458" s="283"/>
      <c r="Q458" s="283"/>
      <c r="R458" s="283"/>
      <c r="S458" s="283"/>
      <c r="T458" s="283"/>
      <c r="U458" s="283"/>
      <c r="V458" s="283"/>
      <c r="W458" s="283"/>
      <c r="X458" s="283"/>
      <c r="Y458" s="283"/>
      <c r="Z458" s="283"/>
    </row>
    <row r="459" ht="14.25" customHeight="1">
      <c r="A459" s="283"/>
      <c r="B459" s="283"/>
      <c r="C459" s="283"/>
      <c r="D459" s="283"/>
      <c r="E459" s="283"/>
      <c r="F459" s="283"/>
      <c r="G459" s="283"/>
      <c r="H459" s="283"/>
      <c r="I459" s="283"/>
      <c r="J459" s="283"/>
      <c r="K459" s="283"/>
      <c r="L459" s="283"/>
      <c r="M459" s="283"/>
      <c r="N459" s="283"/>
      <c r="O459" s="283"/>
      <c r="P459" s="283"/>
      <c r="Q459" s="283"/>
      <c r="R459" s="283"/>
      <c r="S459" s="283"/>
      <c r="T459" s="283"/>
      <c r="U459" s="283"/>
      <c r="V459" s="283"/>
      <c r="W459" s="283"/>
      <c r="X459" s="283"/>
      <c r="Y459" s="283"/>
      <c r="Z459" s="283"/>
    </row>
    <row r="460" ht="14.25" customHeight="1">
      <c r="A460" s="283"/>
      <c r="B460" s="283"/>
      <c r="C460" s="283"/>
      <c r="D460" s="283"/>
      <c r="E460" s="283"/>
      <c r="F460" s="283"/>
      <c r="G460" s="283"/>
      <c r="H460" s="283"/>
      <c r="I460" s="283"/>
      <c r="J460" s="283"/>
      <c r="K460" s="283"/>
      <c r="L460" s="283"/>
      <c r="M460" s="283"/>
      <c r="N460" s="283"/>
      <c r="O460" s="283"/>
      <c r="P460" s="283"/>
      <c r="Q460" s="283"/>
      <c r="R460" s="283"/>
      <c r="S460" s="283"/>
      <c r="T460" s="283"/>
      <c r="U460" s="283"/>
      <c r="V460" s="283"/>
      <c r="W460" s="283"/>
      <c r="X460" s="283"/>
      <c r="Y460" s="283"/>
      <c r="Z460" s="283"/>
    </row>
    <row r="461" ht="14.25" customHeight="1">
      <c r="A461" s="283"/>
      <c r="B461" s="283"/>
      <c r="C461" s="283"/>
      <c r="D461" s="283"/>
      <c r="E461" s="283"/>
      <c r="F461" s="283"/>
      <c r="G461" s="283"/>
      <c r="H461" s="283"/>
      <c r="I461" s="283"/>
      <c r="J461" s="283"/>
      <c r="K461" s="283"/>
      <c r="L461" s="283"/>
      <c r="M461" s="283"/>
      <c r="N461" s="283"/>
      <c r="O461" s="283"/>
      <c r="P461" s="283"/>
      <c r="Q461" s="283"/>
      <c r="R461" s="283"/>
      <c r="S461" s="283"/>
      <c r="T461" s="283"/>
      <c r="U461" s="283"/>
      <c r="V461" s="283"/>
      <c r="W461" s="283"/>
      <c r="X461" s="283"/>
      <c r="Y461" s="283"/>
      <c r="Z461" s="283"/>
    </row>
    <row r="462" ht="14.25" customHeight="1">
      <c r="A462" s="283"/>
      <c r="B462" s="283"/>
      <c r="C462" s="283"/>
      <c r="D462" s="283"/>
      <c r="E462" s="283"/>
      <c r="F462" s="283"/>
      <c r="G462" s="283"/>
      <c r="H462" s="283"/>
      <c r="I462" s="283"/>
      <c r="J462" s="283"/>
      <c r="K462" s="283"/>
      <c r="L462" s="283"/>
      <c r="M462" s="283"/>
      <c r="N462" s="283"/>
      <c r="O462" s="283"/>
      <c r="P462" s="283"/>
      <c r="Q462" s="283"/>
      <c r="R462" s="283"/>
      <c r="S462" s="283"/>
      <c r="T462" s="283"/>
      <c r="U462" s="283"/>
      <c r="V462" s="283"/>
      <c r="W462" s="283"/>
      <c r="X462" s="283"/>
      <c r="Y462" s="283"/>
      <c r="Z462" s="283"/>
    </row>
    <row r="463" ht="14.25" customHeight="1">
      <c r="A463" s="283"/>
      <c r="B463" s="283"/>
      <c r="C463" s="283"/>
      <c r="D463" s="283"/>
      <c r="E463" s="283"/>
      <c r="F463" s="283"/>
      <c r="G463" s="283"/>
      <c r="H463" s="283"/>
      <c r="I463" s="283"/>
      <c r="J463" s="283"/>
      <c r="K463" s="283"/>
      <c r="L463" s="283"/>
      <c r="M463" s="283"/>
      <c r="N463" s="283"/>
      <c r="O463" s="283"/>
      <c r="P463" s="283"/>
      <c r="Q463" s="283"/>
      <c r="R463" s="283"/>
      <c r="S463" s="283"/>
      <c r="T463" s="283"/>
      <c r="U463" s="283"/>
      <c r="V463" s="283"/>
      <c r="W463" s="283"/>
      <c r="X463" s="283"/>
      <c r="Y463" s="283"/>
      <c r="Z463" s="283"/>
    </row>
    <row r="464" ht="14.25" customHeight="1">
      <c r="A464" s="283"/>
      <c r="B464" s="283"/>
      <c r="C464" s="283"/>
      <c r="D464" s="283"/>
      <c r="E464" s="283"/>
      <c r="F464" s="283"/>
      <c r="G464" s="283"/>
      <c r="H464" s="283"/>
      <c r="I464" s="283"/>
      <c r="J464" s="283"/>
      <c r="K464" s="283"/>
      <c r="L464" s="283"/>
      <c r="M464" s="283"/>
      <c r="N464" s="283"/>
      <c r="O464" s="283"/>
      <c r="P464" s="283"/>
      <c r="Q464" s="283"/>
      <c r="R464" s="283"/>
      <c r="S464" s="283"/>
      <c r="T464" s="283"/>
      <c r="U464" s="283"/>
      <c r="V464" s="283"/>
      <c r="W464" s="283"/>
      <c r="X464" s="283"/>
      <c r="Y464" s="283"/>
      <c r="Z464" s="283"/>
    </row>
    <row r="465" ht="14.25" customHeight="1">
      <c r="A465" s="283"/>
      <c r="B465" s="283"/>
      <c r="C465" s="283"/>
      <c r="D465" s="283"/>
      <c r="E465" s="283"/>
      <c r="F465" s="283"/>
      <c r="G465" s="283"/>
      <c r="H465" s="283"/>
      <c r="I465" s="283"/>
      <c r="J465" s="283"/>
      <c r="K465" s="283"/>
      <c r="L465" s="283"/>
      <c r="M465" s="283"/>
      <c r="N465" s="283"/>
      <c r="O465" s="283"/>
      <c r="P465" s="283"/>
      <c r="Q465" s="283"/>
      <c r="R465" s="283"/>
      <c r="S465" s="283"/>
      <c r="T465" s="283"/>
      <c r="U465" s="283"/>
      <c r="V465" s="283"/>
      <c r="W465" s="283"/>
      <c r="X465" s="283"/>
      <c r="Y465" s="283"/>
      <c r="Z465" s="283"/>
    </row>
    <row r="466" ht="14.25" customHeight="1">
      <c r="A466" s="283"/>
      <c r="B466" s="283"/>
      <c r="C466" s="283"/>
      <c r="D466" s="283"/>
      <c r="E466" s="283"/>
      <c r="F466" s="283"/>
      <c r="G466" s="283"/>
      <c r="H466" s="283"/>
      <c r="I466" s="283"/>
      <c r="J466" s="283"/>
      <c r="K466" s="283"/>
      <c r="L466" s="283"/>
      <c r="M466" s="283"/>
      <c r="N466" s="283"/>
      <c r="O466" s="283"/>
      <c r="P466" s="283"/>
      <c r="Q466" s="283"/>
      <c r="R466" s="283"/>
      <c r="S466" s="283"/>
      <c r="T466" s="283"/>
      <c r="U466" s="283"/>
      <c r="V466" s="283"/>
      <c r="W466" s="283"/>
      <c r="X466" s="283"/>
      <c r="Y466" s="283"/>
      <c r="Z466" s="283"/>
    </row>
    <row r="467" ht="14.25" customHeight="1">
      <c r="A467" s="283"/>
      <c r="B467" s="283"/>
      <c r="C467" s="283"/>
      <c r="D467" s="283"/>
      <c r="E467" s="283"/>
      <c r="F467" s="283"/>
      <c r="G467" s="283"/>
      <c r="H467" s="283"/>
      <c r="I467" s="283"/>
      <c r="J467" s="283"/>
      <c r="K467" s="283"/>
      <c r="L467" s="283"/>
      <c r="M467" s="283"/>
      <c r="N467" s="283"/>
      <c r="O467" s="283"/>
      <c r="P467" s="283"/>
      <c r="Q467" s="283"/>
      <c r="R467" s="283"/>
      <c r="S467" s="283"/>
      <c r="T467" s="283"/>
      <c r="U467" s="283"/>
      <c r="V467" s="283"/>
      <c r="W467" s="283"/>
      <c r="X467" s="283"/>
      <c r="Y467" s="283"/>
      <c r="Z467" s="283"/>
    </row>
    <row r="468" ht="14.25" customHeight="1">
      <c r="A468" s="283"/>
      <c r="B468" s="283"/>
      <c r="C468" s="283"/>
      <c r="D468" s="283"/>
      <c r="E468" s="283"/>
      <c r="F468" s="283"/>
      <c r="G468" s="283"/>
      <c r="H468" s="283"/>
      <c r="I468" s="283"/>
      <c r="J468" s="283"/>
      <c r="K468" s="283"/>
      <c r="L468" s="283"/>
      <c r="M468" s="283"/>
      <c r="N468" s="283"/>
      <c r="O468" s="283"/>
      <c r="P468" s="283"/>
      <c r="Q468" s="283"/>
      <c r="R468" s="283"/>
      <c r="S468" s="283"/>
      <c r="T468" s="283"/>
      <c r="U468" s="283"/>
      <c r="V468" s="283"/>
      <c r="W468" s="283"/>
      <c r="X468" s="283"/>
      <c r="Y468" s="283"/>
      <c r="Z468" s="283"/>
    </row>
    <row r="469" ht="14.25" customHeight="1">
      <c r="A469" s="283"/>
      <c r="B469" s="283"/>
      <c r="C469" s="283"/>
      <c r="D469" s="283"/>
      <c r="E469" s="283"/>
      <c r="F469" s="283"/>
      <c r="G469" s="283"/>
      <c r="H469" s="283"/>
      <c r="I469" s="283"/>
      <c r="J469" s="283"/>
      <c r="K469" s="283"/>
      <c r="L469" s="283"/>
      <c r="M469" s="283"/>
      <c r="N469" s="283"/>
      <c r="O469" s="283"/>
      <c r="P469" s="283"/>
      <c r="Q469" s="283"/>
      <c r="R469" s="283"/>
      <c r="S469" s="283"/>
      <c r="T469" s="283"/>
      <c r="U469" s="283"/>
      <c r="V469" s="283"/>
      <c r="W469" s="283"/>
      <c r="X469" s="283"/>
      <c r="Y469" s="283"/>
      <c r="Z469" s="283"/>
    </row>
    <row r="470" ht="14.25" customHeight="1">
      <c r="A470" s="283"/>
      <c r="B470" s="283"/>
      <c r="C470" s="283"/>
      <c r="D470" s="283"/>
      <c r="E470" s="283"/>
      <c r="F470" s="283"/>
      <c r="G470" s="283"/>
      <c r="H470" s="283"/>
      <c r="I470" s="283"/>
      <c r="J470" s="283"/>
      <c r="K470" s="283"/>
      <c r="L470" s="283"/>
      <c r="M470" s="283"/>
      <c r="N470" s="283"/>
      <c r="O470" s="283"/>
      <c r="P470" s="283"/>
      <c r="Q470" s="283"/>
      <c r="R470" s="283"/>
      <c r="S470" s="283"/>
      <c r="T470" s="283"/>
      <c r="U470" s="283"/>
      <c r="V470" s="283"/>
      <c r="W470" s="283"/>
      <c r="X470" s="283"/>
      <c r="Y470" s="283"/>
      <c r="Z470" s="283"/>
    </row>
    <row r="471" ht="14.25" customHeight="1">
      <c r="A471" s="283"/>
      <c r="B471" s="283"/>
      <c r="C471" s="283"/>
      <c r="D471" s="283"/>
      <c r="E471" s="283"/>
      <c r="F471" s="283"/>
      <c r="G471" s="283"/>
      <c r="H471" s="283"/>
      <c r="I471" s="283"/>
      <c r="J471" s="283"/>
      <c r="K471" s="283"/>
      <c r="L471" s="283"/>
      <c r="M471" s="283"/>
      <c r="N471" s="283"/>
      <c r="O471" s="283"/>
      <c r="P471" s="283"/>
      <c r="Q471" s="283"/>
      <c r="R471" s="283"/>
      <c r="S471" s="283"/>
      <c r="T471" s="283"/>
      <c r="U471" s="283"/>
      <c r="V471" s="283"/>
      <c r="W471" s="283"/>
      <c r="X471" s="283"/>
      <c r="Y471" s="283"/>
      <c r="Z471" s="283"/>
    </row>
    <row r="472" ht="14.25" customHeight="1">
      <c r="A472" s="283"/>
      <c r="B472" s="283"/>
      <c r="C472" s="283"/>
      <c r="D472" s="283"/>
      <c r="E472" s="283"/>
      <c r="F472" s="283"/>
      <c r="G472" s="283"/>
      <c r="H472" s="283"/>
      <c r="I472" s="283"/>
      <c r="J472" s="283"/>
      <c r="K472" s="283"/>
      <c r="L472" s="283"/>
      <c r="M472" s="283"/>
      <c r="N472" s="283"/>
      <c r="O472" s="283"/>
      <c r="P472" s="283"/>
      <c r="Q472" s="283"/>
      <c r="R472" s="283"/>
      <c r="S472" s="283"/>
      <c r="T472" s="283"/>
      <c r="U472" s="283"/>
      <c r="V472" s="283"/>
      <c r="W472" s="283"/>
      <c r="X472" s="283"/>
      <c r="Y472" s="283"/>
      <c r="Z472" s="283"/>
    </row>
    <row r="473" ht="14.25" customHeight="1">
      <c r="A473" s="283"/>
      <c r="B473" s="283"/>
      <c r="C473" s="283"/>
      <c r="D473" s="283"/>
      <c r="E473" s="283"/>
      <c r="F473" s="283"/>
      <c r="G473" s="283"/>
      <c r="H473" s="283"/>
      <c r="I473" s="283"/>
      <c r="J473" s="283"/>
      <c r="K473" s="283"/>
      <c r="L473" s="283"/>
      <c r="M473" s="283"/>
      <c r="N473" s="283"/>
      <c r="O473" s="283"/>
      <c r="P473" s="283"/>
      <c r="Q473" s="283"/>
      <c r="R473" s="283"/>
      <c r="S473" s="283"/>
      <c r="T473" s="283"/>
      <c r="U473" s="283"/>
      <c r="V473" s="283"/>
      <c r="W473" s="283"/>
      <c r="X473" s="283"/>
      <c r="Y473" s="283"/>
      <c r="Z473" s="283"/>
    </row>
    <row r="474" ht="14.25" customHeight="1">
      <c r="A474" s="283"/>
      <c r="B474" s="283"/>
      <c r="C474" s="283"/>
      <c r="D474" s="283"/>
      <c r="E474" s="283"/>
      <c r="F474" s="283"/>
      <c r="G474" s="283"/>
      <c r="H474" s="283"/>
      <c r="I474" s="283"/>
      <c r="J474" s="283"/>
      <c r="K474" s="283"/>
      <c r="L474" s="283"/>
      <c r="M474" s="283"/>
      <c r="N474" s="283"/>
      <c r="O474" s="283"/>
      <c r="P474" s="283"/>
      <c r="Q474" s="283"/>
      <c r="R474" s="283"/>
      <c r="S474" s="283"/>
      <c r="T474" s="283"/>
      <c r="U474" s="283"/>
      <c r="V474" s="283"/>
      <c r="W474" s="283"/>
      <c r="X474" s="283"/>
      <c r="Y474" s="283"/>
      <c r="Z474" s="283"/>
    </row>
    <row r="475" ht="14.25" customHeight="1">
      <c r="A475" s="283"/>
      <c r="B475" s="283"/>
      <c r="C475" s="283"/>
      <c r="D475" s="283"/>
      <c r="E475" s="283"/>
      <c r="F475" s="283"/>
      <c r="G475" s="283"/>
      <c r="H475" s="283"/>
      <c r="I475" s="283"/>
      <c r="J475" s="283"/>
      <c r="K475" s="283"/>
      <c r="L475" s="283"/>
      <c r="M475" s="283"/>
      <c r="N475" s="283"/>
      <c r="O475" s="283"/>
      <c r="P475" s="283"/>
      <c r="Q475" s="283"/>
      <c r="R475" s="283"/>
      <c r="S475" s="283"/>
      <c r="T475" s="283"/>
      <c r="U475" s="283"/>
      <c r="V475" s="283"/>
      <c r="W475" s="283"/>
      <c r="X475" s="283"/>
      <c r="Y475" s="283"/>
      <c r="Z475" s="283"/>
    </row>
    <row r="476" ht="14.25" customHeight="1">
      <c r="A476" s="283"/>
      <c r="B476" s="283"/>
      <c r="C476" s="283"/>
      <c r="D476" s="283"/>
      <c r="E476" s="283"/>
      <c r="F476" s="283"/>
      <c r="G476" s="283"/>
      <c r="H476" s="283"/>
      <c r="I476" s="283"/>
      <c r="J476" s="283"/>
      <c r="K476" s="283"/>
      <c r="L476" s="283"/>
      <c r="M476" s="283"/>
      <c r="N476" s="283"/>
      <c r="O476" s="283"/>
      <c r="P476" s="283"/>
      <c r="Q476" s="283"/>
      <c r="R476" s="283"/>
      <c r="S476" s="283"/>
      <c r="T476" s="283"/>
      <c r="U476" s="283"/>
      <c r="V476" s="283"/>
      <c r="W476" s="283"/>
      <c r="X476" s="283"/>
      <c r="Y476" s="283"/>
      <c r="Z476" s="283"/>
    </row>
    <row r="477" ht="14.25" customHeight="1">
      <c r="A477" s="283"/>
      <c r="B477" s="283"/>
      <c r="C477" s="283"/>
      <c r="D477" s="283"/>
      <c r="E477" s="283"/>
      <c r="F477" s="283"/>
      <c r="G477" s="283"/>
      <c r="H477" s="283"/>
      <c r="I477" s="283"/>
      <c r="J477" s="283"/>
      <c r="K477" s="283"/>
      <c r="L477" s="283"/>
      <c r="M477" s="283"/>
      <c r="N477" s="283"/>
      <c r="O477" s="283"/>
      <c r="P477" s="283"/>
      <c r="Q477" s="283"/>
      <c r="R477" s="283"/>
      <c r="S477" s="283"/>
      <c r="T477" s="283"/>
      <c r="U477" s="283"/>
      <c r="V477" s="283"/>
      <c r="W477" s="283"/>
      <c r="X477" s="283"/>
      <c r="Y477" s="283"/>
      <c r="Z477" s="283"/>
    </row>
    <row r="478" ht="14.25" customHeight="1">
      <c r="A478" s="283"/>
      <c r="B478" s="283"/>
      <c r="C478" s="283"/>
      <c r="D478" s="283"/>
      <c r="E478" s="283"/>
      <c r="F478" s="283"/>
      <c r="G478" s="283"/>
      <c r="H478" s="283"/>
      <c r="I478" s="283"/>
      <c r="J478" s="283"/>
      <c r="K478" s="283"/>
      <c r="L478" s="283"/>
      <c r="M478" s="283"/>
      <c r="N478" s="283"/>
      <c r="O478" s="283"/>
      <c r="P478" s="283"/>
      <c r="Q478" s="283"/>
      <c r="R478" s="283"/>
      <c r="S478" s="283"/>
      <c r="T478" s="283"/>
      <c r="U478" s="283"/>
      <c r="V478" s="283"/>
      <c r="W478" s="283"/>
      <c r="X478" s="283"/>
      <c r="Y478" s="283"/>
      <c r="Z478" s="283"/>
    </row>
    <row r="479" ht="14.25" customHeight="1">
      <c r="A479" s="283"/>
      <c r="B479" s="283"/>
      <c r="C479" s="283"/>
      <c r="D479" s="283"/>
      <c r="E479" s="283"/>
      <c r="F479" s="283"/>
      <c r="G479" s="283"/>
      <c r="H479" s="283"/>
      <c r="I479" s="283"/>
      <c r="J479" s="283"/>
      <c r="K479" s="283"/>
      <c r="L479" s="283"/>
      <c r="M479" s="283"/>
      <c r="N479" s="283"/>
      <c r="O479" s="283"/>
      <c r="P479" s="283"/>
      <c r="Q479" s="283"/>
      <c r="R479" s="283"/>
      <c r="S479" s="283"/>
      <c r="T479" s="283"/>
      <c r="U479" s="283"/>
      <c r="V479" s="283"/>
      <c r="W479" s="283"/>
      <c r="X479" s="283"/>
      <c r="Y479" s="283"/>
      <c r="Z479" s="283"/>
    </row>
    <row r="480" ht="14.25" customHeight="1">
      <c r="A480" s="283"/>
      <c r="B480" s="283"/>
      <c r="C480" s="283"/>
      <c r="D480" s="283"/>
      <c r="E480" s="283"/>
      <c r="F480" s="283"/>
      <c r="G480" s="283"/>
      <c r="H480" s="283"/>
      <c r="I480" s="283"/>
      <c r="J480" s="283"/>
      <c r="K480" s="283"/>
      <c r="L480" s="283"/>
      <c r="M480" s="283"/>
      <c r="N480" s="283"/>
      <c r="O480" s="283"/>
      <c r="P480" s="283"/>
      <c r="Q480" s="283"/>
      <c r="R480" s="283"/>
      <c r="S480" s="283"/>
      <c r="T480" s="283"/>
      <c r="U480" s="283"/>
      <c r="V480" s="283"/>
      <c r="W480" s="283"/>
      <c r="X480" s="283"/>
      <c r="Y480" s="283"/>
      <c r="Z480" s="283"/>
    </row>
    <row r="481" ht="14.25" customHeight="1">
      <c r="A481" s="283"/>
      <c r="B481" s="283"/>
      <c r="C481" s="283"/>
      <c r="D481" s="283"/>
      <c r="E481" s="283"/>
      <c r="F481" s="283"/>
      <c r="G481" s="283"/>
      <c r="H481" s="283"/>
      <c r="I481" s="283"/>
      <c r="J481" s="283"/>
      <c r="K481" s="283"/>
      <c r="L481" s="283"/>
      <c r="M481" s="283"/>
      <c r="N481" s="283"/>
      <c r="O481" s="283"/>
      <c r="P481" s="283"/>
      <c r="Q481" s="283"/>
      <c r="R481" s="283"/>
      <c r="S481" s="283"/>
      <c r="T481" s="283"/>
      <c r="U481" s="283"/>
      <c r="V481" s="283"/>
      <c r="W481" s="283"/>
      <c r="X481" s="283"/>
      <c r="Y481" s="283"/>
      <c r="Z481" s="283"/>
    </row>
    <row r="482" ht="14.25" customHeight="1">
      <c r="A482" s="283"/>
      <c r="B482" s="283"/>
      <c r="C482" s="283"/>
      <c r="D482" s="283"/>
      <c r="E482" s="283"/>
      <c r="F482" s="283"/>
      <c r="G482" s="283"/>
      <c r="H482" s="283"/>
      <c r="I482" s="283"/>
      <c r="J482" s="283"/>
      <c r="K482" s="283"/>
      <c r="L482" s="283"/>
      <c r="M482" s="283"/>
      <c r="N482" s="283"/>
      <c r="O482" s="283"/>
      <c r="P482" s="283"/>
      <c r="Q482" s="283"/>
      <c r="R482" s="283"/>
      <c r="S482" s="283"/>
      <c r="T482" s="283"/>
      <c r="U482" s="283"/>
      <c r="V482" s="283"/>
      <c r="W482" s="283"/>
      <c r="X482" s="283"/>
      <c r="Y482" s="283"/>
      <c r="Z482" s="283"/>
    </row>
    <row r="483" ht="14.25" customHeight="1">
      <c r="A483" s="283"/>
      <c r="B483" s="283"/>
      <c r="C483" s="283"/>
      <c r="D483" s="283"/>
      <c r="E483" s="283"/>
      <c r="F483" s="283"/>
      <c r="G483" s="283"/>
      <c r="H483" s="283"/>
      <c r="I483" s="283"/>
      <c r="J483" s="283"/>
      <c r="K483" s="283"/>
      <c r="L483" s="283"/>
      <c r="M483" s="283"/>
      <c r="N483" s="283"/>
      <c r="O483" s="283"/>
      <c r="P483" s="283"/>
      <c r="Q483" s="283"/>
      <c r="R483" s="283"/>
      <c r="S483" s="283"/>
      <c r="T483" s="283"/>
      <c r="U483" s="283"/>
      <c r="V483" s="283"/>
      <c r="W483" s="283"/>
      <c r="X483" s="283"/>
      <c r="Y483" s="283"/>
      <c r="Z483" s="283"/>
    </row>
    <row r="484" ht="14.25" customHeight="1">
      <c r="A484" s="283"/>
      <c r="B484" s="283"/>
      <c r="C484" s="283"/>
      <c r="D484" s="283"/>
      <c r="E484" s="283"/>
      <c r="F484" s="283"/>
      <c r="G484" s="283"/>
      <c r="H484" s="283"/>
      <c r="I484" s="283"/>
      <c r="J484" s="283"/>
      <c r="K484" s="283"/>
      <c r="L484" s="283"/>
      <c r="M484" s="283"/>
      <c r="N484" s="283"/>
      <c r="O484" s="283"/>
      <c r="P484" s="283"/>
      <c r="Q484" s="283"/>
      <c r="R484" s="283"/>
      <c r="S484" s="283"/>
      <c r="T484" s="283"/>
      <c r="U484" s="283"/>
      <c r="V484" s="283"/>
      <c r="W484" s="283"/>
      <c r="X484" s="283"/>
      <c r="Y484" s="283"/>
      <c r="Z484" s="283"/>
    </row>
    <row r="485" ht="14.25" customHeight="1">
      <c r="A485" s="283"/>
      <c r="B485" s="283"/>
      <c r="C485" s="283"/>
      <c r="D485" s="283"/>
      <c r="E485" s="283"/>
      <c r="F485" s="283"/>
      <c r="G485" s="283"/>
      <c r="H485" s="283"/>
      <c r="I485" s="283"/>
      <c r="J485" s="283"/>
      <c r="K485" s="283"/>
      <c r="L485" s="283"/>
      <c r="M485" s="283"/>
      <c r="N485" s="283"/>
      <c r="O485" s="283"/>
      <c r="P485" s="283"/>
      <c r="Q485" s="283"/>
      <c r="R485" s="283"/>
      <c r="S485" s="283"/>
      <c r="T485" s="283"/>
      <c r="U485" s="283"/>
      <c r="V485" s="283"/>
      <c r="W485" s="283"/>
      <c r="X485" s="283"/>
      <c r="Y485" s="283"/>
      <c r="Z485" s="283"/>
    </row>
    <row r="486" ht="14.25" customHeight="1">
      <c r="A486" s="283"/>
      <c r="B486" s="283"/>
      <c r="C486" s="283"/>
      <c r="D486" s="283"/>
      <c r="E486" s="283"/>
      <c r="F486" s="283"/>
      <c r="G486" s="283"/>
      <c r="H486" s="283"/>
      <c r="I486" s="283"/>
      <c r="J486" s="283"/>
      <c r="K486" s="283"/>
      <c r="L486" s="283"/>
      <c r="M486" s="283"/>
      <c r="N486" s="283"/>
      <c r="O486" s="283"/>
      <c r="P486" s="283"/>
      <c r="Q486" s="283"/>
      <c r="R486" s="283"/>
      <c r="S486" s="283"/>
      <c r="T486" s="283"/>
      <c r="U486" s="283"/>
      <c r="V486" s="283"/>
      <c r="W486" s="283"/>
      <c r="X486" s="283"/>
      <c r="Y486" s="283"/>
      <c r="Z486" s="283"/>
    </row>
    <row r="487" ht="14.25" customHeight="1">
      <c r="A487" s="283"/>
      <c r="B487" s="283"/>
      <c r="C487" s="283"/>
      <c r="D487" s="283"/>
      <c r="E487" s="283"/>
      <c r="F487" s="283"/>
      <c r="G487" s="283"/>
      <c r="H487" s="283"/>
      <c r="I487" s="283"/>
      <c r="J487" s="283"/>
      <c r="K487" s="283"/>
      <c r="L487" s="283"/>
      <c r="M487" s="283"/>
      <c r="N487" s="283"/>
      <c r="O487" s="283"/>
      <c r="P487" s="283"/>
      <c r="Q487" s="283"/>
      <c r="R487" s="283"/>
      <c r="S487" s="283"/>
      <c r="T487" s="283"/>
      <c r="U487" s="283"/>
      <c r="V487" s="283"/>
      <c r="W487" s="283"/>
      <c r="X487" s="283"/>
      <c r="Y487" s="283"/>
      <c r="Z487" s="283"/>
    </row>
    <row r="488" ht="14.25" customHeight="1">
      <c r="A488" s="283"/>
      <c r="B488" s="283"/>
      <c r="C488" s="283"/>
      <c r="D488" s="283"/>
      <c r="E488" s="283"/>
      <c r="F488" s="283"/>
      <c r="G488" s="283"/>
      <c r="H488" s="283"/>
      <c r="I488" s="283"/>
      <c r="J488" s="283"/>
      <c r="K488" s="283"/>
      <c r="L488" s="283"/>
      <c r="M488" s="283"/>
      <c r="N488" s="283"/>
      <c r="O488" s="283"/>
      <c r="P488" s="283"/>
      <c r="Q488" s="283"/>
      <c r="R488" s="283"/>
      <c r="S488" s="283"/>
      <c r="T488" s="283"/>
      <c r="U488" s="283"/>
      <c r="V488" s="283"/>
      <c r="W488" s="283"/>
      <c r="X488" s="283"/>
      <c r="Y488" s="283"/>
      <c r="Z488" s="283"/>
    </row>
    <row r="489" ht="14.25" customHeight="1">
      <c r="A489" s="283"/>
      <c r="B489" s="283"/>
      <c r="C489" s="283"/>
      <c r="D489" s="283"/>
      <c r="E489" s="283"/>
      <c r="F489" s="283"/>
      <c r="G489" s="283"/>
      <c r="H489" s="283"/>
      <c r="I489" s="283"/>
      <c r="J489" s="283"/>
      <c r="K489" s="283"/>
      <c r="L489" s="283"/>
      <c r="M489" s="283"/>
      <c r="N489" s="283"/>
      <c r="O489" s="283"/>
      <c r="P489" s="283"/>
      <c r="Q489" s="283"/>
      <c r="R489" s="283"/>
      <c r="S489" s="283"/>
      <c r="T489" s="283"/>
      <c r="U489" s="283"/>
      <c r="V489" s="283"/>
      <c r="W489" s="283"/>
      <c r="X489" s="283"/>
      <c r="Y489" s="283"/>
      <c r="Z489" s="283"/>
    </row>
    <row r="490" ht="14.25" customHeight="1">
      <c r="A490" s="283"/>
      <c r="B490" s="283"/>
      <c r="C490" s="283"/>
      <c r="D490" s="283"/>
      <c r="E490" s="283"/>
      <c r="F490" s="283"/>
      <c r="G490" s="283"/>
      <c r="H490" s="283"/>
      <c r="I490" s="283"/>
      <c r="J490" s="283"/>
      <c r="K490" s="283"/>
      <c r="L490" s="283"/>
      <c r="M490" s="283"/>
      <c r="N490" s="283"/>
      <c r="O490" s="283"/>
      <c r="P490" s="283"/>
      <c r="Q490" s="283"/>
      <c r="R490" s="283"/>
      <c r="S490" s="283"/>
      <c r="T490" s="283"/>
      <c r="U490" s="283"/>
      <c r="V490" s="283"/>
      <c r="W490" s="283"/>
      <c r="X490" s="283"/>
      <c r="Y490" s="283"/>
      <c r="Z490" s="283"/>
    </row>
    <row r="491" ht="14.25" customHeight="1">
      <c r="A491" s="283"/>
      <c r="B491" s="283"/>
      <c r="C491" s="283"/>
      <c r="D491" s="283"/>
      <c r="E491" s="283"/>
      <c r="F491" s="283"/>
      <c r="G491" s="283"/>
      <c r="H491" s="283"/>
      <c r="I491" s="283"/>
      <c r="J491" s="283"/>
      <c r="K491" s="283"/>
      <c r="L491" s="283"/>
      <c r="M491" s="283"/>
      <c r="N491" s="283"/>
      <c r="O491" s="283"/>
      <c r="P491" s="283"/>
      <c r="Q491" s="283"/>
      <c r="R491" s="283"/>
      <c r="S491" s="283"/>
      <c r="T491" s="283"/>
      <c r="U491" s="283"/>
      <c r="V491" s="283"/>
      <c r="W491" s="283"/>
      <c r="X491" s="283"/>
      <c r="Y491" s="283"/>
      <c r="Z491" s="283"/>
    </row>
    <row r="492" ht="14.25" customHeight="1">
      <c r="A492" s="283"/>
      <c r="B492" s="283"/>
      <c r="C492" s="283"/>
      <c r="D492" s="283"/>
      <c r="E492" s="283"/>
      <c r="F492" s="283"/>
      <c r="G492" s="283"/>
      <c r="H492" s="283"/>
      <c r="I492" s="283"/>
      <c r="J492" s="283"/>
      <c r="K492" s="283"/>
      <c r="L492" s="283"/>
      <c r="M492" s="283"/>
      <c r="N492" s="283"/>
      <c r="O492" s="283"/>
      <c r="P492" s="283"/>
      <c r="Q492" s="283"/>
      <c r="R492" s="283"/>
      <c r="S492" s="283"/>
      <c r="T492" s="283"/>
      <c r="U492" s="283"/>
      <c r="V492" s="283"/>
      <c r="W492" s="283"/>
      <c r="X492" s="283"/>
      <c r="Y492" s="283"/>
      <c r="Z492" s="283"/>
    </row>
    <row r="493" ht="14.25" customHeight="1">
      <c r="A493" s="283"/>
      <c r="B493" s="283"/>
      <c r="C493" s="283"/>
      <c r="D493" s="283"/>
      <c r="E493" s="283"/>
      <c r="F493" s="283"/>
      <c r="G493" s="283"/>
      <c r="H493" s="283"/>
      <c r="I493" s="283"/>
      <c r="J493" s="283"/>
      <c r="K493" s="283"/>
      <c r="L493" s="283"/>
      <c r="M493" s="283"/>
      <c r="N493" s="283"/>
      <c r="O493" s="283"/>
      <c r="P493" s="283"/>
      <c r="Q493" s="283"/>
      <c r="R493" s="283"/>
      <c r="S493" s="283"/>
      <c r="T493" s="283"/>
      <c r="U493" s="283"/>
      <c r="V493" s="283"/>
      <c r="W493" s="283"/>
      <c r="X493" s="283"/>
      <c r="Y493" s="283"/>
      <c r="Z493" s="283"/>
    </row>
    <row r="494" ht="14.25" customHeight="1">
      <c r="A494" s="283"/>
      <c r="B494" s="283"/>
      <c r="C494" s="283"/>
      <c r="D494" s="283"/>
      <c r="E494" s="283"/>
      <c r="F494" s="283"/>
      <c r="G494" s="283"/>
      <c r="H494" s="283"/>
      <c r="I494" s="283"/>
      <c r="J494" s="283"/>
      <c r="K494" s="283"/>
      <c r="L494" s="283"/>
      <c r="M494" s="283"/>
      <c r="N494" s="283"/>
      <c r="O494" s="283"/>
      <c r="P494" s="283"/>
      <c r="Q494" s="283"/>
      <c r="R494" s="283"/>
      <c r="S494" s="283"/>
      <c r="T494" s="283"/>
      <c r="U494" s="283"/>
      <c r="V494" s="283"/>
      <c r="W494" s="283"/>
      <c r="X494" s="283"/>
      <c r="Y494" s="283"/>
      <c r="Z494" s="283"/>
    </row>
    <row r="495" ht="14.25" customHeight="1">
      <c r="A495" s="283"/>
      <c r="B495" s="283"/>
      <c r="C495" s="283"/>
      <c r="D495" s="283"/>
      <c r="E495" s="283"/>
      <c r="F495" s="283"/>
      <c r="G495" s="283"/>
      <c r="H495" s="283"/>
      <c r="I495" s="283"/>
      <c r="J495" s="283"/>
      <c r="K495" s="283"/>
      <c r="L495" s="283"/>
      <c r="M495" s="283"/>
      <c r="N495" s="283"/>
      <c r="O495" s="283"/>
      <c r="P495" s="283"/>
      <c r="Q495" s="283"/>
      <c r="R495" s="283"/>
      <c r="S495" s="283"/>
      <c r="T495" s="283"/>
      <c r="U495" s="283"/>
      <c r="V495" s="283"/>
      <c r="W495" s="283"/>
      <c r="X495" s="283"/>
      <c r="Y495" s="283"/>
      <c r="Z495" s="283"/>
    </row>
    <row r="496" ht="14.25" customHeight="1">
      <c r="A496" s="283"/>
      <c r="B496" s="283"/>
      <c r="C496" s="283"/>
      <c r="D496" s="283"/>
      <c r="E496" s="283"/>
      <c r="F496" s="283"/>
      <c r="G496" s="283"/>
      <c r="H496" s="283"/>
      <c r="I496" s="283"/>
      <c r="J496" s="283"/>
      <c r="K496" s="283"/>
      <c r="L496" s="283"/>
      <c r="M496" s="283"/>
      <c r="N496" s="283"/>
      <c r="O496" s="283"/>
      <c r="P496" s="283"/>
      <c r="Q496" s="283"/>
      <c r="R496" s="283"/>
      <c r="S496" s="283"/>
      <c r="T496" s="283"/>
      <c r="U496" s="283"/>
      <c r="V496" s="283"/>
      <c r="W496" s="283"/>
      <c r="X496" s="283"/>
      <c r="Y496" s="283"/>
      <c r="Z496" s="283"/>
    </row>
    <row r="497" ht="14.25" customHeight="1">
      <c r="A497" s="283"/>
      <c r="B497" s="283"/>
      <c r="C497" s="283"/>
      <c r="D497" s="283"/>
      <c r="E497" s="283"/>
      <c r="F497" s="283"/>
      <c r="G497" s="283"/>
      <c r="H497" s="283"/>
      <c r="I497" s="283"/>
      <c r="J497" s="283"/>
      <c r="K497" s="283"/>
      <c r="L497" s="283"/>
      <c r="M497" s="283"/>
      <c r="N497" s="283"/>
      <c r="O497" s="283"/>
      <c r="P497" s="283"/>
      <c r="Q497" s="283"/>
      <c r="R497" s="283"/>
      <c r="S497" s="283"/>
      <c r="T497" s="283"/>
      <c r="U497" s="283"/>
      <c r="V497" s="283"/>
      <c r="W497" s="283"/>
      <c r="X497" s="283"/>
      <c r="Y497" s="283"/>
      <c r="Z497" s="283"/>
    </row>
    <row r="498" ht="14.25" customHeight="1">
      <c r="A498" s="283"/>
      <c r="B498" s="283"/>
      <c r="C498" s="283"/>
      <c r="D498" s="283"/>
      <c r="E498" s="283"/>
      <c r="F498" s="283"/>
      <c r="G498" s="283"/>
      <c r="H498" s="283"/>
      <c r="I498" s="283"/>
      <c r="J498" s="283"/>
      <c r="K498" s="283"/>
      <c r="L498" s="283"/>
      <c r="M498" s="283"/>
      <c r="N498" s="283"/>
      <c r="O498" s="283"/>
      <c r="P498" s="283"/>
      <c r="Q498" s="283"/>
      <c r="R498" s="283"/>
      <c r="S498" s="283"/>
      <c r="T498" s="283"/>
      <c r="U498" s="283"/>
      <c r="V498" s="283"/>
      <c r="W498" s="283"/>
      <c r="X498" s="283"/>
      <c r="Y498" s="283"/>
      <c r="Z498" s="283"/>
    </row>
    <row r="499" ht="14.25" customHeight="1">
      <c r="A499" s="283"/>
      <c r="B499" s="283"/>
      <c r="C499" s="283"/>
      <c r="D499" s="283"/>
      <c r="E499" s="283"/>
      <c r="F499" s="283"/>
      <c r="G499" s="283"/>
      <c r="H499" s="283"/>
      <c r="I499" s="283"/>
      <c r="J499" s="283"/>
      <c r="K499" s="283"/>
      <c r="L499" s="283"/>
      <c r="M499" s="283"/>
      <c r="N499" s="283"/>
      <c r="O499" s="283"/>
      <c r="P499" s="283"/>
      <c r="Q499" s="283"/>
      <c r="R499" s="283"/>
      <c r="S499" s="283"/>
      <c r="T499" s="283"/>
      <c r="U499" s="283"/>
      <c r="V499" s="283"/>
      <c r="W499" s="283"/>
      <c r="X499" s="283"/>
      <c r="Y499" s="283"/>
      <c r="Z499" s="283"/>
    </row>
    <row r="500" ht="14.25" customHeight="1">
      <c r="A500" s="283"/>
      <c r="B500" s="283"/>
      <c r="C500" s="283"/>
      <c r="D500" s="283"/>
      <c r="E500" s="283"/>
      <c r="F500" s="283"/>
      <c r="G500" s="283"/>
      <c r="H500" s="283"/>
      <c r="I500" s="283"/>
      <c r="J500" s="283"/>
      <c r="K500" s="283"/>
      <c r="L500" s="283"/>
      <c r="M500" s="283"/>
      <c r="N500" s="283"/>
      <c r="O500" s="283"/>
      <c r="P500" s="283"/>
      <c r="Q500" s="283"/>
      <c r="R500" s="283"/>
      <c r="S500" s="283"/>
      <c r="T500" s="283"/>
      <c r="U500" s="283"/>
      <c r="V500" s="283"/>
      <c r="W500" s="283"/>
      <c r="X500" s="283"/>
      <c r="Y500" s="283"/>
      <c r="Z500" s="283"/>
    </row>
    <row r="501" ht="14.25" customHeight="1">
      <c r="A501" s="283"/>
      <c r="B501" s="283"/>
      <c r="C501" s="283"/>
      <c r="D501" s="283"/>
      <c r="E501" s="283"/>
      <c r="F501" s="283"/>
      <c r="G501" s="283"/>
      <c r="H501" s="283"/>
      <c r="I501" s="283"/>
      <c r="J501" s="283"/>
      <c r="K501" s="283"/>
      <c r="L501" s="283"/>
      <c r="M501" s="283"/>
      <c r="N501" s="283"/>
      <c r="O501" s="283"/>
      <c r="P501" s="283"/>
      <c r="Q501" s="283"/>
      <c r="R501" s="283"/>
      <c r="S501" s="283"/>
      <c r="T501" s="283"/>
      <c r="U501" s="283"/>
      <c r="V501" s="283"/>
      <c r="W501" s="283"/>
      <c r="X501" s="283"/>
      <c r="Y501" s="283"/>
      <c r="Z501" s="283"/>
    </row>
    <row r="502" ht="14.25" customHeight="1">
      <c r="A502" s="283"/>
      <c r="B502" s="283"/>
      <c r="C502" s="283"/>
      <c r="D502" s="283"/>
      <c r="E502" s="283"/>
      <c r="F502" s="283"/>
      <c r="G502" s="283"/>
      <c r="H502" s="283"/>
      <c r="I502" s="283"/>
      <c r="J502" s="283"/>
      <c r="K502" s="283"/>
      <c r="L502" s="283"/>
      <c r="M502" s="283"/>
      <c r="N502" s="283"/>
      <c r="O502" s="283"/>
      <c r="P502" s="283"/>
      <c r="Q502" s="283"/>
      <c r="R502" s="283"/>
      <c r="S502" s="283"/>
      <c r="T502" s="283"/>
      <c r="U502" s="283"/>
      <c r="V502" s="283"/>
      <c r="W502" s="283"/>
      <c r="X502" s="283"/>
      <c r="Y502" s="283"/>
      <c r="Z502" s="283"/>
    </row>
    <row r="503" ht="14.25" customHeight="1">
      <c r="A503" s="283"/>
      <c r="B503" s="283"/>
      <c r="C503" s="283"/>
      <c r="D503" s="283"/>
      <c r="E503" s="283"/>
      <c r="F503" s="283"/>
      <c r="G503" s="283"/>
      <c r="H503" s="283"/>
      <c r="I503" s="283"/>
      <c r="J503" s="283"/>
      <c r="K503" s="283"/>
      <c r="L503" s="283"/>
      <c r="M503" s="283"/>
      <c r="N503" s="283"/>
      <c r="O503" s="283"/>
      <c r="P503" s="283"/>
      <c r="Q503" s="283"/>
      <c r="R503" s="283"/>
      <c r="S503" s="283"/>
      <c r="T503" s="283"/>
      <c r="U503" s="283"/>
      <c r="V503" s="283"/>
      <c r="W503" s="283"/>
      <c r="X503" s="283"/>
      <c r="Y503" s="283"/>
      <c r="Z503" s="283"/>
    </row>
    <row r="504" ht="14.25" customHeight="1">
      <c r="A504" s="283"/>
      <c r="B504" s="283"/>
      <c r="C504" s="283"/>
      <c r="D504" s="283"/>
      <c r="E504" s="283"/>
      <c r="F504" s="283"/>
      <c r="G504" s="283"/>
      <c r="H504" s="283"/>
      <c r="I504" s="283"/>
      <c r="J504" s="283"/>
      <c r="K504" s="283"/>
      <c r="L504" s="283"/>
      <c r="M504" s="283"/>
      <c r="N504" s="283"/>
      <c r="O504" s="283"/>
      <c r="P504" s="283"/>
      <c r="Q504" s="283"/>
      <c r="R504" s="283"/>
      <c r="S504" s="283"/>
      <c r="T504" s="283"/>
      <c r="U504" s="283"/>
      <c r="V504" s="283"/>
      <c r="W504" s="283"/>
      <c r="X504" s="283"/>
      <c r="Y504" s="283"/>
      <c r="Z504" s="283"/>
    </row>
    <row r="505" ht="14.25" customHeight="1">
      <c r="A505" s="283"/>
      <c r="B505" s="283"/>
      <c r="C505" s="283"/>
      <c r="D505" s="283"/>
      <c r="E505" s="283"/>
      <c r="F505" s="283"/>
      <c r="G505" s="283"/>
      <c r="H505" s="283"/>
      <c r="I505" s="283"/>
      <c r="J505" s="283"/>
      <c r="K505" s="283"/>
      <c r="L505" s="283"/>
      <c r="M505" s="283"/>
      <c r="N505" s="283"/>
      <c r="O505" s="283"/>
      <c r="P505" s="283"/>
      <c r="Q505" s="283"/>
      <c r="R505" s="283"/>
      <c r="S505" s="283"/>
      <c r="T505" s="283"/>
      <c r="U505" s="283"/>
      <c r="V505" s="283"/>
      <c r="W505" s="283"/>
      <c r="X505" s="283"/>
      <c r="Y505" s="283"/>
      <c r="Z505" s="283"/>
    </row>
    <row r="506" ht="14.25" customHeight="1">
      <c r="A506" s="283"/>
      <c r="B506" s="283"/>
      <c r="C506" s="283"/>
      <c r="D506" s="283"/>
      <c r="E506" s="283"/>
      <c r="F506" s="283"/>
      <c r="G506" s="283"/>
      <c r="H506" s="283"/>
      <c r="I506" s="283"/>
      <c r="J506" s="283"/>
      <c r="K506" s="283"/>
      <c r="L506" s="283"/>
      <c r="M506" s="283"/>
      <c r="N506" s="283"/>
      <c r="O506" s="283"/>
      <c r="P506" s="283"/>
      <c r="Q506" s="283"/>
      <c r="R506" s="283"/>
      <c r="S506" s="283"/>
      <c r="T506" s="283"/>
      <c r="U506" s="283"/>
      <c r="V506" s="283"/>
      <c r="W506" s="283"/>
      <c r="X506" s="283"/>
      <c r="Y506" s="283"/>
      <c r="Z506" s="283"/>
    </row>
    <row r="507" ht="14.25" customHeight="1">
      <c r="A507" s="283"/>
      <c r="B507" s="283"/>
      <c r="C507" s="283"/>
      <c r="D507" s="283"/>
      <c r="E507" s="283"/>
      <c r="F507" s="283"/>
      <c r="G507" s="283"/>
      <c r="H507" s="283"/>
      <c r="I507" s="283"/>
      <c r="J507" s="283"/>
      <c r="K507" s="283"/>
      <c r="L507" s="283"/>
      <c r="M507" s="283"/>
      <c r="N507" s="283"/>
      <c r="O507" s="283"/>
      <c r="P507" s="283"/>
      <c r="Q507" s="283"/>
      <c r="R507" s="283"/>
      <c r="S507" s="283"/>
      <c r="T507" s="283"/>
      <c r="U507" s="283"/>
      <c r="V507" s="283"/>
      <c r="W507" s="283"/>
      <c r="X507" s="283"/>
      <c r="Y507" s="283"/>
      <c r="Z507" s="283"/>
    </row>
    <row r="508" ht="14.25" customHeight="1">
      <c r="A508" s="283"/>
      <c r="B508" s="283"/>
      <c r="C508" s="283"/>
      <c r="D508" s="283"/>
      <c r="E508" s="283"/>
      <c r="F508" s="283"/>
      <c r="G508" s="283"/>
      <c r="H508" s="283"/>
      <c r="I508" s="283"/>
      <c r="J508" s="283"/>
      <c r="K508" s="283"/>
      <c r="L508" s="283"/>
      <c r="M508" s="283"/>
      <c r="N508" s="283"/>
      <c r="O508" s="283"/>
      <c r="P508" s="283"/>
      <c r="Q508" s="283"/>
      <c r="R508" s="283"/>
      <c r="S508" s="283"/>
      <c r="T508" s="283"/>
      <c r="U508" s="283"/>
      <c r="V508" s="283"/>
      <c r="W508" s="283"/>
      <c r="X508" s="283"/>
      <c r="Y508" s="283"/>
      <c r="Z508" s="283"/>
    </row>
    <row r="509" ht="14.25" customHeight="1">
      <c r="A509" s="283"/>
      <c r="B509" s="283"/>
      <c r="C509" s="283"/>
      <c r="D509" s="283"/>
      <c r="E509" s="283"/>
      <c r="F509" s="283"/>
      <c r="G509" s="283"/>
      <c r="H509" s="283"/>
      <c r="I509" s="283"/>
      <c r="J509" s="283"/>
      <c r="K509" s="283"/>
      <c r="L509" s="283"/>
      <c r="M509" s="283"/>
      <c r="N509" s="283"/>
      <c r="O509" s="283"/>
      <c r="P509" s="283"/>
      <c r="Q509" s="283"/>
      <c r="R509" s="283"/>
      <c r="S509" s="283"/>
      <c r="T509" s="283"/>
      <c r="U509" s="283"/>
      <c r="V509" s="283"/>
      <c r="W509" s="283"/>
      <c r="X509" s="283"/>
      <c r="Y509" s="283"/>
      <c r="Z509" s="283"/>
    </row>
    <row r="510" ht="14.25" customHeight="1">
      <c r="A510" s="283"/>
      <c r="B510" s="283"/>
      <c r="C510" s="283"/>
      <c r="D510" s="283"/>
      <c r="E510" s="283"/>
      <c r="F510" s="283"/>
      <c r="G510" s="283"/>
      <c r="H510" s="283"/>
      <c r="I510" s="283"/>
      <c r="J510" s="283"/>
      <c r="K510" s="283"/>
      <c r="L510" s="283"/>
      <c r="M510" s="283"/>
      <c r="N510" s="283"/>
      <c r="O510" s="283"/>
      <c r="P510" s="283"/>
      <c r="Q510" s="283"/>
      <c r="R510" s="283"/>
      <c r="S510" s="283"/>
      <c r="T510" s="283"/>
      <c r="U510" s="283"/>
      <c r="V510" s="283"/>
      <c r="W510" s="283"/>
      <c r="X510" s="283"/>
      <c r="Y510" s="283"/>
      <c r="Z510" s="283"/>
    </row>
    <row r="511" ht="14.25" customHeight="1">
      <c r="A511" s="283"/>
      <c r="B511" s="283"/>
      <c r="C511" s="283"/>
      <c r="D511" s="283"/>
      <c r="E511" s="283"/>
      <c r="F511" s="283"/>
      <c r="G511" s="283"/>
      <c r="H511" s="283"/>
      <c r="I511" s="283"/>
      <c r="J511" s="283"/>
      <c r="K511" s="283"/>
      <c r="L511" s="283"/>
      <c r="M511" s="283"/>
      <c r="N511" s="283"/>
      <c r="O511" s="283"/>
      <c r="P511" s="283"/>
      <c r="Q511" s="283"/>
      <c r="R511" s="283"/>
      <c r="S511" s="283"/>
      <c r="T511" s="283"/>
      <c r="U511" s="283"/>
      <c r="V511" s="283"/>
      <c r="W511" s="283"/>
      <c r="X511" s="283"/>
      <c r="Y511" s="283"/>
      <c r="Z511" s="283"/>
    </row>
    <row r="512" ht="14.25" customHeight="1">
      <c r="A512" s="283"/>
      <c r="B512" s="283"/>
      <c r="C512" s="283"/>
      <c r="D512" s="283"/>
      <c r="E512" s="283"/>
      <c r="F512" s="283"/>
      <c r="G512" s="283"/>
      <c r="H512" s="283"/>
      <c r="I512" s="283"/>
      <c r="J512" s="283"/>
      <c r="K512" s="283"/>
      <c r="L512" s="283"/>
      <c r="M512" s="283"/>
      <c r="N512" s="283"/>
      <c r="O512" s="283"/>
      <c r="P512" s="283"/>
      <c r="Q512" s="283"/>
      <c r="R512" s="283"/>
      <c r="S512" s="283"/>
      <c r="T512" s="283"/>
      <c r="U512" s="283"/>
      <c r="V512" s="283"/>
      <c r="W512" s="283"/>
      <c r="X512" s="283"/>
      <c r="Y512" s="283"/>
      <c r="Z512" s="283"/>
    </row>
    <row r="513" ht="14.25" customHeight="1">
      <c r="A513" s="283"/>
      <c r="B513" s="283"/>
      <c r="C513" s="283"/>
      <c r="D513" s="283"/>
      <c r="E513" s="283"/>
      <c r="F513" s="283"/>
      <c r="G513" s="283"/>
      <c r="H513" s="283"/>
      <c r="I513" s="283"/>
      <c r="J513" s="283"/>
      <c r="K513" s="283"/>
      <c r="L513" s="283"/>
      <c r="M513" s="283"/>
      <c r="N513" s="283"/>
      <c r="O513" s="283"/>
      <c r="P513" s="283"/>
      <c r="Q513" s="283"/>
      <c r="R513" s="283"/>
      <c r="S513" s="283"/>
      <c r="T513" s="283"/>
      <c r="U513" s="283"/>
      <c r="V513" s="283"/>
      <c r="W513" s="283"/>
      <c r="X513" s="283"/>
      <c r="Y513" s="283"/>
      <c r="Z513" s="283"/>
    </row>
    <row r="514" ht="14.25" customHeight="1">
      <c r="A514" s="283"/>
      <c r="B514" s="283"/>
      <c r="C514" s="283"/>
      <c r="D514" s="283"/>
      <c r="E514" s="283"/>
      <c r="F514" s="283"/>
      <c r="G514" s="283"/>
      <c r="H514" s="283"/>
      <c r="I514" s="283"/>
      <c r="J514" s="283"/>
      <c r="K514" s="283"/>
      <c r="L514" s="283"/>
      <c r="M514" s="283"/>
      <c r="N514" s="283"/>
      <c r="O514" s="283"/>
      <c r="P514" s="283"/>
      <c r="Q514" s="283"/>
      <c r="R514" s="283"/>
      <c r="S514" s="283"/>
      <c r="T514" s="283"/>
      <c r="U514" s="283"/>
      <c r="V514" s="283"/>
      <c r="W514" s="283"/>
      <c r="X514" s="283"/>
      <c r="Y514" s="283"/>
      <c r="Z514" s="283"/>
    </row>
    <row r="515" ht="14.25" customHeight="1">
      <c r="A515" s="283"/>
      <c r="B515" s="283"/>
      <c r="C515" s="283"/>
      <c r="D515" s="283"/>
      <c r="E515" s="283"/>
      <c r="F515" s="283"/>
      <c r="G515" s="283"/>
      <c r="H515" s="283"/>
      <c r="I515" s="283"/>
      <c r="J515" s="283"/>
      <c r="K515" s="283"/>
      <c r="L515" s="283"/>
      <c r="M515" s="283"/>
      <c r="N515" s="283"/>
      <c r="O515" s="283"/>
      <c r="P515" s="283"/>
      <c r="Q515" s="283"/>
      <c r="R515" s="283"/>
      <c r="S515" s="283"/>
      <c r="T515" s="283"/>
      <c r="U515" s="283"/>
      <c r="V515" s="283"/>
      <c r="W515" s="283"/>
      <c r="X515" s="283"/>
      <c r="Y515" s="283"/>
      <c r="Z515" s="283"/>
    </row>
    <row r="516" ht="14.25" customHeight="1">
      <c r="A516" s="283"/>
      <c r="B516" s="283"/>
      <c r="C516" s="283"/>
      <c r="D516" s="283"/>
      <c r="E516" s="283"/>
      <c r="F516" s="283"/>
      <c r="G516" s="283"/>
      <c r="H516" s="283"/>
      <c r="I516" s="283"/>
      <c r="J516" s="283"/>
      <c r="K516" s="283"/>
      <c r="L516" s="283"/>
      <c r="M516" s="283"/>
      <c r="N516" s="283"/>
      <c r="O516" s="283"/>
      <c r="P516" s="283"/>
      <c r="Q516" s="283"/>
      <c r="R516" s="283"/>
      <c r="S516" s="283"/>
      <c r="T516" s="283"/>
      <c r="U516" s="283"/>
      <c r="V516" s="283"/>
      <c r="W516" s="283"/>
      <c r="X516" s="283"/>
      <c r="Y516" s="283"/>
      <c r="Z516" s="283"/>
    </row>
    <row r="517" ht="14.25" customHeight="1">
      <c r="A517" s="283"/>
      <c r="B517" s="283"/>
      <c r="C517" s="283"/>
      <c r="D517" s="283"/>
      <c r="E517" s="283"/>
      <c r="F517" s="283"/>
      <c r="G517" s="283"/>
      <c r="H517" s="283"/>
      <c r="I517" s="283"/>
      <c r="J517" s="283"/>
      <c r="K517" s="283"/>
      <c r="L517" s="283"/>
      <c r="M517" s="283"/>
      <c r="N517" s="283"/>
      <c r="O517" s="283"/>
      <c r="P517" s="283"/>
      <c r="Q517" s="283"/>
      <c r="R517" s="283"/>
      <c r="S517" s="283"/>
      <c r="T517" s="283"/>
      <c r="U517" s="283"/>
      <c r="V517" s="283"/>
      <c r="W517" s="283"/>
      <c r="X517" s="283"/>
      <c r="Y517" s="283"/>
      <c r="Z517" s="283"/>
    </row>
    <row r="518" ht="14.25" customHeight="1">
      <c r="A518" s="283"/>
      <c r="B518" s="283"/>
      <c r="C518" s="283"/>
      <c r="D518" s="283"/>
      <c r="E518" s="283"/>
      <c r="F518" s="283"/>
      <c r="G518" s="283"/>
      <c r="H518" s="283"/>
      <c r="I518" s="283"/>
      <c r="J518" s="283"/>
      <c r="K518" s="283"/>
      <c r="L518" s="283"/>
      <c r="M518" s="283"/>
      <c r="N518" s="283"/>
      <c r="O518" s="283"/>
      <c r="P518" s="283"/>
      <c r="Q518" s="283"/>
      <c r="R518" s="283"/>
      <c r="S518" s="283"/>
      <c r="T518" s="283"/>
      <c r="U518" s="283"/>
      <c r="V518" s="283"/>
      <c r="W518" s="283"/>
      <c r="X518" s="283"/>
      <c r="Y518" s="283"/>
      <c r="Z518" s="283"/>
    </row>
    <row r="519" ht="14.25" customHeight="1">
      <c r="A519" s="283"/>
      <c r="B519" s="283"/>
      <c r="C519" s="283"/>
      <c r="D519" s="283"/>
      <c r="E519" s="283"/>
      <c r="F519" s="283"/>
      <c r="G519" s="283"/>
      <c r="H519" s="283"/>
      <c r="I519" s="283"/>
      <c r="J519" s="283"/>
      <c r="K519" s="283"/>
      <c r="L519" s="283"/>
      <c r="M519" s="283"/>
      <c r="N519" s="283"/>
      <c r="O519" s="283"/>
      <c r="P519" s="283"/>
      <c r="Q519" s="283"/>
      <c r="R519" s="283"/>
      <c r="S519" s="283"/>
      <c r="T519" s="283"/>
      <c r="U519" s="283"/>
      <c r="V519" s="283"/>
      <c r="W519" s="283"/>
      <c r="X519" s="283"/>
      <c r="Y519" s="283"/>
      <c r="Z519" s="283"/>
    </row>
    <row r="520" ht="14.25" customHeight="1">
      <c r="A520" s="283"/>
      <c r="B520" s="283"/>
      <c r="C520" s="283"/>
      <c r="D520" s="283"/>
      <c r="E520" s="283"/>
      <c r="F520" s="283"/>
      <c r="G520" s="283"/>
      <c r="H520" s="283"/>
      <c r="I520" s="283"/>
      <c r="J520" s="283"/>
      <c r="K520" s="283"/>
      <c r="L520" s="283"/>
      <c r="M520" s="283"/>
      <c r="N520" s="283"/>
      <c r="O520" s="283"/>
      <c r="P520" s="283"/>
      <c r="Q520" s="283"/>
      <c r="R520" s="283"/>
      <c r="S520" s="283"/>
      <c r="T520" s="283"/>
      <c r="U520" s="283"/>
      <c r="V520" s="283"/>
      <c r="W520" s="283"/>
      <c r="X520" s="283"/>
      <c r="Y520" s="283"/>
      <c r="Z520" s="283"/>
    </row>
    <row r="521" ht="14.25" customHeight="1">
      <c r="A521" s="283"/>
      <c r="B521" s="283"/>
      <c r="C521" s="283"/>
      <c r="D521" s="283"/>
      <c r="E521" s="283"/>
      <c r="F521" s="283"/>
      <c r="G521" s="283"/>
      <c r="H521" s="283"/>
      <c r="I521" s="283"/>
      <c r="J521" s="283"/>
      <c r="K521" s="283"/>
      <c r="L521" s="283"/>
      <c r="M521" s="283"/>
      <c r="N521" s="283"/>
      <c r="O521" s="283"/>
      <c r="P521" s="283"/>
      <c r="Q521" s="283"/>
      <c r="R521" s="283"/>
      <c r="S521" s="283"/>
      <c r="T521" s="283"/>
      <c r="U521" s="283"/>
      <c r="V521" s="283"/>
      <c r="W521" s="283"/>
      <c r="X521" s="283"/>
      <c r="Y521" s="283"/>
      <c r="Z521" s="283"/>
    </row>
    <row r="522" ht="14.25" customHeight="1">
      <c r="A522" s="283"/>
      <c r="B522" s="283"/>
      <c r="C522" s="283"/>
      <c r="D522" s="283"/>
      <c r="E522" s="283"/>
      <c r="F522" s="283"/>
      <c r="G522" s="283"/>
      <c r="H522" s="283"/>
      <c r="I522" s="283"/>
      <c r="J522" s="283"/>
      <c r="K522" s="283"/>
      <c r="L522" s="283"/>
      <c r="M522" s="283"/>
      <c r="N522" s="283"/>
      <c r="O522" s="283"/>
      <c r="P522" s="283"/>
      <c r="Q522" s="283"/>
      <c r="R522" s="283"/>
      <c r="S522" s="283"/>
      <c r="T522" s="283"/>
      <c r="U522" s="283"/>
      <c r="V522" s="283"/>
      <c r="W522" s="283"/>
      <c r="X522" s="283"/>
      <c r="Y522" s="283"/>
      <c r="Z522" s="283"/>
    </row>
    <row r="523" ht="14.25" customHeight="1">
      <c r="A523" s="283"/>
      <c r="B523" s="283"/>
      <c r="C523" s="283"/>
      <c r="D523" s="283"/>
      <c r="E523" s="283"/>
      <c r="F523" s="283"/>
      <c r="G523" s="283"/>
      <c r="H523" s="283"/>
      <c r="I523" s="283"/>
      <c r="J523" s="283"/>
      <c r="K523" s="283"/>
      <c r="L523" s="283"/>
      <c r="M523" s="283"/>
      <c r="N523" s="283"/>
      <c r="O523" s="283"/>
      <c r="P523" s="283"/>
      <c r="Q523" s="283"/>
      <c r="R523" s="283"/>
      <c r="S523" s="283"/>
      <c r="T523" s="283"/>
      <c r="U523" s="283"/>
      <c r="V523" s="283"/>
      <c r="W523" s="283"/>
      <c r="X523" s="283"/>
      <c r="Y523" s="283"/>
      <c r="Z523" s="283"/>
    </row>
    <row r="524" ht="14.25" customHeight="1">
      <c r="A524" s="283"/>
      <c r="B524" s="283"/>
      <c r="C524" s="283"/>
      <c r="D524" s="283"/>
      <c r="E524" s="283"/>
      <c r="F524" s="283"/>
      <c r="G524" s="283"/>
      <c r="H524" s="283"/>
      <c r="I524" s="283"/>
      <c r="J524" s="283"/>
      <c r="K524" s="283"/>
      <c r="L524" s="283"/>
      <c r="M524" s="283"/>
      <c r="N524" s="283"/>
      <c r="O524" s="283"/>
      <c r="P524" s="283"/>
      <c r="Q524" s="283"/>
      <c r="R524" s="283"/>
      <c r="S524" s="283"/>
      <c r="T524" s="283"/>
      <c r="U524" s="283"/>
      <c r="V524" s="283"/>
      <c r="W524" s="283"/>
      <c r="X524" s="283"/>
      <c r="Y524" s="283"/>
      <c r="Z524" s="283"/>
    </row>
    <row r="525" ht="14.25" customHeight="1">
      <c r="A525" s="283"/>
      <c r="B525" s="283"/>
      <c r="C525" s="283"/>
      <c r="D525" s="283"/>
      <c r="E525" s="283"/>
      <c r="F525" s="283"/>
      <c r="G525" s="283"/>
      <c r="H525" s="283"/>
      <c r="I525" s="283"/>
      <c r="J525" s="283"/>
      <c r="K525" s="283"/>
      <c r="L525" s="283"/>
      <c r="M525" s="283"/>
      <c r="N525" s="283"/>
      <c r="O525" s="283"/>
      <c r="P525" s="283"/>
      <c r="Q525" s="283"/>
      <c r="R525" s="283"/>
      <c r="S525" s="283"/>
      <c r="T525" s="283"/>
      <c r="U525" s="283"/>
      <c r="V525" s="283"/>
      <c r="W525" s="283"/>
      <c r="X525" s="283"/>
      <c r="Y525" s="283"/>
      <c r="Z525" s="283"/>
    </row>
    <row r="526" ht="14.25" customHeight="1">
      <c r="A526" s="283"/>
      <c r="B526" s="283"/>
      <c r="C526" s="283"/>
      <c r="D526" s="283"/>
      <c r="E526" s="283"/>
      <c r="F526" s="283"/>
      <c r="G526" s="283"/>
      <c r="H526" s="283"/>
      <c r="I526" s="283"/>
      <c r="J526" s="283"/>
      <c r="K526" s="283"/>
      <c r="L526" s="283"/>
      <c r="M526" s="283"/>
      <c r="N526" s="283"/>
      <c r="O526" s="283"/>
      <c r="P526" s="283"/>
      <c r="Q526" s="283"/>
      <c r="R526" s="283"/>
      <c r="S526" s="283"/>
      <c r="T526" s="283"/>
      <c r="U526" s="283"/>
      <c r="V526" s="283"/>
      <c r="W526" s="283"/>
      <c r="X526" s="283"/>
      <c r="Y526" s="283"/>
      <c r="Z526" s="283"/>
    </row>
    <row r="527" ht="14.25" customHeight="1">
      <c r="A527" s="283"/>
      <c r="B527" s="283"/>
      <c r="C527" s="283"/>
      <c r="D527" s="283"/>
      <c r="E527" s="283"/>
      <c r="F527" s="283"/>
      <c r="G527" s="283"/>
      <c r="H527" s="283"/>
      <c r="I527" s="283"/>
      <c r="J527" s="283"/>
      <c r="K527" s="283"/>
      <c r="L527" s="283"/>
      <c r="M527" s="283"/>
      <c r="N527" s="283"/>
      <c r="O527" s="283"/>
      <c r="P527" s="283"/>
      <c r="Q527" s="283"/>
      <c r="R527" s="283"/>
      <c r="S527" s="283"/>
      <c r="T527" s="283"/>
      <c r="U527" s="283"/>
      <c r="V527" s="283"/>
      <c r="W527" s="283"/>
      <c r="X527" s="283"/>
      <c r="Y527" s="283"/>
      <c r="Z527" s="283"/>
    </row>
    <row r="528" ht="14.25" customHeight="1">
      <c r="A528" s="283"/>
      <c r="B528" s="283"/>
      <c r="C528" s="283"/>
      <c r="D528" s="283"/>
      <c r="E528" s="283"/>
      <c r="F528" s="283"/>
      <c r="G528" s="283"/>
      <c r="H528" s="283"/>
      <c r="I528" s="283"/>
      <c r="J528" s="283"/>
      <c r="K528" s="283"/>
      <c r="L528" s="283"/>
      <c r="M528" s="283"/>
      <c r="N528" s="283"/>
      <c r="O528" s="283"/>
      <c r="P528" s="283"/>
      <c r="Q528" s="283"/>
      <c r="R528" s="283"/>
      <c r="S528" s="283"/>
      <c r="T528" s="283"/>
      <c r="U528" s="283"/>
      <c r="V528" s="283"/>
      <c r="W528" s="283"/>
      <c r="X528" s="283"/>
      <c r="Y528" s="283"/>
      <c r="Z528" s="283"/>
    </row>
    <row r="529" ht="14.25" customHeight="1">
      <c r="A529" s="283"/>
      <c r="B529" s="283"/>
      <c r="C529" s="283"/>
      <c r="D529" s="283"/>
      <c r="E529" s="283"/>
      <c r="F529" s="283"/>
      <c r="G529" s="283"/>
      <c r="H529" s="283"/>
      <c r="I529" s="283"/>
      <c r="J529" s="283"/>
      <c r="K529" s="283"/>
      <c r="L529" s="283"/>
      <c r="M529" s="283"/>
      <c r="N529" s="283"/>
      <c r="O529" s="283"/>
      <c r="P529" s="283"/>
      <c r="Q529" s="283"/>
      <c r="R529" s="283"/>
      <c r="S529" s="283"/>
      <c r="T529" s="283"/>
      <c r="U529" s="283"/>
      <c r="V529" s="283"/>
      <c r="W529" s="283"/>
      <c r="X529" s="283"/>
      <c r="Y529" s="283"/>
      <c r="Z529" s="283"/>
    </row>
    <row r="530" ht="14.25" customHeight="1">
      <c r="A530" s="283"/>
      <c r="B530" s="283"/>
      <c r="C530" s="283"/>
      <c r="D530" s="283"/>
      <c r="E530" s="283"/>
      <c r="F530" s="283"/>
      <c r="G530" s="283"/>
      <c r="H530" s="283"/>
      <c r="I530" s="283"/>
      <c r="J530" s="283"/>
      <c r="K530" s="283"/>
      <c r="L530" s="283"/>
      <c r="M530" s="283"/>
      <c r="N530" s="283"/>
      <c r="O530" s="283"/>
      <c r="P530" s="283"/>
      <c r="Q530" s="283"/>
      <c r="R530" s="283"/>
      <c r="S530" s="283"/>
      <c r="T530" s="283"/>
      <c r="U530" s="283"/>
      <c r="V530" s="283"/>
      <c r="W530" s="283"/>
      <c r="X530" s="283"/>
      <c r="Y530" s="283"/>
      <c r="Z530" s="283"/>
    </row>
    <row r="531" ht="14.25" customHeight="1">
      <c r="A531" s="283"/>
      <c r="B531" s="283"/>
      <c r="C531" s="283"/>
      <c r="D531" s="283"/>
      <c r="E531" s="283"/>
      <c r="F531" s="283"/>
      <c r="G531" s="283"/>
      <c r="H531" s="283"/>
      <c r="I531" s="283"/>
      <c r="J531" s="283"/>
      <c r="K531" s="283"/>
      <c r="L531" s="283"/>
      <c r="M531" s="283"/>
      <c r="N531" s="283"/>
      <c r="O531" s="283"/>
      <c r="P531" s="283"/>
      <c r="Q531" s="283"/>
      <c r="R531" s="283"/>
      <c r="S531" s="283"/>
      <c r="T531" s="283"/>
      <c r="U531" s="283"/>
      <c r="V531" s="283"/>
      <c r="W531" s="283"/>
      <c r="X531" s="283"/>
      <c r="Y531" s="283"/>
      <c r="Z531" s="283"/>
    </row>
    <row r="532" ht="14.25" customHeight="1">
      <c r="A532" s="283"/>
      <c r="B532" s="283"/>
      <c r="C532" s="283"/>
      <c r="D532" s="283"/>
      <c r="E532" s="283"/>
      <c r="F532" s="283"/>
      <c r="G532" s="283"/>
      <c r="H532" s="283"/>
      <c r="I532" s="283"/>
      <c r="J532" s="283"/>
      <c r="K532" s="283"/>
      <c r="L532" s="283"/>
      <c r="M532" s="283"/>
      <c r="N532" s="283"/>
      <c r="O532" s="283"/>
      <c r="P532" s="283"/>
      <c r="Q532" s="283"/>
      <c r="R532" s="283"/>
      <c r="S532" s="283"/>
      <c r="T532" s="283"/>
      <c r="U532" s="283"/>
      <c r="V532" s="283"/>
      <c r="W532" s="283"/>
      <c r="X532" s="283"/>
      <c r="Y532" s="283"/>
      <c r="Z532" s="283"/>
    </row>
    <row r="533" ht="14.25" customHeight="1">
      <c r="A533" s="283"/>
      <c r="B533" s="283"/>
      <c r="C533" s="283"/>
      <c r="D533" s="283"/>
      <c r="E533" s="283"/>
      <c r="F533" s="283"/>
      <c r="G533" s="283"/>
      <c r="H533" s="283"/>
      <c r="I533" s="283"/>
      <c r="J533" s="283"/>
      <c r="K533" s="283"/>
      <c r="L533" s="283"/>
      <c r="M533" s="283"/>
      <c r="N533" s="283"/>
      <c r="O533" s="283"/>
      <c r="P533" s="283"/>
      <c r="Q533" s="283"/>
      <c r="R533" s="283"/>
      <c r="S533" s="283"/>
      <c r="T533" s="283"/>
      <c r="U533" s="283"/>
      <c r="V533" s="283"/>
      <c r="W533" s="283"/>
      <c r="X533" s="283"/>
      <c r="Y533" s="283"/>
      <c r="Z533" s="283"/>
    </row>
    <row r="534" ht="14.25" customHeight="1">
      <c r="A534" s="283"/>
      <c r="B534" s="283"/>
      <c r="C534" s="283"/>
      <c r="D534" s="283"/>
      <c r="E534" s="283"/>
      <c r="F534" s="283"/>
      <c r="G534" s="283"/>
      <c r="H534" s="283"/>
      <c r="I534" s="283"/>
      <c r="J534" s="283"/>
      <c r="K534" s="283"/>
      <c r="L534" s="283"/>
      <c r="M534" s="283"/>
      <c r="N534" s="283"/>
      <c r="O534" s="283"/>
      <c r="P534" s="283"/>
      <c r="Q534" s="283"/>
      <c r="R534" s="283"/>
      <c r="S534" s="283"/>
      <c r="T534" s="283"/>
      <c r="U534" s="283"/>
      <c r="V534" s="283"/>
      <c r="W534" s="283"/>
      <c r="X534" s="283"/>
      <c r="Y534" s="283"/>
      <c r="Z534" s="283"/>
    </row>
    <row r="535" ht="14.25" customHeight="1">
      <c r="A535" s="283"/>
      <c r="B535" s="283"/>
      <c r="C535" s="283"/>
      <c r="D535" s="283"/>
      <c r="E535" s="283"/>
      <c r="F535" s="283"/>
      <c r="G535" s="283"/>
      <c r="H535" s="283"/>
      <c r="I535" s="283"/>
      <c r="J535" s="283"/>
      <c r="K535" s="283"/>
      <c r="L535" s="283"/>
      <c r="M535" s="283"/>
      <c r="N535" s="283"/>
      <c r="O535" s="283"/>
      <c r="P535" s="283"/>
      <c r="Q535" s="283"/>
      <c r="R535" s="283"/>
      <c r="S535" s="283"/>
      <c r="T535" s="283"/>
      <c r="U535" s="283"/>
      <c r="V535" s="283"/>
      <c r="W535" s="283"/>
      <c r="X535" s="283"/>
      <c r="Y535" s="283"/>
      <c r="Z535" s="283"/>
    </row>
    <row r="536" ht="14.25" customHeight="1">
      <c r="A536" s="283"/>
      <c r="B536" s="283"/>
      <c r="C536" s="283"/>
      <c r="D536" s="283"/>
      <c r="E536" s="283"/>
      <c r="F536" s="283"/>
      <c r="G536" s="283"/>
      <c r="H536" s="283"/>
      <c r="I536" s="283"/>
      <c r="J536" s="283"/>
      <c r="K536" s="283"/>
      <c r="L536" s="283"/>
      <c r="M536" s="283"/>
      <c r="N536" s="283"/>
      <c r="O536" s="283"/>
      <c r="P536" s="283"/>
      <c r="Q536" s="283"/>
      <c r="R536" s="283"/>
      <c r="S536" s="283"/>
      <c r="T536" s="283"/>
      <c r="U536" s="283"/>
      <c r="V536" s="283"/>
      <c r="W536" s="283"/>
      <c r="X536" s="283"/>
      <c r="Y536" s="283"/>
      <c r="Z536" s="283"/>
    </row>
    <row r="537" ht="14.25" customHeight="1">
      <c r="A537" s="283"/>
      <c r="B537" s="283"/>
      <c r="C537" s="283"/>
      <c r="D537" s="283"/>
      <c r="E537" s="283"/>
      <c r="F537" s="283"/>
      <c r="G537" s="283"/>
      <c r="H537" s="283"/>
      <c r="I537" s="283"/>
      <c r="J537" s="283"/>
      <c r="K537" s="283"/>
      <c r="L537" s="283"/>
      <c r="M537" s="283"/>
      <c r="N537" s="283"/>
      <c r="O537" s="283"/>
      <c r="P537" s="283"/>
      <c r="Q537" s="283"/>
      <c r="R537" s="283"/>
      <c r="S537" s="283"/>
      <c r="T537" s="283"/>
      <c r="U537" s="283"/>
      <c r="V537" s="283"/>
      <c r="W537" s="283"/>
      <c r="X537" s="283"/>
      <c r="Y537" s="283"/>
      <c r="Z537" s="283"/>
    </row>
    <row r="538" ht="14.25" customHeight="1">
      <c r="A538" s="283"/>
      <c r="B538" s="283"/>
      <c r="C538" s="283"/>
      <c r="D538" s="283"/>
      <c r="E538" s="283"/>
      <c r="F538" s="283"/>
      <c r="G538" s="283"/>
      <c r="H538" s="283"/>
      <c r="I538" s="283"/>
      <c r="J538" s="283"/>
      <c r="K538" s="283"/>
      <c r="L538" s="283"/>
      <c r="M538" s="283"/>
      <c r="N538" s="283"/>
      <c r="O538" s="283"/>
      <c r="P538" s="283"/>
      <c r="Q538" s="283"/>
      <c r="R538" s="283"/>
      <c r="S538" s="283"/>
      <c r="T538" s="283"/>
      <c r="U538" s="283"/>
      <c r="V538" s="283"/>
      <c r="W538" s="283"/>
      <c r="X538" s="283"/>
      <c r="Y538" s="283"/>
      <c r="Z538" s="283"/>
    </row>
    <row r="539" ht="14.25" customHeight="1">
      <c r="A539" s="283"/>
      <c r="B539" s="283"/>
      <c r="C539" s="283"/>
      <c r="D539" s="283"/>
      <c r="E539" s="283"/>
      <c r="F539" s="283"/>
      <c r="G539" s="283"/>
      <c r="H539" s="283"/>
      <c r="I539" s="283"/>
      <c r="J539" s="283"/>
      <c r="K539" s="283"/>
      <c r="L539" s="283"/>
      <c r="M539" s="283"/>
      <c r="N539" s="283"/>
      <c r="O539" s="283"/>
      <c r="P539" s="283"/>
      <c r="Q539" s="283"/>
      <c r="R539" s="283"/>
      <c r="S539" s="283"/>
      <c r="T539" s="283"/>
      <c r="U539" s="283"/>
      <c r="V539" s="283"/>
      <c r="W539" s="283"/>
      <c r="X539" s="283"/>
      <c r="Y539" s="283"/>
      <c r="Z539" s="283"/>
    </row>
    <row r="540" ht="14.25" customHeight="1">
      <c r="A540" s="283"/>
      <c r="B540" s="283"/>
      <c r="C540" s="283"/>
      <c r="D540" s="283"/>
      <c r="E540" s="283"/>
      <c r="F540" s="283"/>
      <c r="G540" s="283"/>
      <c r="H540" s="283"/>
      <c r="I540" s="283"/>
      <c r="J540" s="283"/>
      <c r="K540" s="283"/>
      <c r="L540" s="283"/>
      <c r="M540" s="283"/>
      <c r="N540" s="283"/>
      <c r="O540" s="283"/>
      <c r="P540" s="283"/>
      <c r="Q540" s="283"/>
      <c r="R540" s="283"/>
      <c r="S540" s="283"/>
      <c r="T540" s="283"/>
      <c r="U540" s="283"/>
      <c r="V540" s="283"/>
      <c r="W540" s="283"/>
      <c r="X540" s="283"/>
      <c r="Y540" s="283"/>
      <c r="Z540" s="283"/>
    </row>
    <row r="541" ht="14.25" customHeight="1">
      <c r="A541" s="283"/>
      <c r="B541" s="283"/>
      <c r="C541" s="283"/>
      <c r="D541" s="283"/>
      <c r="E541" s="283"/>
      <c r="F541" s="283"/>
      <c r="G541" s="283"/>
      <c r="H541" s="283"/>
      <c r="I541" s="283"/>
      <c r="J541" s="283"/>
      <c r="K541" s="283"/>
      <c r="L541" s="283"/>
      <c r="M541" s="283"/>
      <c r="N541" s="283"/>
      <c r="O541" s="283"/>
      <c r="P541" s="283"/>
      <c r="Q541" s="283"/>
      <c r="R541" s="283"/>
      <c r="S541" s="283"/>
      <c r="T541" s="283"/>
      <c r="U541" s="283"/>
      <c r="V541" s="283"/>
      <c r="W541" s="283"/>
      <c r="X541" s="283"/>
      <c r="Y541" s="283"/>
      <c r="Z541" s="283"/>
    </row>
    <row r="542" ht="14.25" customHeight="1">
      <c r="A542" s="283"/>
      <c r="B542" s="283"/>
      <c r="C542" s="283"/>
      <c r="D542" s="283"/>
      <c r="E542" s="283"/>
      <c r="F542" s="283"/>
      <c r="G542" s="283"/>
      <c r="H542" s="283"/>
      <c r="I542" s="283"/>
      <c r="J542" s="283"/>
      <c r="K542" s="283"/>
      <c r="L542" s="283"/>
      <c r="M542" s="283"/>
      <c r="N542" s="283"/>
      <c r="O542" s="283"/>
      <c r="P542" s="283"/>
      <c r="Q542" s="283"/>
      <c r="R542" s="283"/>
      <c r="S542" s="283"/>
      <c r="T542" s="283"/>
      <c r="U542" s="283"/>
      <c r="V542" s="283"/>
      <c r="W542" s="283"/>
      <c r="X542" s="283"/>
      <c r="Y542" s="283"/>
      <c r="Z542" s="283"/>
    </row>
    <row r="543" ht="14.25" customHeight="1">
      <c r="A543" s="283"/>
      <c r="B543" s="283"/>
      <c r="C543" s="283"/>
      <c r="D543" s="283"/>
      <c r="E543" s="283"/>
      <c r="F543" s="283"/>
      <c r="G543" s="283"/>
      <c r="H543" s="283"/>
      <c r="I543" s="283"/>
      <c r="J543" s="283"/>
      <c r="K543" s="283"/>
      <c r="L543" s="283"/>
      <c r="M543" s="283"/>
      <c r="N543" s="283"/>
      <c r="O543" s="283"/>
      <c r="P543" s="283"/>
      <c r="Q543" s="283"/>
      <c r="R543" s="283"/>
      <c r="S543" s="283"/>
      <c r="T543" s="283"/>
      <c r="U543" s="283"/>
      <c r="V543" s="283"/>
      <c r="W543" s="283"/>
      <c r="X543" s="283"/>
      <c r="Y543" s="283"/>
      <c r="Z543" s="283"/>
    </row>
    <row r="544" ht="14.25" customHeight="1">
      <c r="A544" s="283"/>
      <c r="B544" s="283"/>
      <c r="C544" s="283"/>
      <c r="D544" s="283"/>
      <c r="E544" s="283"/>
      <c r="F544" s="283"/>
      <c r="G544" s="283"/>
      <c r="H544" s="283"/>
      <c r="I544" s="283"/>
      <c r="J544" s="283"/>
      <c r="K544" s="283"/>
      <c r="L544" s="283"/>
      <c r="M544" s="283"/>
      <c r="N544" s="283"/>
      <c r="O544" s="283"/>
      <c r="P544" s="283"/>
      <c r="Q544" s="283"/>
      <c r="R544" s="283"/>
      <c r="S544" s="283"/>
      <c r="T544" s="283"/>
      <c r="U544" s="283"/>
      <c r="V544" s="283"/>
      <c r="W544" s="283"/>
      <c r="X544" s="283"/>
      <c r="Y544" s="283"/>
      <c r="Z544" s="283"/>
    </row>
    <row r="545" ht="14.25" customHeight="1">
      <c r="A545" s="283"/>
      <c r="B545" s="283"/>
      <c r="C545" s="283"/>
      <c r="D545" s="283"/>
      <c r="E545" s="283"/>
      <c r="F545" s="283"/>
      <c r="G545" s="283"/>
      <c r="H545" s="283"/>
      <c r="I545" s="283"/>
      <c r="J545" s="283"/>
      <c r="K545" s="283"/>
      <c r="L545" s="283"/>
      <c r="M545" s="283"/>
      <c r="N545" s="283"/>
      <c r="O545" s="283"/>
      <c r="P545" s="283"/>
      <c r="Q545" s="283"/>
      <c r="R545" s="283"/>
      <c r="S545" s="283"/>
      <c r="T545" s="283"/>
      <c r="U545" s="283"/>
      <c r="V545" s="283"/>
      <c r="W545" s="283"/>
      <c r="X545" s="283"/>
      <c r="Y545" s="283"/>
      <c r="Z545" s="283"/>
    </row>
    <row r="546" ht="14.25" customHeight="1">
      <c r="A546" s="283"/>
      <c r="B546" s="283"/>
      <c r="C546" s="283"/>
      <c r="D546" s="283"/>
      <c r="E546" s="283"/>
      <c r="F546" s="283"/>
      <c r="G546" s="283"/>
      <c r="H546" s="283"/>
      <c r="I546" s="283"/>
      <c r="J546" s="283"/>
      <c r="K546" s="283"/>
      <c r="L546" s="283"/>
      <c r="M546" s="283"/>
      <c r="N546" s="283"/>
      <c r="O546" s="283"/>
      <c r="P546" s="283"/>
      <c r="Q546" s="283"/>
      <c r="R546" s="283"/>
      <c r="S546" s="283"/>
      <c r="T546" s="283"/>
      <c r="U546" s="283"/>
      <c r="V546" s="283"/>
      <c r="W546" s="283"/>
      <c r="X546" s="283"/>
      <c r="Y546" s="283"/>
      <c r="Z546" s="283"/>
    </row>
    <row r="547" ht="14.25" customHeight="1">
      <c r="A547" s="283"/>
      <c r="B547" s="283"/>
      <c r="C547" s="283"/>
      <c r="D547" s="283"/>
      <c r="E547" s="283"/>
      <c r="F547" s="283"/>
      <c r="G547" s="283"/>
      <c r="H547" s="283"/>
      <c r="I547" s="283"/>
      <c r="J547" s="283"/>
      <c r="K547" s="283"/>
      <c r="L547" s="283"/>
      <c r="M547" s="283"/>
      <c r="N547" s="283"/>
      <c r="O547" s="283"/>
      <c r="P547" s="283"/>
      <c r="Q547" s="283"/>
      <c r="R547" s="283"/>
      <c r="S547" s="283"/>
      <c r="T547" s="283"/>
      <c r="U547" s="283"/>
      <c r="V547" s="283"/>
      <c r="W547" s="283"/>
      <c r="X547" s="283"/>
      <c r="Y547" s="283"/>
      <c r="Z547" s="283"/>
    </row>
    <row r="548" ht="14.25" customHeight="1">
      <c r="A548" s="283"/>
      <c r="B548" s="283"/>
      <c r="C548" s="283"/>
      <c r="D548" s="283"/>
      <c r="E548" s="283"/>
      <c r="F548" s="283"/>
      <c r="G548" s="283"/>
      <c r="H548" s="283"/>
      <c r="I548" s="283"/>
      <c r="J548" s="283"/>
      <c r="K548" s="283"/>
      <c r="L548" s="283"/>
      <c r="M548" s="283"/>
      <c r="N548" s="283"/>
      <c r="O548" s="283"/>
      <c r="P548" s="283"/>
      <c r="Q548" s="283"/>
      <c r="R548" s="283"/>
      <c r="S548" s="283"/>
      <c r="T548" s="283"/>
      <c r="U548" s="283"/>
      <c r="V548" s="283"/>
      <c r="W548" s="283"/>
      <c r="X548" s="283"/>
      <c r="Y548" s="283"/>
      <c r="Z548" s="283"/>
    </row>
    <row r="549" ht="14.25" customHeight="1">
      <c r="A549" s="283"/>
      <c r="B549" s="283"/>
      <c r="C549" s="283"/>
      <c r="D549" s="283"/>
      <c r="E549" s="283"/>
      <c r="F549" s="283"/>
      <c r="G549" s="283"/>
      <c r="H549" s="283"/>
      <c r="I549" s="283"/>
      <c r="J549" s="283"/>
      <c r="K549" s="283"/>
      <c r="L549" s="283"/>
      <c r="M549" s="283"/>
      <c r="N549" s="283"/>
      <c r="O549" s="283"/>
      <c r="P549" s="283"/>
      <c r="Q549" s="283"/>
      <c r="R549" s="283"/>
      <c r="S549" s="283"/>
      <c r="T549" s="283"/>
      <c r="U549" s="283"/>
      <c r="V549" s="283"/>
      <c r="W549" s="283"/>
      <c r="X549" s="283"/>
      <c r="Y549" s="283"/>
      <c r="Z549" s="283"/>
    </row>
    <row r="550" ht="14.25" customHeight="1">
      <c r="A550" s="283"/>
      <c r="B550" s="283"/>
      <c r="C550" s="283"/>
      <c r="D550" s="283"/>
      <c r="E550" s="283"/>
      <c r="F550" s="283"/>
      <c r="G550" s="283"/>
      <c r="H550" s="283"/>
      <c r="I550" s="283"/>
      <c r="J550" s="283"/>
      <c r="K550" s="283"/>
      <c r="L550" s="283"/>
      <c r="M550" s="283"/>
      <c r="N550" s="283"/>
      <c r="O550" s="283"/>
      <c r="P550" s="283"/>
      <c r="Q550" s="283"/>
      <c r="R550" s="283"/>
      <c r="S550" s="283"/>
      <c r="T550" s="283"/>
      <c r="U550" s="283"/>
      <c r="V550" s="283"/>
      <c r="W550" s="283"/>
      <c r="X550" s="283"/>
      <c r="Y550" s="283"/>
      <c r="Z550" s="283"/>
    </row>
    <row r="551" ht="14.25" customHeight="1">
      <c r="A551" s="283"/>
      <c r="B551" s="283"/>
      <c r="C551" s="283"/>
      <c r="D551" s="283"/>
      <c r="E551" s="283"/>
      <c r="F551" s="283"/>
      <c r="G551" s="283"/>
      <c r="H551" s="283"/>
      <c r="I551" s="283"/>
      <c r="J551" s="283"/>
      <c r="K551" s="283"/>
      <c r="L551" s="283"/>
      <c r="M551" s="283"/>
      <c r="N551" s="283"/>
      <c r="O551" s="283"/>
      <c r="P551" s="283"/>
      <c r="Q551" s="283"/>
      <c r="R551" s="283"/>
      <c r="S551" s="283"/>
      <c r="T551" s="283"/>
      <c r="U551" s="283"/>
      <c r="V551" s="283"/>
      <c r="W551" s="283"/>
      <c r="X551" s="283"/>
      <c r="Y551" s="283"/>
      <c r="Z551" s="283"/>
    </row>
    <row r="552" ht="14.25" customHeight="1">
      <c r="A552" s="283"/>
      <c r="B552" s="283"/>
      <c r="C552" s="283"/>
      <c r="D552" s="283"/>
      <c r="E552" s="283"/>
      <c r="F552" s="283"/>
      <c r="G552" s="283"/>
      <c r="H552" s="283"/>
      <c r="I552" s="283"/>
      <c r="J552" s="283"/>
      <c r="K552" s="283"/>
      <c r="L552" s="283"/>
      <c r="M552" s="283"/>
      <c r="N552" s="283"/>
      <c r="O552" s="283"/>
      <c r="P552" s="283"/>
      <c r="Q552" s="283"/>
      <c r="R552" s="283"/>
      <c r="S552" s="283"/>
      <c r="T552" s="283"/>
      <c r="U552" s="283"/>
      <c r="V552" s="283"/>
      <c r="W552" s="283"/>
      <c r="X552" s="283"/>
      <c r="Y552" s="283"/>
      <c r="Z552" s="283"/>
    </row>
    <row r="553" ht="14.25" customHeight="1">
      <c r="A553" s="283"/>
      <c r="B553" s="283"/>
      <c r="C553" s="283"/>
      <c r="D553" s="283"/>
      <c r="E553" s="283"/>
      <c r="F553" s="283"/>
      <c r="G553" s="283"/>
      <c r="H553" s="283"/>
      <c r="I553" s="283"/>
      <c r="J553" s="283"/>
      <c r="K553" s="283"/>
      <c r="L553" s="283"/>
      <c r="M553" s="283"/>
      <c r="N553" s="283"/>
      <c r="O553" s="283"/>
      <c r="P553" s="283"/>
      <c r="Q553" s="283"/>
      <c r="R553" s="283"/>
      <c r="S553" s="283"/>
      <c r="T553" s="283"/>
      <c r="U553" s="283"/>
      <c r="V553" s="283"/>
      <c r="W553" s="283"/>
      <c r="X553" s="283"/>
      <c r="Y553" s="283"/>
      <c r="Z553" s="283"/>
    </row>
    <row r="554" ht="14.25" customHeight="1">
      <c r="A554" s="283"/>
      <c r="B554" s="283"/>
      <c r="C554" s="283"/>
      <c r="D554" s="283"/>
      <c r="E554" s="283"/>
      <c r="F554" s="283"/>
      <c r="G554" s="283"/>
      <c r="H554" s="283"/>
      <c r="I554" s="283"/>
      <c r="J554" s="283"/>
      <c r="K554" s="283"/>
      <c r="L554" s="283"/>
      <c r="M554" s="283"/>
      <c r="N554" s="283"/>
      <c r="O554" s="283"/>
      <c r="P554" s="283"/>
      <c r="Q554" s="283"/>
      <c r="R554" s="283"/>
      <c r="S554" s="283"/>
      <c r="T554" s="283"/>
      <c r="U554" s="283"/>
      <c r="V554" s="283"/>
      <c r="W554" s="283"/>
      <c r="X554" s="283"/>
      <c r="Y554" s="283"/>
      <c r="Z554" s="283"/>
    </row>
    <row r="555" ht="14.25" customHeight="1">
      <c r="A555" s="283"/>
      <c r="B555" s="283"/>
      <c r="C555" s="283"/>
      <c r="D555" s="283"/>
      <c r="E555" s="283"/>
      <c r="F555" s="283"/>
      <c r="G555" s="283"/>
      <c r="H555" s="283"/>
      <c r="I555" s="283"/>
      <c r="J555" s="283"/>
      <c r="K555" s="283"/>
      <c r="L555" s="283"/>
      <c r="M555" s="283"/>
      <c r="N555" s="283"/>
      <c r="O555" s="283"/>
      <c r="P555" s="283"/>
      <c r="Q555" s="283"/>
      <c r="R555" s="283"/>
      <c r="S555" s="283"/>
      <c r="T555" s="283"/>
      <c r="U555" s="283"/>
      <c r="V555" s="283"/>
      <c r="W555" s="283"/>
      <c r="X555" s="283"/>
      <c r="Y555" s="283"/>
      <c r="Z555" s="283"/>
    </row>
    <row r="556" ht="14.25" customHeight="1">
      <c r="A556" s="283"/>
      <c r="B556" s="283"/>
      <c r="C556" s="283"/>
      <c r="D556" s="283"/>
      <c r="E556" s="283"/>
      <c r="F556" s="283"/>
      <c r="G556" s="283"/>
      <c r="H556" s="283"/>
      <c r="I556" s="283"/>
      <c r="J556" s="283"/>
      <c r="K556" s="283"/>
      <c r="L556" s="283"/>
      <c r="M556" s="283"/>
      <c r="N556" s="283"/>
      <c r="O556" s="283"/>
      <c r="P556" s="283"/>
      <c r="Q556" s="283"/>
      <c r="R556" s="283"/>
      <c r="S556" s="283"/>
      <c r="T556" s="283"/>
      <c r="U556" s="283"/>
      <c r="V556" s="283"/>
      <c r="W556" s="283"/>
      <c r="X556" s="283"/>
      <c r="Y556" s="283"/>
      <c r="Z556" s="283"/>
    </row>
    <row r="557" ht="14.25" customHeight="1">
      <c r="A557" s="283"/>
      <c r="B557" s="283"/>
      <c r="C557" s="283"/>
      <c r="D557" s="283"/>
      <c r="E557" s="283"/>
      <c r="F557" s="283"/>
      <c r="G557" s="283"/>
      <c r="H557" s="283"/>
      <c r="I557" s="283"/>
      <c r="J557" s="283"/>
      <c r="K557" s="283"/>
      <c r="L557" s="283"/>
      <c r="M557" s="283"/>
      <c r="N557" s="283"/>
      <c r="O557" s="283"/>
      <c r="P557" s="283"/>
      <c r="Q557" s="283"/>
      <c r="R557" s="283"/>
      <c r="S557" s="283"/>
      <c r="T557" s="283"/>
      <c r="U557" s="283"/>
      <c r="V557" s="283"/>
      <c r="W557" s="283"/>
      <c r="X557" s="283"/>
      <c r="Y557" s="283"/>
      <c r="Z557" s="283"/>
    </row>
    <row r="558" ht="14.25" customHeight="1">
      <c r="A558" s="283"/>
      <c r="B558" s="283"/>
      <c r="C558" s="283"/>
      <c r="D558" s="283"/>
      <c r="E558" s="283"/>
      <c r="F558" s="283"/>
      <c r="G558" s="283"/>
      <c r="H558" s="283"/>
      <c r="I558" s="283"/>
      <c r="J558" s="283"/>
      <c r="K558" s="283"/>
      <c r="L558" s="283"/>
      <c r="M558" s="283"/>
      <c r="N558" s="283"/>
      <c r="O558" s="283"/>
      <c r="P558" s="283"/>
      <c r="Q558" s="283"/>
      <c r="R558" s="283"/>
      <c r="S558" s="283"/>
      <c r="T558" s="283"/>
      <c r="U558" s="283"/>
      <c r="V558" s="283"/>
      <c r="W558" s="283"/>
      <c r="X558" s="283"/>
      <c r="Y558" s="283"/>
      <c r="Z558" s="283"/>
    </row>
    <row r="559" ht="14.25" customHeight="1">
      <c r="A559" s="283"/>
      <c r="B559" s="283"/>
      <c r="C559" s="283"/>
      <c r="D559" s="283"/>
      <c r="E559" s="283"/>
      <c r="F559" s="283"/>
      <c r="G559" s="283"/>
      <c r="H559" s="283"/>
      <c r="I559" s="283"/>
      <c r="J559" s="283"/>
      <c r="K559" s="283"/>
      <c r="L559" s="283"/>
      <c r="M559" s="283"/>
      <c r="N559" s="283"/>
      <c r="O559" s="283"/>
      <c r="P559" s="283"/>
      <c r="Q559" s="283"/>
      <c r="R559" s="283"/>
      <c r="S559" s="283"/>
      <c r="T559" s="283"/>
      <c r="U559" s="283"/>
      <c r="V559" s="283"/>
      <c r="W559" s="283"/>
      <c r="X559" s="283"/>
      <c r="Y559" s="283"/>
      <c r="Z559" s="283"/>
    </row>
    <row r="560" ht="14.25" customHeight="1">
      <c r="A560" s="283"/>
      <c r="B560" s="283"/>
      <c r="C560" s="283"/>
      <c r="D560" s="283"/>
      <c r="E560" s="283"/>
      <c r="F560" s="283"/>
      <c r="G560" s="283"/>
      <c r="H560" s="283"/>
      <c r="I560" s="283"/>
      <c r="J560" s="283"/>
      <c r="K560" s="283"/>
      <c r="L560" s="283"/>
      <c r="M560" s="283"/>
      <c r="N560" s="283"/>
      <c r="O560" s="283"/>
      <c r="P560" s="283"/>
      <c r="Q560" s="283"/>
      <c r="R560" s="283"/>
      <c r="S560" s="283"/>
      <c r="T560" s="283"/>
      <c r="U560" s="283"/>
      <c r="V560" s="283"/>
      <c r="W560" s="283"/>
      <c r="X560" s="283"/>
      <c r="Y560" s="283"/>
      <c r="Z560" s="283"/>
    </row>
    <row r="561" ht="14.25" customHeight="1">
      <c r="A561" s="283"/>
      <c r="B561" s="283"/>
      <c r="C561" s="283"/>
      <c r="D561" s="283"/>
      <c r="E561" s="283"/>
      <c r="F561" s="283"/>
      <c r="G561" s="283"/>
      <c r="H561" s="283"/>
      <c r="I561" s="283"/>
      <c r="J561" s="283"/>
      <c r="K561" s="283"/>
      <c r="L561" s="283"/>
      <c r="M561" s="283"/>
      <c r="N561" s="283"/>
      <c r="O561" s="283"/>
      <c r="P561" s="283"/>
      <c r="Q561" s="283"/>
      <c r="R561" s="283"/>
      <c r="S561" s="283"/>
      <c r="T561" s="283"/>
      <c r="U561" s="283"/>
      <c r="V561" s="283"/>
      <c r="W561" s="283"/>
      <c r="X561" s="283"/>
      <c r="Y561" s="283"/>
      <c r="Z561" s="283"/>
    </row>
    <row r="562" ht="14.25" customHeight="1">
      <c r="A562" s="283"/>
      <c r="B562" s="283"/>
      <c r="C562" s="283"/>
      <c r="D562" s="283"/>
      <c r="E562" s="283"/>
      <c r="F562" s="283"/>
      <c r="G562" s="283"/>
      <c r="H562" s="283"/>
      <c r="I562" s="283"/>
      <c r="J562" s="283"/>
      <c r="K562" s="283"/>
      <c r="L562" s="283"/>
      <c r="M562" s="283"/>
      <c r="N562" s="283"/>
      <c r="O562" s="283"/>
      <c r="P562" s="283"/>
      <c r="Q562" s="283"/>
      <c r="R562" s="283"/>
      <c r="S562" s="283"/>
      <c r="T562" s="283"/>
      <c r="U562" s="283"/>
      <c r="V562" s="283"/>
      <c r="W562" s="283"/>
      <c r="X562" s="283"/>
      <c r="Y562" s="283"/>
      <c r="Z562" s="283"/>
    </row>
    <row r="563" ht="14.25" customHeight="1">
      <c r="A563" s="283"/>
      <c r="B563" s="283"/>
      <c r="C563" s="283"/>
      <c r="D563" s="283"/>
      <c r="E563" s="283"/>
      <c r="F563" s="283"/>
      <c r="G563" s="283"/>
      <c r="H563" s="283"/>
      <c r="I563" s="283"/>
      <c r="J563" s="283"/>
      <c r="K563" s="283"/>
      <c r="L563" s="283"/>
      <c r="M563" s="283"/>
      <c r="N563" s="283"/>
      <c r="O563" s="283"/>
      <c r="P563" s="283"/>
      <c r="Q563" s="283"/>
      <c r="R563" s="283"/>
      <c r="S563" s="283"/>
      <c r="T563" s="283"/>
      <c r="U563" s="283"/>
      <c r="V563" s="283"/>
      <c r="W563" s="283"/>
      <c r="X563" s="283"/>
      <c r="Y563" s="283"/>
      <c r="Z563" s="283"/>
    </row>
    <row r="564" ht="14.25" customHeight="1">
      <c r="A564" s="283"/>
      <c r="B564" s="283"/>
      <c r="C564" s="283"/>
      <c r="D564" s="283"/>
      <c r="E564" s="283"/>
      <c r="F564" s="283"/>
      <c r="G564" s="283"/>
      <c r="H564" s="283"/>
      <c r="I564" s="283"/>
      <c r="J564" s="283"/>
      <c r="K564" s="283"/>
      <c r="L564" s="283"/>
      <c r="M564" s="283"/>
      <c r="N564" s="283"/>
      <c r="O564" s="283"/>
      <c r="P564" s="283"/>
      <c r="Q564" s="283"/>
      <c r="R564" s="283"/>
      <c r="S564" s="283"/>
      <c r="T564" s="283"/>
      <c r="U564" s="283"/>
      <c r="V564" s="283"/>
      <c r="W564" s="283"/>
      <c r="X564" s="283"/>
      <c r="Y564" s="283"/>
      <c r="Z564" s="283"/>
    </row>
    <row r="565" ht="14.25" customHeight="1">
      <c r="A565" s="283"/>
      <c r="B565" s="283"/>
      <c r="C565" s="283"/>
      <c r="D565" s="283"/>
      <c r="E565" s="283"/>
      <c r="F565" s="283"/>
      <c r="G565" s="283"/>
      <c r="H565" s="283"/>
      <c r="I565" s="283"/>
      <c r="J565" s="283"/>
      <c r="K565" s="283"/>
      <c r="L565" s="283"/>
      <c r="M565" s="283"/>
      <c r="N565" s="283"/>
      <c r="O565" s="283"/>
      <c r="P565" s="283"/>
      <c r="Q565" s="283"/>
      <c r="R565" s="283"/>
      <c r="S565" s="283"/>
      <c r="T565" s="283"/>
      <c r="U565" s="283"/>
      <c r="V565" s="283"/>
      <c r="W565" s="283"/>
      <c r="X565" s="283"/>
      <c r="Y565" s="283"/>
      <c r="Z565" s="283"/>
    </row>
    <row r="566" ht="14.25" customHeight="1">
      <c r="A566" s="283"/>
      <c r="B566" s="283"/>
      <c r="C566" s="283"/>
      <c r="D566" s="283"/>
      <c r="E566" s="283"/>
      <c r="F566" s="283"/>
      <c r="G566" s="283"/>
      <c r="H566" s="283"/>
      <c r="I566" s="283"/>
      <c r="J566" s="283"/>
      <c r="K566" s="283"/>
      <c r="L566" s="283"/>
      <c r="M566" s="283"/>
      <c r="N566" s="283"/>
      <c r="O566" s="283"/>
      <c r="P566" s="283"/>
      <c r="Q566" s="283"/>
      <c r="R566" s="283"/>
      <c r="S566" s="283"/>
      <c r="T566" s="283"/>
      <c r="U566" s="283"/>
      <c r="V566" s="283"/>
      <c r="W566" s="283"/>
      <c r="X566" s="283"/>
      <c r="Y566" s="283"/>
      <c r="Z566" s="283"/>
    </row>
    <row r="567" ht="14.25" customHeight="1">
      <c r="A567" s="283"/>
      <c r="B567" s="283"/>
      <c r="C567" s="283"/>
      <c r="D567" s="283"/>
      <c r="E567" s="283"/>
      <c r="F567" s="283"/>
      <c r="G567" s="283"/>
      <c r="H567" s="283"/>
      <c r="I567" s="283"/>
      <c r="J567" s="283"/>
      <c r="K567" s="283"/>
      <c r="L567" s="283"/>
      <c r="M567" s="283"/>
      <c r="N567" s="283"/>
      <c r="O567" s="283"/>
      <c r="P567" s="283"/>
      <c r="Q567" s="283"/>
      <c r="R567" s="283"/>
      <c r="S567" s="283"/>
      <c r="T567" s="283"/>
      <c r="U567" s="283"/>
      <c r="V567" s="283"/>
      <c r="W567" s="283"/>
      <c r="X567" s="283"/>
      <c r="Y567" s="283"/>
      <c r="Z567" s="283"/>
    </row>
    <row r="568" ht="14.25" customHeight="1">
      <c r="A568" s="283"/>
      <c r="B568" s="283"/>
      <c r="C568" s="283"/>
      <c r="D568" s="283"/>
      <c r="E568" s="283"/>
      <c r="F568" s="283"/>
      <c r="G568" s="283"/>
      <c r="H568" s="283"/>
      <c r="I568" s="283"/>
      <c r="J568" s="283"/>
      <c r="K568" s="283"/>
      <c r="L568" s="283"/>
      <c r="M568" s="283"/>
      <c r="N568" s="283"/>
      <c r="O568" s="283"/>
      <c r="P568" s="283"/>
      <c r="Q568" s="283"/>
      <c r="R568" s="283"/>
      <c r="S568" s="283"/>
      <c r="T568" s="283"/>
      <c r="U568" s="283"/>
      <c r="V568" s="283"/>
      <c r="W568" s="283"/>
      <c r="X568" s="283"/>
      <c r="Y568" s="283"/>
      <c r="Z568" s="283"/>
    </row>
    <row r="569" ht="14.25" customHeight="1">
      <c r="A569" s="283"/>
      <c r="B569" s="283"/>
      <c r="C569" s="283"/>
      <c r="D569" s="283"/>
      <c r="E569" s="283"/>
      <c r="F569" s="283"/>
      <c r="G569" s="283"/>
      <c r="H569" s="283"/>
      <c r="I569" s="283"/>
      <c r="J569" s="283"/>
      <c r="K569" s="283"/>
      <c r="L569" s="283"/>
      <c r="M569" s="283"/>
      <c r="N569" s="283"/>
      <c r="O569" s="283"/>
      <c r="P569" s="283"/>
      <c r="Q569" s="283"/>
      <c r="R569" s="283"/>
      <c r="S569" s="283"/>
      <c r="T569" s="283"/>
      <c r="U569" s="283"/>
      <c r="V569" s="283"/>
      <c r="W569" s="283"/>
      <c r="X569" s="283"/>
      <c r="Y569" s="283"/>
      <c r="Z569" s="283"/>
    </row>
    <row r="570" ht="14.25" customHeight="1">
      <c r="A570" s="283"/>
      <c r="B570" s="283"/>
      <c r="C570" s="283"/>
      <c r="D570" s="283"/>
      <c r="E570" s="283"/>
      <c r="F570" s="283"/>
      <c r="G570" s="283"/>
      <c r="H570" s="283"/>
      <c r="I570" s="283"/>
      <c r="J570" s="283"/>
      <c r="K570" s="283"/>
      <c r="L570" s="283"/>
      <c r="M570" s="283"/>
      <c r="N570" s="283"/>
      <c r="O570" s="283"/>
      <c r="P570" s="283"/>
      <c r="Q570" s="283"/>
      <c r="R570" s="283"/>
      <c r="S570" s="283"/>
      <c r="T570" s="283"/>
      <c r="U570" s="283"/>
      <c r="V570" s="283"/>
      <c r="W570" s="283"/>
      <c r="X570" s="283"/>
      <c r="Y570" s="283"/>
      <c r="Z570" s="283"/>
    </row>
    <row r="571" ht="14.25" customHeight="1">
      <c r="A571" s="283"/>
      <c r="B571" s="283"/>
      <c r="C571" s="283"/>
      <c r="D571" s="283"/>
      <c r="E571" s="283"/>
      <c r="F571" s="283"/>
      <c r="G571" s="283"/>
      <c r="H571" s="283"/>
      <c r="I571" s="283"/>
      <c r="J571" s="283"/>
      <c r="K571" s="283"/>
      <c r="L571" s="283"/>
      <c r="M571" s="283"/>
      <c r="N571" s="283"/>
      <c r="O571" s="283"/>
      <c r="P571" s="283"/>
      <c r="Q571" s="283"/>
      <c r="R571" s="283"/>
      <c r="S571" s="283"/>
      <c r="T571" s="283"/>
      <c r="U571" s="283"/>
      <c r="V571" s="283"/>
      <c r="W571" s="283"/>
      <c r="X571" s="283"/>
      <c r="Y571" s="283"/>
      <c r="Z571" s="283"/>
    </row>
    <row r="572" ht="14.25" customHeight="1">
      <c r="A572" s="283"/>
      <c r="B572" s="283"/>
      <c r="C572" s="283"/>
      <c r="D572" s="283"/>
      <c r="E572" s="283"/>
      <c r="F572" s="283"/>
      <c r="G572" s="283"/>
      <c r="H572" s="283"/>
      <c r="I572" s="283"/>
      <c r="J572" s="283"/>
      <c r="K572" s="283"/>
      <c r="L572" s="283"/>
      <c r="M572" s="283"/>
      <c r="N572" s="283"/>
      <c r="O572" s="283"/>
      <c r="P572" s="283"/>
      <c r="Q572" s="283"/>
      <c r="R572" s="283"/>
      <c r="S572" s="283"/>
      <c r="T572" s="283"/>
      <c r="U572" s="283"/>
      <c r="V572" s="283"/>
      <c r="W572" s="283"/>
      <c r="X572" s="283"/>
      <c r="Y572" s="283"/>
      <c r="Z572" s="283"/>
    </row>
    <row r="573" ht="14.25" customHeight="1">
      <c r="A573" s="283"/>
      <c r="B573" s="283"/>
      <c r="C573" s="283"/>
      <c r="D573" s="283"/>
      <c r="E573" s="283"/>
      <c r="F573" s="283"/>
      <c r="G573" s="283"/>
      <c r="H573" s="283"/>
      <c r="I573" s="283"/>
      <c r="J573" s="283"/>
      <c r="K573" s="283"/>
      <c r="L573" s="283"/>
      <c r="M573" s="283"/>
      <c r="N573" s="283"/>
      <c r="O573" s="283"/>
      <c r="P573" s="283"/>
      <c r="Q573" s="283"/>
      <c r="R573" s="283"/>
      <c r="S573" s="283"/>
      <c r="T573" s="283"/>
      <c r="U573" s="283"/>
      <c r="V573" s="283"/>
      <c r="W573" s="283"/>
      <c r="X573" s="283"/>
      <c r="Y573" s="283"/>
      <c r="Z573" s="283"/>
    </row>
    <row r="574" ht="14.25" customHeight="1">
      <c r="A574" s="283"/>
      <c r="B574" s="283"/>
      <c r="C574" s="283"/>
      <c r="D574" s="283"/>
      <c r="E574" s="283"/>
      <c r="F574" s="283"/>
      <c r="G574" s="283"/>
      <c r="H574" s="283"/>
      <c r="I574" s="283"/>
      <c r="J574" s="283"/>
      <c r="K574" s="283"/>
      <c r="L574" s="283"/>
      <c r="M574" s="283"/>
      <c r="N574" s="283"/>
      <c r="O574" s="283"/>
      <c r="P574" s="283"/>
      <c r="Q574" s="283"/>
      <c r="R574" s="283"/>
      <c r="S574" s="283"/>
      <c r="T574" s="283"/>
      <c r="U574" s="283"/>
      <c r="V574" s="283"/>
      <c r="W574" s="283"/>
      <c r="X574" s="283"/>
      <c r="Y574" s="283"/>
      <c r="Z574" s="283"/>
    </row>
    <row r="575" ht="14.25" customHeight="1">
      <c r="A575" s="283"/>
      <c r="B575" s="283"/>
      <c r="C575" s="283"/>
      <c r="D575" s="283"/>
      <c r="E575" s="283"/>
      <c r="F575" s="283"/>
      <c r="G575" s="283"/>
      <c r="H575" s="283"/>
      <c r="I575" s="283"/>
      <c r="J575" s="283"/>
      <c r="K575" s="283"/>
      <c r="L575" s="283"/>
      <c r="M575" s="283"/>
      <c r="N575" s="283"/>
      <c r="O575" s="283"/>
      <c r="P575" s="283"/>
      <c r="Q575" s="283"/>
      <c r="R575" s="283"/>
      <c r="S575" s="283"/>
      <c r="T575" s="283"/>
      <c r="U575" s="283"/>
      <c r="V575" s="283"/>
      <c r="W575" s="283"/>
      <c r="X575" s="283"/>
      <c r="Y575" s="283"/>
      <c r="Z575" s="283"/>
    </row>
    <row r="576" ht="14.25" customHeight="1">
      <c r="A576" s="283"/>
      <c r="B576" s="283"/>
      <c r="C576" s="283"/>
      <c r="D576" s="283"/>
      <c r="E576" s="283"/>
      <c r="F576" s="283"/>
      <c r="G576" s="283"/>
      <c r="H576" s="283"/>
      <c r="I576" s="283"/>
      <c r="J576" s="283"/>
      <c r="K576" s="283"/>
      <c r="L576" s="283"/>
      <c r="M576" s="283"/>
      <c r="N576" s="283"/>
      <c r="O576" s="283"/>
      <c r="P576" s="283"/>
      <c r="Q576" s="283"/>
      <c r="R576" s="283"/>
      <c r="S576" s="283"/>
      <c r="T576" s="283"/>
      <c r="U576" s="283"/>
      <c r="V576" s="283"/>
      <c r="W576" s="283"/>
      <c r="X576" s="283"/>
      <c r="Y576" s="283"/>
      <c r="Z576" s="283"/>
    </row>
    <row r="577" ht="14.25" customHeight="1">
      <c r="A577" s="283"/>
      <c r="B577" s="283"/>
      <c r="C577" s="283"/>
      <c r="D577" s="283"/>
      <c r="E577" s="283"/>
      <c r="F577" s="283"/>
      <c r="G577" s="283"/>
      <c r="H577" s="283"/>
      <c r="I577" s="283"/>
      <c r="J577" s="283"/>
      <c r="K577" s="283"/>
      <c r="L577" s="283"/>
      <c r="M577" s="283"/>
      <c r="N577" s="283"/>
      <c r="O577" s="283"/>
      <c r="P577" s="283"/>
      <c r="Q577" s="283"/>
      <c r="R577" s="283"/>
      <c r="S577" s="283"/>
      <c r="T577" s="283"/>
      <c r="U577" s="283"/>
      <c r="V577" s="283"/>
      <c r="W577" s="283"/>
      <c r="X577" s="283"/>
      <c r="Y577" s="283"/>
      <c r="Z577" s="283"/>
    </row>
    <row r="578" ht="14.25" customHeight="1">
      <c r="A578" s="283"/>
      <c r="B578" s="283"/>
      <c r="C578" s="283"/>
      <c r="D578" s="283"/>
      <c r="E578" s="283"/>
      <c r="F578" s="283"/>
      <c r="G578" s="283"/>
      <c r="H578" s="283"/>
      <c r="I578" s="283"/>
      <c r="J578" s="283"/>
      <c r="K578" s="283"/>
      <c r="L578" s="283"/>
      <c r="M578" s="283"/>
      <c r="N578" s="283"/>
      <c r="O578" s="283"/>
      <c r="P578" s="283"/>
      <c r="Q578" s="283"/>
      <c r="R578" s="283"/>
      <c r="S578" s="283"/>
      <c r="T578" s="283"/>
      <c r="U578" s="283"/>
      <c r="V578" s="283"/>
      <c r="W578" s="283"/>
      <c r="X578" s="283"/>
      <c r="Y578" s="283"/>
      <c r="Z578" s="283"/>
    </row>
    <row r="579" ht="14.25" customHeight="1">
      <c r="A579" s="283"/>
      <c r="B579" s="283"/>
      <c r="C579" s="283"/>
      <c r="D579" s="283"/>
      <c r="E579" s="283"/>
      <c r="F579" s="283"/>
      <c r="G579" s="283"/>
      <c r="H579" s="283"/>
      <c r="I579" s="283"/>
      <c r="J579" s="283"/>
      <c r="K579" s="283"/>
      <c r="L579" s="283"/>
      <c r="M579" s="283"/>
      <c r="N579" s="283"/>
      <c r="O579" s="283"/>
      <c r="P579" s="283"/>
      <c r="Q579" s="283"/>
      <c r="R579" s="283"/>
      <c r="S579" s="283"/>
      <c r="T579" s="283"/>
      <c r="U579" s="283"/>
      <c r="V579" s="283"/>
      <c r="W579" s="283"/>
      <c r="X579" s="283"/>
      <c r="Y579" s="283"/>
      <c r="Z579" s="283"/>
    </row>
    <row r="580" ht="14.25" customHeight="1">
      <c r="A580" s="283"/>
      <c r="B580" s="283"/>
      <c r="C580" s="283"/>
      <c r="D580" s="283"/>
      <c r="E580" s="283"/>
      <c r="F580" s="283"/>
      <c r="G580" s="283"/>
      <c r="H580" s="283"/>
      <c r="I580" s="283"/>
      <c r="J580" s="283"/>
      <c r="K580" s="283"/>
      <c r="L580" s="283"/>
      <c r="M580" s="283"/>
      <c r="N580" s="283"/>
      <c r="O580" s="283"/>
      <c r="P580" s="283"/>
      <c r="Q580" s="283"/>
      <c r="R580" s="283"/>
      <c r="S580" s="283"/>
      <c r="T580" s="283"/>
      <c r="U580" s="283"/>
      <c r="V580" s="283"/>
      <c r="W580" s="283"/>
      <c r="X580" s="283"/>
      <c r="Y580" s="283"/>
      <c r="Z580" s="283"/>
    </row>
    <row r="581" ht="14.25" customHeight="1">
      <c r="A581" s="283"/>
      <c r="B581" s="283"/>
      <c r="C581" s="283"/>
      <c r="D581" s="283"/>
      <c r="E581" s="283"/>
      <c r="F581" s="283"/>
      <c r="G581" s="283"/>
      <c r="H581" s="283"/>
      <c r="I581" s="283"/>
      <c r="J581" s="283"/>
      <c r="K581" s="283"/>
      <c r="L581" s="283"/>
      <c r="M581" s="283"/>
      <c r="N581" s="283"/>
      <c r="O581" s="283"/>
      <c r="P581" s="283"/>
      <c r="Q581" s="283"/>
      <c r="R581" s="283"/>
      <c r="S581" s="283"/>
      <c r="T581" s="283"/>
      <c r="U581" s="283"/>
      <c r="V581" s="283"/>
      <c r="W581" s="283"/>
      <c r="X581" s="283"/>
      <c r="Y581" s="283"/>
      <c r="Z581" s="283"/>
    </row>
    <row r="582" ht="14.25" customHeight="1">
      <c r="A582" s="283"/>
      <c r="B582" s="283"/>
      <c r="C582" s="283"/>
      <c r="D582" s="283"/>
      <c r="E582" s="283"/>
      <c r="F582" s="283"/>
      <c r="G582" s="283"/>
      <c r="H582" s="283"/>
      <c r="I582" s="283"/>
      <c r="J582" s="283"/>
      <c r="K582" s="283"/>
      <c r="L582" s="283"/>
      <c r="M582" s="283"/>
      <c r="N582" s="283"/>
      <c r="O582" s="283"/>
      <c r="P582" s="283"/>
      <c r="Q582" s="283"/>
      <c r="R582" s="283"/>
      <c r="S582" s="283"/>
      <c r="T582" s="283"/>
      <c r="U582" s="283"/>
      <c r="V582" s="283"/>
      <c r="W582" s="283"/>
      <c r="X582" s="283"/>
      <c r="Y582" s="283"/>
      <c r="Z582" s="283"/>
    </row>
    <row r="583" ht="14.25" customHeight="1">
      <c r="A583" s="283"/>
      <c r="B583" s="283"/>
      <c r="C583" s="283"/>
      <c r="D583" s="283"/>
      <c r="E583" s="283"/>
      <c r="F583" s="283"/>
      <c r="G583" s="283"/>
      <c r="H583" s="283"/>
      <c r="I583" s="283"/>
      <c r="J583" s="283"/>
      <c r="K583" s="283"/>
      <c r="L583" s="283"/>
      <c r="M583" s="283"/>
      <c r="N583" s="283"/>
      <c r="O583" s="283"/>
      <c r="P583" s="283"/>
      <c r="Q583" s="283"/>
      <c r="R583" s="283"/>
      <c r="S583" s="283"/>
      <c r="T583" s="283"/>
      <c r="U583" s="283"/>
      <c r="V583" s="283"/>
      <c r="W583" s="283"/>
      <c r="X583" s="283"/>
      <c r="Y583" s="283"/>
      <c r="Z583" s="283"/>
    </row>
    <row r="584" ht="14.25" customHeight="1">
      <c r="A584" s="283"/>
      <c r="B584" s="283"/>
      <c r="C584" s="283"/>
      <c r="D584" s="283"/>
      <c r="E584" s="283"/>
      <c r="F584" s="283"/>
      <c r="G584" s="283"/>
      <c r="H584" s="283"/>
      <c r="I584" s="283"/>
      <c r="J584" s="283"/>
      <c r="K584" s="283"/>
      <c r="L584" s="283"/>
      <c r="M584" s="283"/>
      <c r="N584" s="283"/>
      <c r="O584" s="283"/>
      <c r="P584" s="283"/>
      <c r="Q584" s="283"/>
      <c r="R584" s="283"/>
      <c r="S584" s="283"/>
      <c r="T584" s="283"/>
      <c r="U584" s="283"/>
      <c r="V584" s="283"/>
      <c r="W584" s="283"/>
      <c r="X584" s="283"/>
      <c r="Y584" s="283"/>
      <c r="Z584" s="283"/>
    </row>
    <row r="585" ht="14.25" customHeight="1">
      <c r="A585" s="283"/>
      <c r="B585" s="283"/>
      <c r="C585" s="283"/>
      <c r="D585" s="283"/>
      <c r="E585" s="283"/>
      <c r="F585" s="283"/>
      <c r="G585" s="283"/>
      <c r="H585" s="283"/>
      <c r="I585" s="283"/>
      <c r="J585" s="283"/>
      <c r="K585" s="283"/>
      <c r="L585" s="283"/>
      <c r="M585" s="283"/>
      <c r="N585" s="283"/>
      <c r="O585" s="283"/>
      <c r="P585" s="283"/>
      <c r="Q585" s="283"/>
      <c r="R585" s="283"/>
      <c r="S585" s="283"/>
      <c r="T585" s="283"/>
      <c r="U585" s="283"/>
      <c r="V585" s="283"/>
      <c r="W585" s="283"/>
      <c r="X585" s="283"/>
      <c r="Y585" s="283"/>
      <c r="Z585" s="283"/>
    </row>
    <row r="586" ht="14.25" customHeight="1">
      <c r="A586" s="283"/>
      <c r="B586" s="283"/>
      <c r="C586" s="283"/>
      <c r="D586" s="283"/>
      <c r="E586" s="283"/>
      <c r="F586" s="283"/>
      <c r="G586" s="283"/>
      <c r="H586" s="283"/>
      <c r="I586" s="283"/>
      <c r="J586" s="283"/>
      <c r="K586" s="283"/>
      <c r="L586" s="283"/>
      <c r="M586" s="283"/>
      <c r="N586" s="283"/>
      <c r="O586" s="283"/>
      <c r="P586" s="283"/>
      <c r="Q586" s="283"/>
      <c r="R586" s="283"/>
      <c r="S586" s="283"/>
      <c r="T586" s="283"/>
      <c r="U586" s="283"/>
      <c r="V586" s="283"/>
      <c r="W586" s="283"/>
      <c r="X586" s="283"/>
      <c r="Y586" s="283"/>
      <c r="Z586" s="283"/>
    </row>
    <row r="587" ht="14.25" customHeight="1">
      <c r="A587" s="283"/>
      <c r="B587" s="283"/>
      <c r="C587" s="283"/>
      <c r="D587" s="283"/>
      <c r="E587" s="283"/>
      <c r="F587" s="283"/>
      <c r="G587" s="283"/>
      <c r="H587" s="283"/>
      <c r="I587" s="283"/>
      <c r="J587" s="283"/>
      <c r="K587" s="283"/>
      <c r="L587" s="283"/>
      <c r="M587" s="283"/>
      <c r="N587" s="283"/>
      <c r="O587" s="283"/>
      <c r="P587" s="283"/>
      <c r="Q587" s="283"/>
      <c r="R587" s="283"/>
      <c r="S587" s="283"/>
      <c r="T587" s="283"/>
      <c r="U587" s="283"/>
      <c r="V587" s="283"/>
      <c r="W587" s="283"/>
      <c r="X587" s="283"/>
      <c r="Y587" s="283"/>
      <c r="Z587" s="283"/>
    </row>
    <row r="588" ht="14.25" customHeight="1">
      <c r="A588" s="283"/>
      <c r="B588" s="283"/>
      <c r="C588" s="283"/>
      <c r="D588" s="283"/>
      <c r="E588" s="283"/>
      <c r="F588" s="283"/>
      <c r="G588" s="283"/>
      <c r="H588" s="283"/>
      <c r="I588" s="283"/>
      <c r="J588" s="283"/>
      <c r="K588" s="283"/>
      <c r="L588" s="283"/>
      <c r="M588" s="283"/>
      <c r="N588" s="283"/>
      <c r="O588" s="283"/>
      <c r="P588" s="283"/>
      <c r="Q588" s="283"/>
      <c r="R588" s="283"/>
      <c r="S588" s="283"/>
      <c r="T588" s="283"/>
      <c r="U588" s="283"/>
      <c r="V588" s="283"/>
      <c r="W588" s="283"/>
      <c r="X588" s="283"/>
      <c r="Y588" s="283"/>
      <c r="Z588" s="283"/>
    </row>
    <row r="589" ht="14.25" customHeight="1">
      <c r="A589" s="283"/>
      <c r="B589" s="283"/>
      <c r="C589" s="283"/>
      <c r="D589" s="283"/>
      <c r="E589" s="283"/>
      <c r="F589" s="283"/>
      <c r="G589" s="283"/>
      <c r="H589" s="283"/>
      <c r="I589" s="283"/>
      <c r="J589" s="283"/>
      <c r="K589" s="283"/>
      <c r="L589" s="283"/>
      <c r="M589" s="283"/>
      <c r="N589" s="283"/>
      <c r="O589" s="283"/>
      <c r="P589" s="283"/>
      <c r="Q589" s="283"/>
      <c r="R589" s="283"/>
      <c r="S589" s="283"/>
      <c r="T589" s="283"/>
      <c r="U589" s="283"/>
      <c r="V589" s="283"/>
      <c r="W589" s="283"/>
      <c r="X589" s="283"/>
      <c r="Y589" s="283"/>
      <c r="Z589" s="283"/>
    </row>
    <row r="590" ht="14.25" customHeight="1">
      <c r="A590" s="283"/>
      <c r="B590" s="283"/>
      <c r="C590" s="283"/>
      <c r="D590" s="283"/>
      <c r="E590" s="283"/>
      <c r="F590" s="283"/>
      <c r="G590" s="283"/>
      <c r="H590" s="283"/>
      <c r="I590" s="283"/>
      <c r="J590" s="283"/>
      <c r="K590" s="283"/>
      <c r="L590" s="283"/>
      <c r="M590" s="283"/>
      <c r="N590" s="283"/>
      <c r="O590" s="283"/>
      <c r="P590" s="283"/>
      <c r="Q590" s="283"/>
      <c r="R590" s="283"/>
      <c r="S590" s="283"/>
      <c r="T590" s="283"/>
      <c r="U590" s="283"/>
      <c r="V590" s="283"/>
      <c r="W590" s="283"/>
      <c r="X590" s="283"/>
      <c r="Y590" s="283"/>
      <c r="Z590" s="283"/>
    </row>
    <row r="591" ht="14.25" customHeight="1">
      <c r="A591" s="283"/>
      <c r="B591" s="283"/>
      <c r="C591" s="283"/>
      <c r="D591" s="283"/>
      <c r="E591" s="283"/>
      <c r="F591" s="283"/>
      <c r="G591" s="283"/>
      <c r="H591" s="283"/>
      <c r="I591" s="283"/>
      <c r="J591" s="283"/>
      <c r="K591" s="283"/>
      <c r="L591" s="283"/>
      <c r="M591" s="283"/>
      <c r="N591" s="283"/>
      <c r="O591" s="283"/>
      <c r="P591" s="283"/>
      <c r="Q591" s="283"/>
      <c r="R591" s="283"/>
      <c r="S591" s="283"/>
      <c r="T591" s="283"/>
      <c r="U591" s="283"/>
      <c r="V591" s="283"/>
      <c r="W591" s="283"/>
      <c r="X591" s="283"/>
      <c r="Y591" s="283"/>
      <c r="Z591" s="283"/>
    </row>
    <row r="592" ht="14.25" customHeight="1">
      <c r="A592" s="283"/>
      <c r="B592" s="283"/>
      <c r="C592" s="283"/>
      <c r="D592" s="283"/>
      <c r="E592" s="283"/>
      <c r="F592" s="283"/>
      <c r="G592" s="283"/>
      <c r="H592" s="283"/>
      <c r="I592" s="283"/>
      <c r="J592" s="283"/>
      <c r="K592" s="283"/>
      <c r="L592" s="283"/>
      <c r="M592" s="283"/>
      <c r="N592" s="283"/>
      <c r="O592" s="283"/>
      <c r="P592" s="283"/>
      <c r="Q592" s="283"/>
      <c r="R592" s="283"/>
      <c r="S592" s="283"/>
      <c r="T592" s="283"/>
      <c r="U592" s="283"/>
      <c r="V592" s="283"/>
      <c r="W592" s="283"/>
      <c r="X592" s="283"/>
      <c r="Y592" s="283"/>
      <c r="Z592" s="283"/>
    </row>
    <row r="593" ht="14.25" customHeight="1">
      <c r="A593" s="283"/>
      <c r="B593" s="283"/>
      <c r="C593" s="283"/>
      <c r="D593" s="283"/>
      <c r="E593" s="283"/>
      <c r="F593" s="283"/>
      <c r="G593" s="283"/>
      <c r="H593" s="283"/>
      <c r="I593" s="283"/>
      <c r="J593" s="283"/>
      <c r="K593" s="283"/>
      <c r="L593" s="283"/>
      <c r="M593" s="283"/>
      <c r="N593" s="283"/>
      <c r="O593" s="283"/>
      <c r="P593" s="283"/>
      <c r="Q593" s="283"/>
      <c r="R593" s="283"/>
      <c r="S593" s="283"/>
      <c r="T593" s="283"/>
      <c r="U593" s="283"/>
      <c r="V593" s="283"/>
      <c r="W593" s="283"/>
      <c r="X593" s="283"/>
      <c r="Y593" s="283"/>
      <c r="Z593" s="283"/>
    </row>
    <row r="594" ht="14.25" customHeight="1">
      <c r="A594" s="283"/>
      <c r="B594" s="283"/>
      <c r="C594" s="283"/>
      <c r="D594" s="283"/>
      <c r="E594" s="283"/>
      <c r="F594" s="283"/>
      <c r="G594" s="283"/>
      <c r="H594" s="283"/>
      <c r="I594" s="283"/>
      <c r="J594" s="283"/>
      <c r="K594" s="283"/>
      <c r="L594" s="283"/>
      <c r="M594" s="283"/>
      <c r="N594" s="283"/>
      <c r="O594" s="283"/>
      <c r="P594" s="283"/>
      <c r="Q594" s="283"/>
      <c r="R594" s="283"/>
      <c r="S594" s="283"/>
      <c r="T594" s="283"/>
      <c r="U594" s="283"/>
      <c r="V594" s="283"/>
      <c r="W594" s="283"/>
      <c r="X594" s="283"/>
      <c r="Y594" s="283"/>
      <c r="Z594" s="283"/>
    </row>
    <row r="595" ht="14.25" customHeight="1">
      <c r="A595" s="283"/>
      <c r="B595" s="283"/>
      <c r="C595" s="283"/>
      <c r="D595" s="283"/>
      <c r="E595" s="283"/>
      <c r="F595" s="283"/>
      <c r="G595" s="283"/>
      <c r="H595" s="283"/>
      <c r="I595" s="283"/>
      <c r="J595" s="283"/>
      <c r="K595" s="283"/>
      <c r="L595" s="283"/>
      <c r="M595" s="283"/>
      <c r="N595" s="283"/>
      <c r="O595" s="283"/>
      <c r="P595" s="283"/>
      <c r="Q595" s="283"/>
      <c r="R595" s="283"/>
      <c r="S595" s="283"/>
      <c r="T595" s="283"/>
      <c r="U595" s="283"/>
      <c r="V595" s="283"/>
      <c r="W595" s="283"/>
      <c r="X595" s="283"/>
      <c r="Y595" s="283"/>
      <c r="Z595" s="283"/>
    </row>
    <row r="596" ht="14.25" customHeight="1">
      <c r="A596" s="283"/>
      <c r="B596" s="283"/>
      <c r="C596" s="283"/>
      <c r="D596" s="283"/>
      <c r="E596" s="283"/>
      <c r="F596" s="283"/>
      <c r="G596" s="283"/>
      <c r="H596" s="283"/>
      <c r="I596" s="283"/>
      <c r="J596" s="283"/>
      <c r="K596" s="283"/>
      <c r="L596" s="283"/>
      <c r="M596" s="283"/>
      <c r="N596" s="283"/>
      <c r="O596" s="283"/>
      <c r="P596" s="283"/>
      <c r="Q596" s="283"/>
      <c r="R596" s="283"/>
      <c r="S596" s="283"/>
      <c r="T596" s="283"/>
      <c r="U596" s="283"/>
      <c r="V596" s="283"/>
      <c r="W596" s="283"/>
      <c r="X596" s="283"/>
      <c r="Y596" s="283"/>
      <c r="Z596" s="283"/>
    </row>
    <row r="597" ht="14.25" customHeight="1">
      <c r="A597" s="283"/>
      <c r="B597" s="283"/>
      <c r="C597" s="283"/>
      <c r="D597" s="283"/>
      <c r="E597" s="283"/>
      <c r="F597" s="283"/>
      <c r="G597" s="283"/>
      <c r="H597" s="283"/>
      <c r="I597" s="283"/>
      <c r="J597" s="283"/>
      <c r="K597" s="283"/>
      <c r="L597" s="283"/>
      <c r="M597" s="283"/>
      <c r="N597" s="283"/>
      <c r="O597" s="283"/>
      <c r="P597" s="283"/>
      <c r="Q597" s="283"/>
      <c r="R597" s="283"/>
      <c r="S597" s="283"/>
      <c r="T597" s="283"/>
      <c r="U597" s="283"/>
      <c r="V597" s="283"/>
      <c r="W597" s="283"/>
      <c r="X597" s="283"/>
      <c r="Y597" s="283"/>
      <c r="Z597" s="283"/>
    </row>
    <row r="598" ht="14.25" customHeight="1">
      <c r="A598" s="283"/>
      <c r="B598" s="283"/>
      <c r="C598" s="283"/>
      <c r="D598" s="283"/>
      <c r="E598" s="283"/>
      <c r="F598" s="283"/>
      <c r="G598" s="283"/>
      <c r="H598" s="283"/>
      <c r="I598" s="283"/>
      <c r="J598" s="283"/>
      <c r="K598" s="283"/>
      <c r="L598" s="283"/>
      <c r="M598" s="283"/>
      <c r="N598" s="283"/>
      <c r="O598" s="283"/>
      <c r="P598" s="283"/>
      <c r="Q598" s="283"/>
      <c r="R598" s="283"/>
      <c r="S598" s="283"/>
      <c r="T598" s="283"/>
      <c r="U598" s="283"/>
      <c r="V598" s="283"/>
      <c r="W598" s="283"/>
      <c r="X598" s="283"/>
      <c r="Y598" s="283"/>
      <c r="Z598" s="283"/>
    </row>
    <row r="599" ht="14.25" customHeight="1">
      <c r="A599" s="283"/>
      <c r="B599" s="283"/>
      <c r="C599" s="283"/>
      <c r="D599" s="283"/>
      <c r="E599" s="283"/>
      <c r="F599" s="283"/>
      <c r="G599" s="283"/>
      <c r="H599" s="283"/>
      <c r="I599" s="283"/>
      <c r="J599" s="283"/>
      <c r="K599" s="283"/>
      <c r="L599" s="283"/>
      <c r="M599" s="283"/>
      <c r="N599" s="283"/>
      <c r="O599" s="283"/>
      <c r="P599" s="283"/>
      <c r="Q599" s="283"/>
      <c r="R599" s="283"/>
      <c r="S599" s="283"/>
      <c r="T599" s="283"/>
      <c r="U599" s="283"/>
      <c r="V599" s="283"/>
      <c r="W599" s="283"/>
      <c r="X599" s="283"/>
      <c r="Y599" s="283"/>
      <c r="Z599" s="283"/>
    </row>
    <row r="600" ht="14.25" customHeight="1">
      <c r="A600" s="283"/>
      <c r="B600" s="283"/>
      <c r="C600" s="283"/>
      <c r="D600" s="283"/>
      <c r="E600" s="283"/>
      <c r="F600" s="283"/>
      <c r="G600" s="283"/>
      <c r="H600" s="283"/>
      <c r="I600" s="283"/>
      <c r="J600" s="283"/>
      <c r="K600" s="283"/>
      <c r="L600" s="283"/>
      <c r="M600" s="283"/>
      <c r="N600" s="283"/>
      <c r="O600" s="283"/>
      <c r="P600" s="283"/>
      <c r="Q600" s="283"/>
      <c r="R600" s="283"/>
      <c r="S600" s="283"/>
      <c r="T600" s="283"/>
      <c r="U600" s="283"/>
      <c r="V600" s="283"/>
      <c r="W600" s="283"/>
      <c r="X600" s="283"/>
      <c r="Y600" s="283"/>
      <c r="Z600" s="283"/>
    </row>
    <row r="601" ht="14.25" customHeight="1">
      <c r="A601" s="283"/>
      <c r="B601" s="283"/>
      <c r="C601" s="283"/>
      <c r="D601" s="283"/>
      <c r="E601" s="283"/>
      <c r="F601" s="283"/>
      <c r="G601" s="283"/>
      <c r="H601" s="283"/>
      <c r="I601" s="283"/>
      <c r="J601" s="283"/>
      <c r="K601" s="283"/>
      <c r="L601" s="283"/>
      <c r="M601" s="283"/>
      <c r="N601" s="283"/>
      <c r="O601" s="283"/>
      <c r="P601" s="283"/>
      <c r="Q601" s="283"/>
      <c r="R601" s="283"/>
      <c r="S601" s="283"/>
      <c r="T601" s="283"/>
      <c r="U601" s="283"/>
      <c r="V601" s="283"/>
      <c r="W601" s="283"/>
      <c r="X601" s="283"/>
      <c r="Y601" s="283"/>
      <c r="Z601" s="283"/>
    </row>
    <row r="602" ht="14.25" customHeight="1">
      <c r="A602" s="283"/>
      <c r="B602" s="283"/>
      <c r="C602" s="283"/>
      <c r="D602" s="283"/>
      <c r="E602" s="283"/>
      <c r="F602" s="283"/>
      <c r="G602" s="283"/>
      <c r="H602" s="283"/>
      <c r="I602" s="283"/>
      <c r="J602" s="283"/>
      <c r="K602" s="283"/>
      <c r="L602" s="283"/>
      <c r="M602" s="283"/>
      <c r="N602" s="283"/>
      <c r="O602" s="283"/>
      <c r="P602" s="283"/>
      <c r="Q602" s="283"/>
      <c r="R602" s="283"/>
      <c r="S602" s="283"/>
      <c r="T602" s="283"/>
      <c r="U602" s="283"/>
      <c r="V602" s="283"/>
      <c r="W602" s="283"/>
      <c r="X602" s="283"/>
      <c r="Y602" s="283"/>
      <c r="Z602" s="283"/>
    </row>
    <row r="603" ht="14.25" customHeight="1">
      <c r="A603" s="283"/>
      <c r="B603" s="283"/>
      <c r="C603" s="283"/>
      <c r="D603" s="283"/>
      <c r="E603" s="283"/>
      <c r="F603" s="283"/>
      <c r="G603" s="283"/>
      <c r="H603" s="283"/>
      <c r="I603" s="283"/>
      <c r="J603" s="283"/>
      <c r="K603" s="283"/>
      <c r="L603" s="283"/>
      <c r="M603" s="283"/>
      <c r="N603" s="283"/>
      <c r="O603" s="283"/>
      <c r="P603" s="283"/>
      <c r="Q603" s="283"/>
      <c r="R603" s="283"/>
      <c r="S603" s="283"/>
      <c r="T603" s="283"/>
      <c r="U603" s="283"/>
      <c r="V603" s="283"/>
      <c r="W603" s="283"/>
      <c r="X603" s="283"/>
      <c r="Y603" s="283"/>
      <c r="Z603" s="283"/>
    </row>
    <row r="604" ht="14.25" customHeight="1">
      <c r="A604" s="283"/>
      <c r="B604" s="283"/>
      <c r="C604" s="283"/>
      <c r="D604" s="283"/>
      <c r="E604" s="283"/>
      <c r="F604" s="283"/>
      <c r="G604" s="283"/>
      <c r="H604" s="283"/>
      <c r="I604" s="283"/>
      <c r="J604" s="283"/>
      <c r="K604" s="283"/>
      <c r="L604" s="283"/>
      <c r="M604" s="283"/>
      <c r="N604" s="283"/>
      <c r="O604" s="283"/>
      <c r="P604" s="283"/>
      <c r="Q604" s="283"/>
      <c r="R604" s="283"/>
      <c r="S604" s="283"/>
      <c r="T604" s="283"/>
      <c r="U604" s="283"/>
      <c r="V604" s="283"/>
      <c r="W604" s="283"/>
      <c r="X604" s="283"/>
      <c r="Y604" s="283"/>
      <c r="Z604" s="283"/>
    </row>
    <row r="605" ht="14.25" customHeight="1">
      <c r="A605" s="283"/>
      <c r="B605" s="283"/>
      <c r="C605" s="283"/>
      <c r="D605" s="283"/>
      <c r="E605" s="283"/>
      <c r="F605" s="283"/>
      <c r="G605" s="283"/>
      <c r="H605" s="283"/>
      <c r="I605" s="283"/>
      <c r="J605" s="283"/>
      <c r="K605" s="283"/>
      <c r="L605" s="283"/>
      <c r="M605" s="283"/>
      <c r="N605" s="283"/>
      <c r="O605" s="283"/>
      <c r="P605" s="283"/>
      <c r="Q605" s="283"/>
      <c r="R605" s="283"/>
      <c r="S605" s="283"/>
      <c r="T605" s="283"/>
      <c r="U605" s="283"/>
      <c r="V605" s="283"/>
      <c r="W605" s="283"/>
      <c r="X605" s="283"/>
      <c r="Y605" s="283"/>
      <c r="Z605" s="283"/>
    </row>
    <row r="606" ht="14.25" customHeight="1">
      <c r="A606" s="283"/>
      <c r="B606" s="283"/>
      <c r="C606" s="283"/>
      <c r="D606" s="283"/>
      <c r="E606" s="283"/>
      <c r="F606" s="283"/>
      <c r="G606" s="283"/>
      <c r="H606" s="283"/>
      <c r="I606" s="283"/>
      <c r="J606" s="283"/>
      <c r="K606" s="283"/>
      <c r="L606" s="283"/>
      <c r="M606" s="283"/>
      <c r="N606" s="283"/>
      <c r="O606" s="283"/>
      <c r="P606" s="283"/>
      <c r="Q606" s="283"/>
      <c r="R606" s="283"/>
      <c r="S606" s="283"/>
      <c r="T606" s="283"/>
      <c r="U606" s="283"/>
      <c r="V606" s="283"/>
      <c r="W606" s="283"/>
      <c r="X606" s="283"/>
      <c r="Y606" s="283"/>
      <c r="Z606" s="283"/>
    </row>
    <row r="607" ht="14.25" customHeight="1">
      <c r="A607" s="283"/>
      <c r="B607" s="283"/>
      <c r="C607" s="283"/>
      <c r="D607" s="283"/>
      <c r="E607" s="283"/>
      <c r="F607" s="283"/>
      <c r="G607" s="283"/>
      <c r="H607" s="283"/>
      <c r="I607" s="283"/>
      <c r="J607" s="283"/>
      <c r="K607" s="283"/>
      <c r="L607" s="283"/>
      <c r="M607" s="283"/>
      <c r="N607" s="283"/>
      <c r="O607" s="283"/>
      <c r="P607" s="283"/>
      <c r="Q607" s="283"/>
      <c r="R607" s="283"/>
      <c r="S607" s="283"/>
      <c r="T607" s="283"/>
      <c r="U607" s="283"/>
      <c r="V607" s="283"/>
      <c r="W607" s="283"/>
      <c r="X607" s="283"/>
      <c r="Y607" s="283"/>
      <c r="Z607" s="283"/>
    </row>
    <row r="608" ht="14.25" customHeight="1">
      <c r="A608" s="283"/>
      <c r="B608" s="283"/>
      <c r="C608" s="283"/>
      <c r="D608" s="283"/>
      <c r="E608" s="283"/>
      <c r="F608" s="283"/>
      <c r="G608" s="283"/>
      <c r="H608" s="283"/>
      <c r="I608" s="283"/>
      <c r="J608" s="283"/>
      <c r="K608" s="283"/>
      <c r="L608" s="283"/>
      <c r="M608" s="283"/>
      <c r="N608" s="283"/>
      <c r="O608" s="283"/>
      <c r="P608" s="283"/>
      <c r="Q608" s="283"/>
      <c r="R608" s="283"/>
      <c r="S608" s="283"/>
      <c r="T608" s="283"/>
      <c r="U608" s="283"/>
      <c r="V608" s="283"/>
      <c r="W608" s="283"/>
      <c r="X608" s="283"/>
      <c r="Y608" s="283"/>
      <c r="Z608" s="283"/>
    </row>
    <row r="609" ht="14.25" customHeight="1">
      <c r="A609" s="283"/>
      <c r="B609" s="283"/>
      <c r="C609" s="283"/>
      <c r="D609" s="283"/>
      <c r="E609" s="283"/>
      <c r="F609" s="283"/>
      <c r="G609" s="283"/>
      <c r="H609" s="283"/>
      <c r="I609" s="283"/>
      <c r="J609" s="283"/>
      <c r="K609" s="283"/>
      <c r="L609" s="283"/>
      <c r="M609" s="283"/>
      <c r="N609" s="283"/>
      <c r="O609" s="283"/>
      <c r="P609" s="283"/>
      <c r="Q609" s="283"/>
      <c r="R609" s="283"/>
      <c r="S609" s="283"/>
      <c r="T609" s="283"/>
      <c r="U609" s="283"/>
      <c r="V609" s="283"/>
      <c r="W609" s="283"/>
      <c r="X609" s="283"/>
      <c r="Y609" s="283"/>
      <c r="Z609" s="283"/>
    </row>
    <row r="610" ht="14.25" customHeight="1">
      <c r="A610" s="283"/>
      <c r="B610" s="283"/>
      <c r="C610" s="283"/>
      <c r="D610" s="283"/>
      <c r="E610" s="283"/>
      <c r="F610" s="283"/>
      <c r="G610" s="283"/>
      <c r="H610" s="283"/>
      <c r="I610" s="283"/>
      <c r="J610" s="283"/>
      <c r="K610" s="283"/>
      <c r="L610" s="283"/>
      <c r="M610" s="283"/>
      <c r="N610" s="283"/>
      <c r="O610" s="283"/>
      <c r="P610" s="283"/>
      <c r="Q610" s="283"/>
      <c r="R610" s="283"/>
      <c r="S610" s="283"/>
      <c r="T610" s="283"/>
      <c r="U610" s="283"/>
      <c r="V610" s="283"/>
      <c r="W610" s="283"/>
      <c r="X610" s="283"/>
      <c r="Y610" s="283"/>
      <c r="Z610" s="283"/>
    </row>
    <row r="611" ht="14.25" customHeight="1">
      <c r="A611" s="283"/>
      <c r="B611" s="283"/>
      <c r="C611" s="283"/>
      <c r="D611" s="283"/>
      <c r="E611" s="283"/>
      <c r="F611" s="283"/>
      <c r="G611" s="283"/>
      <c r="H611" s="283"/>
      <c r="I611" s="283"/>
      <c r="J611" s="283"/>
      <c r="K611" s="283"/>
      <c r="L611" s="283"/>
      <c r="M611" s="283"/>
      <c r="N611" s="283"/>
      <c r="O611" s="283"/>
      <c r="P611" s="283"/>
      <c r="Q611" s="283"/>
      <c r="R611" s="283"/>
      <c r="S611" s="283"/>
      <c r="T611" s="283"/>
      <c r="U611" s="283"/>
      <c r="V611" s="283"/>
      <c r="W611" s="283"/>
      <c r="X611" s="283"/>
      <c r="Y611" s="283"/>
      <c r="Z611" s="283"/>
    </row>
    <row r="612" ht="14.25" customHeight="1">
      <c r="A612" s="283"/>
      <c r="B612" s="283"/>
      <c r="C612" s="283"/>
      <c r="D612" s="283"/>
      <c r="E612" s="283"/>
      <c r="F612" s="283"/>
      <c r="G612" s="283"/>
      <c r="H612" s="283"/>
      <c r="I612" s="283"/>
      <c r="J612" s="283"/>
      <c r="K612" s="283"/>
      <c r="L612" s="283"/>
      <c r="M612" s="283"/>
      <c r="N612" s="283"/>
      <c r="O612" s="283"/>
      <c r="P612" s="283"/>
      <c r="Q612" s="283"/>
      <c r="R612" s="283"/>
      <c r="S612" s="283"/>
      <c r="T612" s="283"/>
      <c r="U612" s="283"/>
      <c r="V612" s="283"/>
      <c r="W612" s="283"/>
      <c r="X612" s="283"/>
      <c r="Y612" s="283"/>
      <c r="Z612" s="283"/>
    </row>
    <row r="613" ht="14.25" customHeight="1">
      <c r="A613" s="283"/>
      <c r="B613" s="283"/>
      <c r="C613" s="283"/>
      <c r="D613" s="283"/>
      <c r="E613" s="283"/>
      <c r="F613" s="283"/>
      <c r="G613" s="283"/>
      <c r="H613" s="283"/>
      <c r="I613" s="283"/>
      <c r="J613" s="283"/>
      <c r="K613" s="283"/>
      <c r="L613" s="283"/>
      <c r="M613" s="283"/>
      <c r="N613" s="283"/>
      <c r="O613" s="283"/>
      <c r="P613" s="283"/>
      <c r="Q613" s="283"/>
      <c r="R613" s="283"/>
      <c r="S613" s="283"/>
      <c r="T613" s="283"/>
      <c r="U613" s="283"/>
      <c r="V613" s="283"/>
      <c r="W613" s="283"/>
      <c r="X613" s="283"/>
      <c r="Y613" s="283"/>
      <c r="Z613" s="283"/>
    </row>
    <row r="614" ht="14.25" customHeight="1">
      <c r="A614" s="283"/>
      <c r="B614" s="283"/>
      <c r="C614" s="283"/>
      <c r="D614" s="283"/>
      <c r="E614" s="283"/>
      <c r="F614" s="283"/>
      <c r="G614" s="283"/>
      <c r="H614" s="283"/>
      <c r="I614" s="283"/>
      <c r="J614" s="283"/>
      <c r="K614" s="283"/>
      <c r="L614" s="283"/>
      <c r="M614" s="283"/>
      <c r="N614" s="283"/>
      <c r="O614" s="283"/>
      <c r="P614" s="283"/>
      <c r="Q614" s="283"/>
      <c r="R614" s="283"/>
      <c r="S614" s="283"/>
      <c r="T614" s="283"/>
      <c r="U614" s="283"/>
      <c r="V614" s="283"/>
      <c r="W614" s="283"/>
      <c r="X614" s="283"/>
      <c r="Y614" s="283"/>
      <c r="Z614" s="283"/>
    </row>
    <row r="615" ht="14.25" customHeight="1">
      <c r="A615" s="283"/>
      <c r="B615" s="283"/>
      <c r="C615" s="283"/>
      <c r="D615" s="283"/>
      <c r="E615" s="283"/>
      <c r="F615" s="283"/>
      <c r="G615" s="283"/>
      <c r="H615" s="283"/>
      <c r="I615" s="283"/>
      <c r="J615" s="283"/>
      <c r="K615" s="283"/>
      <c r="L615" s="283"/>
      <c r="M615" s="283"/>
      <c r="N615" s="283"/>
      <c r="O615" s="283"/>
      <c r="P615" s="283"/>
      <c r="Q615" s="283"/>
      <c r="R615" s="283"/>
      <c r="S615" s="283"/>
      <c r="T615" s="283"/>
      <c r="U615" s="283"/>
      <c r="V615" s="283"/>
      <c r="W615" s="283"/>
      <c r="X615" s="283"/>
      <c r="Y615" s="283"/>
      <c r="Z615" s="283"/>
    </row>
    <row r="616" ht="14.25" customHeight="1">
      <c r="A616" s="283"/>
      <c r="B616" s="283"/>
      <c r="C616" s="283"/>
      <c r="D616" s="283"/>
      <c r="E616" s="283"/>
      <c r="F616" s="283"/>
      <c r="G616" s="283"/>
      <c r="H616" s="283"/>
      <c r="I616" s="283"/>
      <c r="J616" s="283"/>
      <c r="K616" s="283"/>
      <c r="L616" s="283"/>
      <c r="M616" s="283"/>
      <c r="N616" s="283"/>
      <c r="O616" s="283"/>
      <c r="P616" s="283"/>
      <c r="Q616" s="283"/>
      <c r="R616" s="283"/>
      <c r="S616" s="283"/>
      <c r="T616" s="283"/>
      <c r="U616" s="283"/>
      <c r="V616" s="283"/>
      <c r="W616" s="283"/>
      <c r="X616" s="283"/>
      <c r="Y616" s="283"/>
      <c r="Z616" s="283"/>
    </row>
    <row r="617" ht="14.25" customHeight="1">
      <c r="A617" s="283"/>
      <c r="B617" s="283"/>
      <c r="C617" s="283"/>
      <c r="D617" s="283"/>
      <c r="E617" s="283"/>
      <c r="F617" s="283"/>
      <c r="G617" s="283"/>
      <c r="H617" s="283"/>
      <c r="I617" s="283"/>
      <c r="J617" s="283"/>
      <c r="K617" s="283"/>
      <c r="L617" s="283"/>
      <c r="M617" s="283"/>
      <c r="N617" s="283"/>
      <c r="O617" s="283"/>
      <c r="P617" s="283"/>
      <c r="Q617" s="283"/>
      <c r="R617" s="283"/>
      <c r="S617" s="283"/>
      <c r="T617" s="283"/>
      <c r="U617" s="283"/>
      <c r="V617" s="283"/>
      <c r="W617" s="283"/>
      <c r="X617" s="283"/>
      <c r="Y617" s="283"/>
      <c r="Z617" s="283"/>
    </row>
    <row r="618" ht="14.25" customHeight="1">
      <c r="A618" s="283"/>
      <c r="B618" s="283"/>
      <c r="C618" s="283"/>
      <c r="D618" s="283"/>
      <c r="E618" s="283"/>
      <c r="F618" s="283"/>
      <c r="G618" s="283"/>
      <c r="H618" s="283"/>
      <c r="I618" s="283"/>
      <c r="J618" s="283"/>
      <c r="K618" s="283"/>
      <c r="L618" s="283"/>
      <c r="M618" s="283"/>
      <c r="N618" s="283"/>
      <c r="O618" s="283"/>
      <c r="P618" s="283"/>
      <c r="Q618" s="283"/>
      <c r="R618" s="283"/>
      <c r="S618" s="283"/>
      <c r="T618" s="283"/>
      <c r="U618" s="283"/>
      <c r="V618" s="283"/>
      <c r="W618" s="283"/>
      <c r="X618" s="283"/>
      <c r="Y618" s="283"/>
      <c r="Z618" s="283"/>
    </row>
    <row r="619" ht="14.25" customHeight="1">
      <c r="A619" s="283"/>
      <c r="B619" s="283"/>
      <c r="C619" s="283"/>
      <c r="D619" s="283"/>
      <c r="E619" s="283"/>
      <c r="F619" s="283"/>
      <c r="G619" s="283"/>
      <c r="H619" s="283"/>
      <c r="I619" s="283"/>
      <c r="J619" s="283"/>
      <c r="K619" s="283"/>
      <c r="L619" s="283"/>
      <c r="M619" s="283"/>
      <c r="N619" s="283"/>
      <c r="O619" s="283"/>
      <c r="P619" s="283"/>
      <c r="Q619" s="283"/>
      <c r="R619" s="283"/>
      <c r="S619" s="283"/>
      <c r="T619" s="283"/>
      <c r="U619" s="283"/>
      <c r="V619" s="283"/>
      <c r="W619" s="283"/>
      <c r="X619" s="283"/>
      <c r="Y619" s="283"/>
      <c r="Z619" s="283"/>
    </row>
    <row r="620" ht="14.25" customHeight="1">
      <c r="A620" s="283"/>
      <c r="B620" s="283"/>
      <c r="C620" s="283"/>
      <c r="D620" s="283"/>
      <c r="E620" s="283"/>
      <c r="F620" s="283"/>
      <c r="G620" s="283"/>
      <c r="H620" s="283"/>
      <c r="I620" s="283"/>
      <c r="J620" s="283"/>
      <c r="K620" s="283"/>
      <c r="L620" s="283"/>
      <c r="M620" s="283"/>
      <c r="N620" s="283"/>
      <c r="O620" s="283"/>
      <c r="P620" s="283"/>
      <c r="Q620" s="283"/>
      <c r="R620" s="283"/>
      <c r="S620" s="283"/>
      <c r="T620" s="283"/>
      <c r="U620" s="283"/>
      <c r="V620" s="283"/>
      <c r="W620" s="283"/>
      <c r="X620" s="283"/>
      <c r="Y620" s="283"/>
      <c r="Z620" s="283"/>
    </row>
    <row r="621" ht="14.25" customHeight="1">
      <c r="A621" s="283"/>
      <c r="B621" s="283"/>
      <c r="C621" s="283"/>
      <c r="D621" s="283"/>
      <c r="E621" s="283"/>
      <c r="F621" s="283"/>
      <c r="G621" s="283"/>
      <c r="H621" s="283"/>
      <c r="I621" s="283"/>
      <c r="J621" s="283"/>
      <c r="K621" s="283"/>
      <c r="L621" s="283"/>
      <c r="M621" s="283"/>
      <c r="N621" s="283"/>
      <c r="O621" s="283"/>
      <c r="P621" s="283"/>
      <c r="Q621" s="283"/>
      <c r="R621" s="283"/>
      <c r="S621" s="283"/>
      <c r="T621" s="283"/>
      <c r="U621" s="283"/>
      <c r="V621" s="283"/>
      <c r="W621" s="283"/>
      <c r="X621" s="283"/>
      <c r="Y621" s="283"/>
      <c r="Z621" s="283"/>
    </row>
    <row r="622" ht="14.25" customHeight="1">
      <c r="A622" s="283"/>
      <c r="B622" s="283"/>
      <c r="C622" s="283"/>
      <c r="D622" s="283"/>
      <c r="E622" s="283"/>
      <c r="F622" s="283"/>
      <c r="G622" s="283"/>
      <c r="H622" s="283"/>
      <c r="I622" s="283"/>
      <c r="J622" s="283"/>
      <c r="K622" s="283"/>
      <c r="L622" s="283"/>
      <c r="M622" s="283"/>
      <c r="N622" s="283"/>
      <c r="O622" s="283"/>
      <c r="P622" s="283"/>
      <c r="Q622" s="283"/>
      <c r="R622" s="283"/>
      <c r="S622" s="283"/>
      <c r="T622" s="283"/>
      <c r="U622" s="283"/>
      <c r="V622" s="283"/>
      <c r="W622" s="283"/>
      <c r="X622" s="283"/>
      <c r="Y622" s="283"/>
      <c r="Z622" s="283"/>
    </row>
    <row r="623" ht="14.25" customHeight="1">
      <c r="A623" s="283"/>
      <c r="B623" s="283"/>
      <c r="C623" s="283"/>
      <c r="D623" s="283"/>
      <c r="E623" s="283"/>
      <c r="F623" s="283"/>
      <c r="G623" s="283"/>
      <c r="H623" s="283"/>
      <c r="I623" s="283"/>
      <c r="J623" s="283"/>
      <c r="K623" s="283"/>
      <c r="L623" s="283"/>
      <c r="M623" s="283"/>
      <c r="N623" s="283"/>
      <c r="O623" s="283"/>
      <c r="P623" s="283"/>
      <c r="Q623" s="283"/>
      <c r="R623" s="283"/>
      <c r="S623" s="283"/>
      <c r="T623" s="283"/>
      <c r="U623" s="283"/>
      <c r="V623" s="283"/>
      <c r="W623" s="283"/>
      <c r="X623" s="283"/>
      <c r="Y623" s="283"/>
      <c r="Z623" s="283"/>
    </row>
    <row r="624" ht="14.25" customHeight="1">
      <c r="A624" s="283"/>
      <c r="B624" s="283"/>
      <c r="C624" s="283"/>
      <c r="D624" s="283"/>
      <c r="E624" s="283"/>
      <c r="F624" s="283"/>
      <c r="G624" s="283"/>
      <c r="H624" s="283"/>
      <c r="I624" s="283"/>
      <c r="J624" s="283"/>
      <c r="K624" s="283"/>
      <c r="L624" s="283"/>
      <c r="M624" s="283"/>
      <c r="N624" s="283"/>
      <c r="O624" s="283"/>
      <c r="P624" s="283"/>
      <c r="Q624" s="283"/>
      <c r="R624" s="283"/>
      <c r="S624" s="283"/>
      <c r="T624" s="283"/>
      <c r="U624" s="283"/>
      <c r="V624" s="283"/>
      <c r="W624" s="283"/>
      <c r="X624" s="283"/>
      <c r="Y624" s="283"/>
      <c r="Z624" s="283"/>
    </row>
    <row r="625" ht="14.25" customHeight="1">
      <c r="A625" s="283"/>
      <c r="B625" s="283"/>
      <c r="C625" s="283"/>
      <c r="D625" s="283"/>
      <c r="E625" s="283"/>
      <c r="F625" s="283"/>
      <c r="G625" s="283"/>
      <c r="H625" s="283"/>
      <c r="I625" s="283"/>
      <c r="J625" s="283"/>
      <c r="K625" s="283"/>
      <c r="L625" s="283"/>
      <c r="M625" s="283"/>
      <c r="N625" s="283"/>
      <c r="O625" s="283"/>
      <c r="P625" s="283"/>
      <c r="Q625" s="283"/>
      <c r="R625" s="283"/>
      <c r="S625" s="283"/>
      <c r="T625" s="283"/>
      <c r="U625" s="283"/>
      <c r="V625" s="283"/>
      <c r="W625" s="283"/>
      <c r="X625" s="283"/>
      <c r="Y625" s="283"/>
      <c r="Z625" s="283"/>
    </row>
    <row r="626" ht="14.25" customHeight="1">
      <c r="A626" s="283"/>
      <c r="B626" s="283"/>
      <c r="C626" s="283"/>
      <c r="D626" s="283"/>
      <c r="E626" s="283"/>
      <c r="F626" s="283"/>
      <c r="G626" s="283"/>
      <c r="H626" s="283"/>
      <c r="I626" s="283"/>
      <c r="J626" s="283"/>
      <c r="K626" s="283"/>
      <c r="L626" s="283"/>
      <c r="M626" s="283"/>
      <c r="N626" s="283"/>
      <c r="O626" s="283"/>
      <c r="P626" s="283"/>
      <c r="Q626" s="283"/>
      <c r="R626" s="283"/>
      <c r="S626" s="283"/>
      <c r="T626" s="283"/>
      <c r="U626" s="283"/>
      <c r="V626" s="283"/>
      <c r="W626" s="283"/>
      <c r="X626" s="283"/>
      <c r="Y626" s="283"/>
      <c r="Z626" s="283"/>
    </row>
    <row r="627" ht="14.25" customHeight="1">
      <c r="A627" s="283"/>
      <c r="B627" s="283"/>
      <c r="C627" s="283"/>
      <c r="D627" s="283"/>
      <c r="E627" s="283"/>
      <c r="F627" s="283"/>
      <c r="G627" s="283"/>
      <c r="H627" s="283"/>
      <c r="I627" s="283"/>
      <c r="J627" s="283"/>
      <c r="K627" s="283"/>
      <c r="L627" s="283"/>
      <c r="M627" s="283"/>
      <c r="N627" s="283"/>
      <c r="O627" s="283"/>
      <c r="P627" s="283"/>
      <c r="Q627" s="283"/>
      <c r="R627" s="283"/>
      <c r="S627" s="283"/>
      <c r="T627" s="283"/>
      <c r="U627" s="283"/>
      <c r="V627" s="283"/>
      <c r="W627" s="283"/>
      <c r="X627" s="283"/>
      <c r="Y627" s="283"/>
      <c r="Z627" s="283"/>
    </row>
    <row r="628" ht="14.25" customHeight="1">
      <c r="A628" s="283"/>
      <c r="B628" s="283"/>
      <c r="C628" s="283"/>
      <c r="D628" s="283"/>
      <c r="E628" s="283"/>
      <c r="F628" s="283"/>
      <c r="G628" s="283"/>
      <c r="H628" s="283"/>
      <c r="I628" s="283"/>
      <c r="J628" s="283"/>
      <c r="K628" s="283"/>
      <c r="L628" s="283"/>
      <c r="M628" s="283"/>
      <c r="N628" s="283"/>
      <c r="O628" s="283"/>
      <c r="P628" s="283"/>
      <c r="Q628" s="283"/>
      <c r="R628" s="283"/>
      <c r="S628" s="283"/>
      <c r="T628" s="283"/>
      <c r="U628" s="283"/>
      <c r="V628" s="283"/>
      <c r="W628" s="283"/>
      <c r="X628" s="283"/>
      <c r="Y628" s="283"/>
      <c r="Z628" s="283"/>
    </row>
    <row r="629" ht="14.25" customHeight="1">
      <c r="A629" s="283"/>
      <c r="B629" s="283"/>
      <c r="C629" s="283"/>
      <c r="D629" s="283"/>
      <c r="E629" s="283"/>
      <c r="F629" s="283"/>
      <c r="G629" s="283"/>
      <c r="H629" s="283"/>
      <c r="I629" s="283"/>
      <c r="J629" s="283"/>
      <c r="K629" s="283"/>
      <c r="L629" s="283"/>
      <c r="M629" s="283"/>
      <c r="N629" s="283"/>
      <c r="O629" s="283"/>
      <c r="P629" s="283"/>
      <c r="Q629" s="283"/>
      <c r="R629" s="283"/>
      <c r="S629" s="283"/>
      <c r="T629" s="283"/>
      <c r="U629" s="283"/>
      <c r="V629" s="283"/>
      <c r="W629" s="283"/>
      <c r="X629" s="283"/>
      <c r="Y629" s="283"/>
      <c r="Z629" s="283"/>
    </row>
    <row r="630" ht="14.25" customHeight="1">
      <c r="A630" s="283"/>
      <c r="B630" s="283"/>
      <c r="C630" s="283"/>
      <c r="D630" s="283"/>
      <c r="E630" s="283"/>
      <c r="F630" s="283"/>
      <c r="G630" s="283"/>
      <c r="H630" s="283"/>
      <c r="I630" s="283"/>
      <c r="J630" s="283"/>
      <c r="K630" s="283"/>
      <c r="L630" s="283"/>
      <c r="M630" s="283"/>
      <c r="N630" s="283"/>
      <c r="O630" s="283"/>
      <c r="P630" s="283"/>
      <c r="Q630" s="283"/>
      <c r="R630" s="283"/>
      <c r="S630" s="283"/>
      <c r="T630" s="283"/>
      <c r="U630" s="283"/>
      <c r="V630" s="283"/>
      <c r="W630" s="283"/>
      <c r="X630" s="283"/>
      <c r="Y630" s="283"/>
      <c r="Z630" s="283"/>
    </row>
    <row r="631" ht="14.25" customHeight="1">
      <c r="A631" s="283"/>
      <c r="B631" s="283"/>
      <c r="C631" s="283"/>
      <c r="D631" s="283"/>
      <c r="E631" s="283"/>
      <c r="F631" s="283"/>
      <c r="G631" s="283"/>
      <c r="H631" s="283"/>
      <c r="I631" s="283"/>
      <c r="J631" s="283"/>
      <c r="K631" s="283"/>
      <c r="L631" s="283"/>
      <c r="M631" s="283"/>
      <c r="N631" s="283"/>
      <c r="O631" s="283"/>
      <c r="P631" s="283"/>
      <c r="Q631" s="283"/>
      <c r="R631" s="283"/>
      <c r="S631" s="283"/>
      <c r="T631" s="283"/>
      <c r="U631" s="283"/>
      <c r="V631" s="283"/>
      <c r="W631" s="283"/>
      <c r="X631" s="283"/>
      <c r="Y631" s="283"/>
      <c r="Z631" s="283"/>
    </row>
    <row r="632" ht="14.25" customHeight="1">
      <c r="A632" s="283"/>
      <c r="B632" s="283"/>
      <c r="C632" s="283"/>
      <c r="D632" s="283"/>
      <c r="E632" s="283"/>
      <c r="F632" s="283"/>
      <c r="G632" s="283"/>
      <c r="H632" s="283"/>
      <c r="I632" s="283"/>
      <c r="J632" s="283"/>
      <c r="K632" s="283"/>
      <c r="L632" s="283"/>
      <c r="M632" s="283"/>
      <c r="N632" s="283"/>
      <c r="O632" s="283"/>
      <c r="P632" s="283"/>
      <c r="Q632" s="283"/>
      <c r="R632" s="283"/>
      <c r="S632" s="283"/>
      <c r="T632" s="283"/>
      <c r="U632" s="283"/>
      <c r="V632" s="283"/>
      <c r="W632" s="283"/>
      <c r="X632" s="283"/>
      <c r="Y632" s="283"/>
      <c r="Z632" s="283"/>
    </row>
    <row r="633" ht="14.25" customHeight="1">
      <c r="A633" s="283"/>
      <c r="B633" s="283"/>
      <c r="C633" s="283"/>
      <c r="D633" s="283"/>
      <c r="E633" s="283"/>
      <c r="F633" s="283"/>
      <c r="G633" s="283"/>
      <c r="H633" s="283"/>
      <c r="I633" s="283"/>
      <c r="J633" s="283"/>
      <c r="K633" s="283"/>
      <c r="L633" s="283"/>
      <c r="M633" s="283"/>
      <c r="N633" s="283"/>
      <c r="O633" s="283"/>
      <c r="P633" s="283"/>
      <c r="Q633" s="283"/>
      <c r="R633" s="283"/>
      <c r="S633" s="283"/>
      <c r="T633" s="283"/>
      <c r="U633" s="283"/>
      <c r="V633" s="283"/>
      <c r="W633" s="283"/>
      <c r="X633" s="283"/>
      <c r="Y633" s="283"/>
      <c r="Z633" s="283"/>
    </row>
    <row r="634" ht="14.25" customHeight="1">
      <c r="A634" s="283"/>
      <c r="B634" s="283"/>
      <c r="C634" s="283"/>
      <c r="D634" s="283"/>
      <c r="E634" s="283"/>
      <c r="F634" s="283"/>
      <c r="G634" s="283"/>
      <c r="H634" s="283"/>
      <c r="I634" s="283"/>
      <c r="J634" s="283"/>
      <c r="K634" s="283"/>
      <c r="L634" s="283"/>
      <c r="M634" s="283"/>
      <c r="N634" s="283"/>
      <c r="O634" s="283"/>
      <c r="P634" s="283"/>
      <c r="Q634" s="283"/>
      <c r="R634" s="283"/>
      <c r="S634" s="283"/>
      <c r="T634" s="283"/>
      <c r="U634" s="283"/>
      <c r="V634" s="283"/>
      <c r="W634" s="283"/>
      <c r="X634" s="283"/>
      <c r="Y634" s="283"/>
      <c r="Z634" s="283"/>
    </row>
    <row r="635" ht="14.25" customHeight="1">
      <c r="A635" s="283"/>
      <c r="B635" s="283"/>
      <c r="C635" s="283"/>
      <c r="D635" s="283"/>
      <c r="E635" s="283"/>
      <c r="F635" s="283"/>
      <c r="G635" s="283"/>
      <c r="H635" s="283"/>
      <c r="I635" s="283"/>
      <c r="J635" s="283"/>
      <c r="K635" s="283"/>
      <c r="L635" s="283"/>
      <c r="M635" s="283"/>
      <c r="N635" s="283"/>
      <c r="O635" s="283"/>
      <c r="P635" s="283"/>
      <c r="Q635" s="283"/>
      <c r="R635" s="283"/>
      <c r="S635" s="283"/>
      <c r="T635" s="283"/>
      <c r="U635" s="283"/>
      <c r="V635" s="283"/>
      <c r="W635" s="283"/>
      <c r="X635" s="283"/>
      <c r="Y635" s="283"/>
      <c r="Z635" s="283"/>
    </row>
    <row r="636" ht="14.25" customHeight="1">
      <c r="A636" s="283"/>
      <c r="B636" s="283"/>
      <c r="C636" s="283"/>
      <c r="D636" s="283"/>
      <c r="E636" s="283"/>
      <c r="F636" s="283"/>
      <c r="G636" s="283"/>
      <c r="H636" s="283"/>
      <c r="I636" s="283"/>
      <c r="J636" s="283"/>
      <c r="K636" s="283"/>
      <c r="L636" s="283"/>
      <c r="M636" s="283"/>
      <c r="N636" s="283"/>
      <c r="O636" s="283"/>
      <c r="P636" s="283"/>
      <c r="Q636" s="283"/>
      <c r="R636" s="283"/>
      <c r="S636" s="283"/>
      <c r="T636" s="283"/>
      <c r="U636" s="283"/>
      <c r="V636" s="283"/>
      <c r="W636" s="283"/>
      <c r="X636" s="283"/>
      <c r="Y636" s="283"/>
      <c r="Z636" s="283"/>
    </row>
    <row r="637" ht="14.25" customHeight="1">
      <c r="A637" s="283"/>
      <c r="B637" s="283"/>
      <c r="C637" s="283"/>
      <c r="D637" s="283"/>
      <c r="E637" s="283"/>
      <c r="F637" s="283"/>
      <c r="G637" s="283"/>
      <c r="H637" s="283"/>
      <c r="I637" s="283"/>
      <c r="J637" s="283"/>
      <c r="K637" s="283"/>
      <c r="L637" s="283"/>
      <c r="M637" s="283"/>
      <c r="N637" s="283"/>
      <c r="O637" s="283"/>
      <c r="P637" s="283"/>
      <c r="Q637" s="283"/>
      <c r="R637" s="283"/>
      <c r="S637" s="283"/>
      <c r="T637" s="283"/>
      <c r="U637" s="283"/>
      <c r="V637" s="283"/>
      <c r="W637" s="283"/>
      <c r="X637" s="283"/>
      <c r="Y637" s="283"/>
      <c r="Z637" s="283"/>
    </row>
    <row r="638" ht="14.25" customHeight="1">
      <c r="A638" s="283"/>
      <c r="B638" s="283"/>
      <c r="C638" s="283"/>
      <c r="D638" s="283"/>
      <c r="E638" s="283"/>
      <c r="F638" s="283"/>
      <c r="G638" s="283"/>
      <c r="H638" s="283"/>
      <c r="I638" s="283"/>
      <c r="J638" s="283"/>
      <c r="K638" s="283"/>
      <c r="L638" s="283"/>
      <c r="M638" s="283"/>
      <c r="N638" s="283"/>
      <c r="O638" s="283"/>
      <c r="P638" s="283"/>
      <c r="Q638" s="283"/>
      <c r="R638" s="283"/>
      <c r="S638" s="283"/>
      <c r="T638" s="283"/>
      <c r="U638" s="283"/>
      <c r="V638" s="283"/>
      <c r="W638" s="283"/>
      <c r="X638" s="283"/>
      <c r="Y638" s="283"/>
      <c r="Z638" s="283"/>
    </row>
    <row r="639" ht="14.25" customHeight="1">
      <c r="A639" s="283"/>
      <c r="B639" s="283"/>
      <c r="C639" s="283"/>
      <c r="D639" s="283"/>
      <c r="E639" s="283"/>
      <c r="F639" s="283"/>
      <c r="G639" s="283"/>
      <c r="H639" s="283"/>
      <c r="I639" s="283"/>
      <c r="J639" s="283"/>
      <c r="K639" s="283"/>
      <c r="L639" s="283"/>
      <c r="M639" s="283"/>
      <c r="N639" s="283"/>
      <c r="O639" s="283"/>
      <c r="P639" s="283"/>
      <c r="Q639" s="283"/>
      <c r="R639" s="283"/>
      <c r="S639" s="283"/>
      <c r="T639" s="283"/>
      <c r="U639" s="283"/>
      <c r="V639" s="283"/>
      <c r="W639" s="283"/>
      <c r="X639" s="283"/>
      <c r="Y639" s="283"/>
      <c r="Z639" s="283"/>
    </row>
    <row r="640" ht="14.25" customHeight="1">
      <c r="A640" s="283"/>
      <c r="B640" s="283"/>
      <c r="C640" s="283"/>
      <c r="D640" s="283"/>
      <c r="E640" s="283"/>
      <c r="F640" s="283"/>
      <c r="G640" s="283"/>
      <c r="H640" s="283"/>
      <c r="I640" s="283"/>
      <c r="J640" s="283"/>
      <c r="K640" s="283"/>
      <c r="L640" s="283"/>
      <c r="M640" s="283"/>
      <c r="N640" s="283"/>
      <c r="O640" s="283"/>
      <c r="P640" s="283"/>
      <c r="Q640" s="283"/>
      <c r="R640" s="283"/>
      <c r="S640" s="283"/>
      <c r="T640" s="283"/>
      <c r="U640" s="283"/>
      <c r="V640" s="283"/>
      <c r="W640" s="283"/>
      <c r="X640" s="283"/>
      <c r="Y640" s="283"/>
      <c r="Z640" s="283"/>
    </row>
    <row r="641" ht="14.25" customHeight="1">
      <c r="A641" s="283"/>
      <c r="B641" s="283"/>
      <c r="C641" s="283"/>
      <c r="D641" s="283"/>
      <c r="E641" s="283"/>
      <c r="F641" s="283"/>
      <c r="G641" s="283"/>
      <c r="H641" s="283"/>
      <c r="I641" s="283"/>
      <c r="J641" s="283"/>
      <c r="K641" s="283"/>
      <c r="L641" s="283"/>
      <c r="M641" s="283"/>
      <c r="N641" s="283"/>
      <c r="O641" s="283"/>
      <c r="P641" s="283"/>
      <c r="Q641" s="283"/>
      <c r="R641" s="283"/>
      <c r="S641" s="283"/>
      <c r="T641" s="283"/>
      <c r="U641" s="283"/>
      <c r="V641" s="283"/>
      <c r="W641" s="283"/>
      <c r="X641" s="283"/>
      <c r="Y641" s="283"/>
      <c r="Z641" s="283"/>
    </row>
    <row r="642" ht="14.25" customHeight="1">
      <c r="A642" s="283"/>
      <c r="B642" s="283"/>
      <c r="C642" s="283"/>
      <c r="D642" s="283"/>
      <c r="E642" s="283"/>
      <c r="F642" s="283"/>
      <c r="G642" s="283"/>
      <c r="H642" s="283"/>
      <c r="I642" s="283"/>
      <c r="J642" s="283"/>
      <c r="K642" s="283"/>
      <c r="L642" s="283"/>
      <c r="M642" s="283"/>
      <c r="N642" s="283"/>
      <c r="O642" s="283"/>
      <c r="P642" s="283"/>
      <c r="Q642" s="283"/>
      <c r="R642" s="283"/>
      <c r="S642" s="283"/>
      <c r="T642" s="283"/>
      <c r="U642" s="283"/>
      <c r="V642" s="283"/>
      <c r="W642" s="283"/>
      <c r="X642" s="283"/>
      <c r="Y642" s="283"/>
      <c r="Z642" s="283"/>
    </row>
    <row r="643" ht="14.25" customHeight="1">
      <c r="A643" s="283"/>
      <c r="B643" s="283"/>
      <c r="C643" s="283"/>
      <c r="D643" s="283"/>
      <c r="E643" s="283"/>
      <c r="F643" s="283"/>
      <c r="G643" s="283"/>
      <c r="H643" s="283"/>
      <c r="I643" s="283"/>
      <c r="J643" s="283"/>
      <c r="K643" s="283"/>
      <c r="L643" s="283"/>
      <c r="M643" s="283"/>
      <c r="N643" s="283"/>
      <c r="O643" s="283"/>
      <c r="P643" s="283"/>
      <c r="Q643" s="283"/>
      <c r="R643" s="283"/>
      <c r="S643" s="283"/>
      <c r="T643" s="283"/>
      <c r="U643" s="283"/>
      <c r="V643" s="283"/>
      <c r="W643" s="283"/>
      <c r="X643" s="283"/>
      <c r="Y643" s="283"/>
      <c r="Z643" s="283"/>
    </row>
    <row r="644" ht="14.25" customHeight="1">
      <c r="A644" s="283"/>
      <c r="B644" s="283"/>
      <c r="C644" s="283"/>
      <c r="D644" s="283"/>
      <c r="E644" s="283"/>
      <c r="F644" s="283"/>
      <c r="G644" s="283"/>
      <c r="H644" s="283"/>
      <c r="I644" s="283"/>
      <c r="J644" s="283"/>
      <c r="K644" s="283"/>
      <c r="L644" s="283"/>
      <c r="M644" s="283"/>
      <c r="N644" s="283"/>
      <c r="O644" s="283"/>
      <c r="P644" s="283"/>
      <c r="Q644" s="283"/>
      <c r="R644" s="283"/>
      <c r="S644" s="283"/>
      <c r="T644" s="283"/>
      <c r="U644" s="283"/>
      <c r="V644" s="283"/>
      <c r="W644" s="283"/>
      <c r="X644" s="283"/>
      <c r="Y644" s="283"/>
      <c r="Z644" s="283"/>
    </row>
    <row r="645" ht="14.25" customHeight="1">
      <c r="A645" s="283"/>
      <c r="B645" s="283"/>
      <c r="C645" s="283"/>
      <c r="D645" s="283"/>
      <c r="E645" s="283"/>
      <c r="F645" s="283"/>
      <c r="G645" s="283"/>
      <c r="H645" s="283"/>
      <c r="I645" s="283"/>
      <c r="J645" s="283"/>
      <c r="K645" s="283"/>
      <c r="L645" s="283"/>
      <c r="M645" s="283"/>
      <c r="N645" s="283"/>
      <c r="O645" s="283"/>
      <c r="P645" s="283"/>
      <c r="Q645" s="283"/>
      <c r="R645" s="283"/>
      <c r="S645" s="283"/>
      <c r="T645" s="283"/>
      <c r="U645" s="283"/>
      <c r="V645" s="283"/>
      <c r="W645" s="283"/>
      <c r="X645" s="283"/>
      <c r="Y645" s="283"/>
      <c r="Z645" s="283"/>
    </row>
    <row r="646" ht="14.25" customHeight="1">
      <c r="A646" s="283"/>
      <c r="B646" s="283"/>
      <c r="C646" s="283"/>
      <c r="D646" s="283"/>
      <c r="E646" s="283"/>
      <c r="F646" s="283"/>
      <c r="G646" s="283"/>
      <c r="H646" s="283"/>
      <c r="I646" s="283"/>
      <c r="J646" s="283"/>
      <c r="K646" s="283"/>
      <c r="L646" s="283"/>
      <c r="M646" s="283"/>
      <c r="N646" s="283"/>
      <c r="O646" s="283"/>
      <c r="P646" s="283"/>
      <c r="Q646" s="283"/>
      <c r="R646" s="283"/>
      <c r="S646" s="283"/>
      <c r="T646" s="283"/>
      <c r="U646" s="283"/>
      <c r="V646" s="283"/>
      <c r="W646" s="283"/>
      <c r="X646" s="283"/>
      <c r="Y646" s="283"/>
      <c r="Z646" s="283"/>
    </row>
    <row r="647" ht="14.25" customHeight="1">
      <c r="A647" s="283"/>
      <c r="B647" s="283"/>
      <c r="C647" s="283"/>
      <c r="D647" s="283"/>
      <c r="E647" s="283"/>
      <c r="F647" s="283"/>
      <c r="G647" s="283"/>
      <c r="H647" s="283"/>
      <c r="I647" s="283"/>
      <c r="J647" s="283"/>
      <c r="K647" s="283"/>
      <c r="L647" s="283"/>
      <c r="M647" s="283"/>
      <c r="N647" s="283"/>
      <c r="O647" s="283"/>
      <c r="P647" s="283"/>
      <c r="Q647" s="283"/>
      <c r="R647" s="283"/>
      <c r="S647" s="283"/>
      <c r="T647" s="283"/>
      <c r="U647" s="283"/>
      <c r="V647" s="283"/>
      <c r="W647" s="283"/>
      <c r="X647" s="283"/>
      <c r="Y647" s="283"/>
      <c r="Z647" s="283"/>
    </row>
    <row r="648" ht="14.25" customHeight="1">
      <c r="A648" s="283"/>
      <c r="B648" s="283"/>
      <c r="C648" s="283"/>
      <c r="D648" s="283"/>
      <c r="E648" s="283"/>
      <c r="F648" s="283"/>
      <c r="G648" s="283"/>
      <c r="H648" s="283"/>
      <c r="I648" s="283"/>
      <c r="J648" s="283"/>
      <c r="K648" s="283"/>
      <c r="L648" s="283"/>
      <c r="M648" s="283"/>
      <c r="N648" s="283"/>
      <c r="O648" s="283"/>
      <c r="P648" s="283"/>
      <c r="Q648" s="283"/>
      <c r="R648" s="283"/>
      <c r="S648" s="283"/>
      <c r="T648" s="283"/>
      <c r="U648" s="283"/>
      <c r="V648" s="283"/>
      <c r="W648" s="283"/>
      <c r="X648" s="283"/>
      <c r="Y648" s="283"/>
      <c r="Z648" s="283"/>
    </row>
    <row r="649" ht="14.25" customHeight="1">
      <c r="A649" s="283"/>
      <c r="B649" s="283"/>
      <c r="C649" s="283"/>
      <c r="D649" s="283"/>
      <c r="E649" s="283"/>
      <c r="F649" s="283"/>
      <c r="G649" s="283"/>
      <c r="H649" s="283"/>
      <c r="I649" s="283"/>
      <c r="J649" s="283"/>
      <c r="K649" s="283"/>
      <c r="L649" s="283"/>
      <c r="M649" s="283"/>
      <c r="N649" s="283"/>
      <c r="O649" s="283"/>
      <c r="P649" s="283"/>
      <c r="Q649" s="283"/>
      <c r="R649" s="283"/>
      <c r="S649" s="283"/>
      <c r="T649" s="283"/>
      <c r="U649" s="283"/>
      <c r="V649" s="283"/>
      <c r="W649" s="283"/>
      <c r="X649" s="283"/>
      <c r="Y649" s="283"/>
      <c r="Z649" s="283"/>
    </row>
    <row r="650" ht="14.25" customHeight="1">
      <c r="A650" s="283"/>
      <c r="B650" s="283"/>
      <c r="C650" s="283"/>
      <c r="D650" s="283"/>
      <c r="E650" s="283"/>
      <c r="F650" s="283"/>
      <c r="G650" s="283"/>
      <c r="H650" s="283"/>
      <c r="I650" s="283"/>
      <c r="J650" s="283"/>
      <c r="K650" s="283"/>
      <c r="L650" s="283"/>
      <c r="M650" s="283"/>
      <c r="N650" s="283"/>
      <c r="O650" s="283"/>
      <c r="P650" s="283"/>
      <c r="Q650" s="283"/>
      <c r="R650" s="283"/>
      <c r="S650" s="283"/>
      <c r="T650" s="283"/>
      <c r="U650" s="283"/>
      <c r="V650" s="283"/>
      <c r="W650" s="283"/>
      <c r="X650" s="283"/>
      <c r="Y650" s="283"/>
      <c r="Z650" s="283"/>
    </row>
    <row r="651" ht="14.25" customHeight="1">
      <c r="A651" s="283"/>
      <c r="B651" s="283"/>
      <c r="C651" s="283"/>
      <c r="D651" s="283"/>
      <c r="E651" s="283"/>
      <c r="F651" s="283"/>
      <c r="G651" s="283"/>
      <c r="H651" s="283"/>
      <c r="I651" s="283"/>
      <c r="J651" s="283"/>
      <c r="K651" s="283"/>
      <c r="L651" s="283"/>
      <c r="M651" s="283"/>
      <c r="N651" s="283"/>
      <c r="O651" s="283"/>
      <c r="P651" s="283"/>
      <c r="Q651" s="283"/>
      <c r="R651" s="283"/>
      <c r="S651" s="283"/>
      <c r="T651" s="283"/>
      <c r="U651" s="283"/>
      <c r="V651" s="283"/>
      <c r="W651" s="283"/>
      <c r="X651" s="283"/>
      <c r="Y651" s="283"/>
      <c r="Z651" s="283"/>
    </row>
    <row r="652" ht="14.25" customHeight="1">
      <c r="A652" s="283"/>
      <c r="B652" s="283"/>
      <c r="C652" s="283"/>
      <c r="D652" s="283"/>
      <c r="E652" s="283"/>
      <c r="F652" s="283"/>
      <c r="G652" s="283"/>
      <c r="H652" s="283"/>
      <c r="I652" s="283"/>
      <c r="J652" s="283"/>
      <c r="K652" s="283"/>
      <c r="L652" s="283"/>
      <c r="M652" s="283"/>
      <c r="N652" s="283"/>
      <c r="O652" s="283"/>
      <c r="P652" s="283"/>
      <c r="Q652" s="283"/>
      <c r="R652" s="283"/>
      <c r="S652" s="283"/>
      <c r="T652" s="283"/>
      <c r="U652" s="283"/>
      <c r="V652" s="283"/>
      <c r="W652" s="283"/>
      <c r="X652" s="283"/>
      <c r="Y652" s="283"/>
      <c r="Z652" s="283"/>
    </row>
    <row r="653" ht="14.25" customHeight="1">
      <c r="A653" s="283"/>
      <c r="B653" s="283"/>
      <c r="C653" s="283"/>
      <c r="D653" s="283"/>
      <c r="E653" s="283"/>
      <c r="F653" s="283"/>
      <c r="G653" s="283"/>
      <c r="H653" s="283"/>
      <c r="I653" s="283"/>
      <c r="J653" s="283"/>
      <c r="K653" s="283"/>
      <c r="L653" s="283"/>
      <c r="M653" s="283"/>
      <c r="N653" s="283"/>
      <c r="O653" s="283"/>
      <c r="P653" s="283"/>
      <c r="Q653" s="283"/>
      <c r="R653" s="283"/>
      <c r="S653" s="283"/>
      <c r="T653" s="283"/>
      <c r="U653" s="283"/>
      <c r="V653" s="283"/>
      <c r="W653" s="283"/>
      <c r="X653" s="283"/>
      <c r="Y653" s="283"/>
      <c r="Z653" s="283"/>
    </row>
    <row r="654" ht="14.25" customHeight="1">
      <c r="A654" s="283"/>
      <c r="B654" s="283"/>
      <c r="C654" s="283"/>
      <c r="D654" s="283"/>
      <c r="E654" s="283"/>
      <c r="F654" s="283"/>
      <c r="G654" s="283"/>
      <c r="H654" s="283"/>
      <c r="I654" s="283"/>
      <c r="J654" s="283"/>
      <c r="K654" s="283"/>
      <c r="L654" s="283"/>
      <c r="M654" s="283"/>
      <c r="N654" s="283"/>
      <c r="O654" s="283"/>
      <c r="P654" s="283"/>
      <c r="Q654" s="283"/>
      <c r="R654" s="283"/>
      <c r="S654" s="283"/>
      <c r="T654" s="283"/>
      <c r="U654" s="283"/>
      <c r="V654" s="283"/>
      <c r="W654" s="283"/>
      <c r="X654" s="283"/>
      <c r="Y654" s="283"/>
      <c r="Z654" s="283"/>
    </row>
    <row r="655" ht="14.25" customHeight="1">
      <c r="A655" s="283"/>
      <c r="B655" s="283"/>
      <c r="C655" s="283"/>
      <c r="D655" s="283"/>
      <c r="E655" s="283"/>
      <c r="F655" s="283"/>
      <c r="G655" s="283"/>
      <c r="H655" s="283"/>
      <c r="I655" s="283"/>
      <c r="J655" s="283"/>
      <c r="K655" s="283"/>
      <c r="L655" s="283"/>
      <c r="M655" s="283"/>
      <c r="N655" s="283"/>
      <c r="O655" s="283"/>
      <c r="P655" s="283"/>
      <c r="Q655" s="283"/>
      <c r="R655" s="283"/>
      <c r="S655" s="283"/>
      <c r="T655" s="283"/>
      <c r="U655" s="283"/>
      <c r="V655" s="283"/>
      <c r="W655" s="283"/>
      <c r="X655" s="283"/>
      <c r="Y655" s="283"/>
      <c r="Z655" s="283"/>
    </row>
    <row r="656" ht="14.25" customHeight="1">
      <c r="A656" s="283"/>
      <c r="B656" s="283"/>
      <c r="C656" s="283"/>
      <c r="D656" s="283"/>
      <c r="E656" s="283"/>
      <c r="F656" s="283"/>
      <c r="G656" s="283"/>
      <c r="H656" s="283"/>
      <c r="I656" s="283"/>
      <c r="J656" s="283"/>
      <c r="K656" s="283"/>
      <c r="L656" s="283"/>
      <c r="M656" s="283"/>
      <c r="N656" s="283"/>
      <c r="O656" s="283"/>
      <c r="P656" s="283"/>
      <c r="Q656" s="283"/>
      <c r="R656" s="283"/>
      <c r="S656" s="283"/>
      <c r="T656" s="283"/>
      <c r="U656" s="283"/>
      <c r="V656" s="283"/>
      <c r="W656" s="283"/>
      <c r="X656" s="283"/>
      <c r="Y656" s="283"/>
      <c r="Z656" s="283"/>
    </row>
    <row r="657" ht="14.25" customHeight="1">
      <c r="A657" s="283"/>
      <c r="B657" s="283"/>
      <c r="C657" s="283"/>
      <c r="D657" s="283"/>
      <c r="E657" s="283"/>
      <c r="F657" s="283"/>
      <c r="G657" s="283"/>
      <c r="H657" s="283"/>
      <c r="I657" s="283"/>
      <c r="J657" s="283"/>
      <c r="K657" s="283"/>
      <c r="L657" s="283"/>
      <c r="M657" s="283"/>
      <c r="N657" s="283"/>
      <c r="O657" s="283"/>
      <c r="P657" s="283"/>
      <c r="Q657" s="283"/>
      <c r="R657" s="283"/>
      <c r="S657" s="283"/>
      <c r="T657" s="283"/>
      <c r="U657" s="283"/>
      <c r="V657" s="283"/>
      <c r="W657" s="283"/>
      <c r="X657" s="283"/>
      <c r="Y657" s="283"/>
      <c r="Z657" s="283"/>
    </row>
    <row r="658" ht="14.25" customHeight="1">
      <c r="A658" s="283"/>
      <c r="B658" s="283"/>
      <c r="C658" s="283"/>
      <c r="D658" s="283"/>
      <c r="E658" s="283"/>
      <c r="F658" s="283"/>
      <c r="G658" s="283"/>
      <c r="H658" s="283"/>
      <c r="I658" s="283"/>
      <c r="J658" s="283"/>
      <c r="K658" s="283"/>
      <c r="L658" s="283"/>
      <c r="M658" s="283"/>
      <c r="N658" s="283"/>
      <c r="O658" s="283"/>
      <c r="P658" s="283"/>
      <c r="Q658" s="283"/>
      <c r="R658" s="283"/>
      <c r="S658" s="283"/>
      <c r="T658" s="283"/>
      <c r="U658" s="283"/>
      <c r="V658" s="283"/>
      <c r="W658" s="283"/>
      <c r="X658" s="283"/>
      <c r="Y658" s="283"/>
      <c r="Z658" s="283"/>
    </row>
    <row r="659" ht="14.25" customHeight="1">
      <c r="A659" s="283"/>
      <c r="B659" s="283"/>
      <c r="C659" s="283"/>
      <c r="D659" s="283"/>
      <c r="E659" s="283"/>
      <c r="F659" s="283"/>
      <c r="G659" s="283"/>
      <c r="H659" s="283"/>
      <c r="I659" s="283"/>
      <c r="J659" s="283"/>
      <c r="K659" s="283"/>
      <c r="L659" s="283"/>
      <c r="M659" s="283"/>
      <c r="N659" s="283"/>
      <c r="O659" s="283"/>
      <c r="P659" s="283"/>
      <c r="Q659" s="283"/>
      <c r="R659" s="283"/>
      <c r="S659" s="283"/>
      <c r="T659" s="283"/>
      <c r="U659" s="283"/>
      <c r="V659" s="283"/>
      <c r="W659" s="283"/>
      <c r="X659" s="283"/>
      <c r="Y659" s="283"/>
      <c r="Z659" s="283"/>
    </row>
    <row r="660" ht="14.25" customHeight="1">
      <c r="A660" s="283"/>
      <c r="B660" s="283"/>
      <c r="C660" s="283"/>
      <c r="D660" s="283"/>
      <c r="E660" s="283"/>
      <c r="F660" s="283"/>
      <c r="G660" s="283"/>
      <c r="H660" s="283"/>
      <c r="I660" s="283"/>
      <c r="J660" s="283"/>
      <c r="K660" s="283"/>
      <c r="L660" s="283"/>
      <c r="M660" s="283"/>
      <c r="N660" s="283"/>
      <c r="O660" s="283"/>
      <c r="P660" s="283"/>
      <c r="Q660" s="283"/>
      <c r="R660" s="283"/>
      <c r="S660" s="283"/>
      <c r="T660" s="283"/>
      <c r="U660" s="283"/>
      <c r="V660" s="283"/>
      <c r="W660" s="283"/>
      <c r="X660" s="283"/>
      <c r="Y660" s="283"/>
      <c r="Z660" s="283"/>
    </row>
    <row r="661" ht="14.25" customHeight="1">
      <c r="A661" s="283"/>
      <c r="B661" s="283"/>
      <c r="C661" s="283"/>
      <c r="D661" s="283"/>
      <c r="E661" s="283"/>
      <c r="F661" s="283"/>
      <c r="G661" s="283"/>
      <c r="H661" s="283"/>
      <c r="I661" s="283"/>
      <c r="J661" s="283"/>
      <c r="K661" s="283"/>
      <c r="L661" s="283"/>
      <c r="M661" s="283"/>
      <c r="N661" s="283"/>
      <c r="O661" s="283"/>
      <c r="P661" s="283"/>
      <c r="Q661" s="283"/>
      <c r="R661" s="283"/>
      <c r="S661" s="283"/>
      <c r="T661" s="283"/>
      <c r="U661" s="283"/>
      <c r="V661" s="283"/>
      <c r="W661" s="283"/>
      <c r="X661" s="283"/>
      <c r="Y661" s="283"/>
      <c r="Z661" s="283"/>
    </row>
    <row r="662" ht="14.25" customHeight="1">
      <c r="A662" s="283"/>
      <c r="B662" s="283"/>
      <c r="C662" s="283"/>
      <c r="D662" s="283"/>
      <c r="E662" s="283"/>
      <c r="F662" s="283"/>
      <c r="G662" s="283"/>
      <c r="H662" s="283"/>
      <c r="I662" s="283"/>
      <c r="J662" s="283"/>
      <c r="K662" s="283"/>
      <c r="L662" s="283"/>
      <c r="M662" s="283"/>
      <c r="N662" s="283"/>
      <c r="O662" s="283"/>
      <c r="P662" s="283"/>
      <c r="Q662" s="283"/>
      <c r="R662" s="283"/>
      <c r="S662" s="283"/>
      <c r="T662" s="283"/>
      <c r="U662" s="283"/>
      <c r="V662" s="283"/>
      <c r="W662" s="283"/>
      <c r="X662" s="283"/>
      <c r="Y662" s="283"/>
      <c r="Z662" s="283"/>
    </row>
    <row r="663" ht="14.25" customHeight="1">
      <c r="A663" s="283"/>
      <c r="B663" s="283"/>
      <c r="C663" s="283"/>
      <c r="D663" s="283"/>
      <c r="E663" s="283"/>
      <c r="F663" s="283"/>
      <c r="G663" s="283"/>
      <c r="H663" s="283"/>
      <c r="I663" s="283"/>
      <c r="J663" s="283"/>
      <c r="K663" s="283"/>
      <c r="L663" s="283"/>
      <c r="M663" s="283"/>
      <c r="N663" s="283"/>
      <c r="O663" s="283"/>
      <c r="P663" s="283"/>
      <c r="Q663" s="283"/>
      <c r="R663" s="283"/>
      <c r="S663" s="283"/>
      <c r="T663" s="283"/>
      <c r="U663" s="283"/>
      <c r="V663" s="283"/>
      <c r="W663" s="283"/>
      <c r="X663" s="283"/>
      <c r="Y663" s="283"/>
      <c r="Z663" s="283"/>
    </row>
    <row r="664" ht="14.25" customHeight="1">
      <c r="A664" s="283"/>
      <c r="B664" s="283"/>
      <c r="C664" s="283"/>
      <c r="D664" s="283"/>
      <c r="E664" s="283"/>
      <c r="F664" s="283"/>
      <c r="G664" s="283"/>
      <c r="H664" s="283"/>
      <c r="I664" s="283"/>
      <c r="J664" s="283"/>
      <c r="K664" s="283"/>
      <c r="L664" s="283"/>
      <c r="M664" s="283"/>
      <c r="N664" s="283"/>
      <c r="O664" s="283"/>
      <c r="P664" s="283"/>
      <c r="Q664" s="283"/>
      <c r="R664" s="283"/>
      <c r="S664" s="283"/>
      <c r="T664" s="283"/>
      <c r="U664" s="283"/>
      <c r="V664" s="283"/>
      <c r="W664" s="283"/>
      <c r="X664" s="283"/>
      <c r="Y664" s="283"/>
      <c r="Z664" s="283"/>
    </row>
    <row r="665" ht="14.25" customHeight="1">
      <c r="A665" s="283"/>
      <c r="B665" s="283"/>
      <c r="C665" s="283"/>
      <c r="D665" s="283"/>
      <c r="E665" s="283"/>
      <c r="F665" s="283"/>
      <c r="G665" s="283"/>
      <c r="H665" s="283"/>
      <c r="I665" s="283"/>
      <c r="J665" s="283"/>
      <c r="K665" s="283"/>
      <c r="L665" s="283"/>
      <c r="M665" s="283"/>
      <c r="N665" s="283"/>
      <c r="O665" s="283"/>
      <c r="P665" s="283"/>
      <c r="Q665" s="283"/>
      <c r="R665" s="283"/>
      <c r="S665" s="283"/>
      <c r="T665" s="283"/>
      <c r="U665" s="283"/>
      <c r="V665" s="283"/>
      <c r="W665" s="283"/>
      <c r="X665" s="283"/>
      <c r="Y665" s="283"/>
      <c r="Z665" s="283"/>
    </row>
    <row r="666" ht="14.25" customHeight="1">
      <c r="A666" s="283"/>
      <c r="B666" s="283"/>
      <c r="C666" s="283"/>
      <c r="D666" s="283"/>
      <c r="E666" s="283"/>
      <c r="F666" s="283"/>
      <c r="G666" s="283"/>
      <c r="H666" s="283"/>
      <c r="I666" s="283"/>
      <c r="J666" s="283"/>
      <c r="K666" s="283"/>
      <c r="L666" s="283"/>
      <c r="M666" s="283"/>
      <c r="N666" s="283"/>
      <c r="O666" s="283"/>
      <c r="P666" s="283"/>
      <c r="Q666" s="283"/>
      <c r="R666" s="283"/>
      <c r="S666" s="283"/>
      <c r="T666" s="283"/>
      <c r="U666" s="283"/>
      <c r="V666" s="283"/>
      <c r="W666" s="283"/>
      <c r="X666" s="283"/>
      <c r="Y666" s="283"/>
      <c r="Z666" s="283"/>
    </row>
    <row r="667" ht="14.25" customHeight="1">
      <c r="A667" s="283"/>
      <c r="B667" s="283"/>
      <c r="C667" s="283"/>
      <c r="D667" s="283"/>
      <c r="E667" s="283"/>
      <c r="F667" s="283"/>
      <c r="G667" s="283"/>
      <c r="H667" s="283"/>
      <c r="I667" s="283"/>
      <c r="J667" s="283"/>
      <c r="K667" s="283"/>
      <c r="L667" s="283"/>
      <c r="M667" s="283"/>
      <c r="N667" s="283"/>
      <c r="O667" s="283"/>
      <c r="P667" s="283"/>
      <c r="Q667" s="283"/>
      <c r="R667" s="283"/>
      <c r="S667" s="283"/>
      <c r="T667" s="283"/>
      <c r="U667" s="283"/>
      <c r="V667" s="283"/>
      <c r="W667" s="283"/>
      <c r="X667" s="283"/>
      <c r="Y667" s="283"/>
      <c r="Z667" s="283"/>
    </row>
    <row r="668" ht="14.25" customHeight="1">
      <c r="A668" s="283"/>
      <c r="B668" s="283"/>
      <c r="C668" s="283"/>
      <c r="D668" s="283"/>
      <c r="E668" s="283"/>
      <c r="F668" s="283"/>
      <c r="G668" s="283"/>
      <c r="H668" s="283"/>
      <c r="I668" s="283"/>
      <c r="J668" s="283"/>
      <c r="K668" s="283"/>
      <c r="L668" s="283"/>
      <c r="M668" s="283"/>
      <c r="N668" s="283"/>
      <c r="O668" s="283"/>
      <c r="P668" s="283"/>
      <c r="Q668" s="283"/>
      <c r="R668" s="283"/>
      <c r="S668" s="283"/>
      <c r="T668" s="283"/>
      <c r="U668" s="283"/>
      <c r="V668" s="283"/>
      <c r="W668" s="283"/>
      <c r="X668" s="283"/>
      <c r="Y668" s="283"/>
      <c r="Z668" s="283"/>
    </row>
    <row r="669" ht="14.25" customHeight="1">
      <c r="A669" s="283"/>
      <c r="B669" s="283"/>
      <c r="C669" s="283"/>
      <c r="D669" s="283"/>
      <c r="E669" s="283"/>
      <c r="F669" s="283"/>
      <c r="G669" s="283"/>
      <c r="H669" s="283"/>
      <c r="I669" s="283"/>
      <c r="J669" s="283"/>
      <c r="K669" s="283"/>
      <c r="L669" s="283"/>
      <c r="M669" s="283"/>
      <c r="N669" s="283"/>
      <c r="O669" s="283"/>
      <c r="P669" s="283"/>
      <c r="Q669" s="283"/>
      <c r="R669" s="283"/>
      <c r="S669" s="283"/>
      <c r="T669" s="283"/>
      <c r="U669" s="283"/>
      <c r="V669" s="283"/>
      <c r="W669" s="283"/>
      <c r="X669" s="283"/>
      <c r="Y669" s="283"/>
      <c r="Z669" s="283"/>
    </row>
    <row r="670" ht="14.25" customHeight="1">
      <c r="A670" s="283"/>
      <c r="B670" s="283"/>
      <c r="C670" s="283"/>
      <c r="D670" s="283"/>
      <c r="E670" s="283"/>
      <c r="F670" s="283"/>
      <c r="G670" s="283"/>
      <c r="H670" s="283"/>
      <c r="I670" s="283"/>
      <c r="J670" s="283"/>
      <c r="K670" s="283"/>
      <c r="L670" s="283"/>
      <c r="M670" s="283"/>
      <c r="N670" s="283"/>
      <c r="O670" s="283"/>
      <c r="P670" s="283"/>
      <c r="Q670" s="283"/>
      <c r="R670" s="283"/>
      <c r="S670" s="283"/>
      <c r="T670" s="283"/>
      <c r="U670" s="283"/>
      <c r="V670" s="283"/>
      <c r="W670" s="283"/>
      <c r="X670" s="283"/>
      <c r="Y670" s="283"/>
      <c r="Z670" s="283"/>
    </row>
    <row r="671" ht="14.25" customHeight="1">
      <c r="A671" s="283"/>
      <c r="B671" s="283"/>
      <c r="C671" s="283"/>
      <c r="D671" s="283"/>
      <c r="E671" s="283"/>
      <c r="F671" s="283"/>
      <c r="G671" s="283"/>
      <c r="H671" s="283"/>
      <c r="I671" s="283"/>
      <c r="J671" s="283"/>
      <c r="K671" s="283"/>
      <c r="L671" s="283"/>
      <c r="M671" s="283"/>
      <c r="N671" s="283"/>
      <c r="O671" s="283"/>
      <c r="P671" s="283"/>
      <c r="Q671" s="283"/>
      <c r="R671" s="283"/>
      <c r="S671" s="283"/>
      <c r="T671" s="283"/>
      <c r="U671" s="283"/>
      <c r="V671" s="283"/>
      <c r="W671" s="283"/>
      <c r="X671" s="283"/>
      <c r="Y671" s="283"/>
      <c r="Z671" s="283"/>
    </row>
    <row r="672" ht="14.25" customHeight="1">
      <c r="A672" s="283"/>
      <c r="B672" s="283"/>
      <c r="C672" s="283"/>
      <c r="D672" s="283"/>
      <c r="E672" s="283"/>
      <c r="F672" s="283"/>
      <c r="G672" s="283"/>
      <c r="H672" s="283"/>
      <c r="I672" s="283"/>
      <c r="J672" s="283"/>
      <c r="K672" s="283"/>
      <c r="L672" s="283"/>
      <c r="M672" s="283"/>
      <c r="N672" s="283"/>
      <c r="O672" s="283"/>
      <c r="P672" s="283"/>
      <c r="Q672" s="283"/>
      <c r="R672" s="283"/>
      <c r="S672" s="283"/>
      <c r="T672" s="283"/>
      <c r="U672" s="283"/>
      <c r="V672" s="283"/>
      <c r="W672" s="283"/>
      <c r="X672" s="283"/>
      <c r="Y672" s="283"/>
      <c r="Z672" s="283"/>
    </row>
    <row r="673" ht="14.25" customHeight="1">
      <c r="A673" s="283"/>
      <c r="B673" s="283"/>
      <c r="C673" s="283"/>
      <c r="D673" s="283"/>
      <c r="E673" s="283"/>
      <c r="F673" s="283"/>
      <c r="G673" s="283"/>
      <c r="H673" s="283"/>
      <c r="I673" s="283"/>
      <c r="J673" s="283"/>
      <c r="K673" s="283"/>
      <c r="L673" s="283"/>
      <c r="M673" s="283"/>
      <c r="N673" s="283"/>
      <c r="O673" s="283"/>
      <c r="P673" s="283"/>
      <c r="Q673" s="283"/>
      <c r="R673" s="283"/>
      <c r="S673" s="283"/>
      <c r="T673" s="283"/>
      <c r="U673" s="283"/>
      <c r="V673" s="283"/>
      <c r="W673" s="283"/>
      <c r="X673" s="283"/>
      <c r="Y673" s="283"/>
      <c r="Z673" s="283"/>
    </row>
    <row r="674" ht="14.25" customHeight="1">
      <c r="A674" s="283"/>
      <c r="B674" s="283"/>
      <c r="C674" s="283"/>
      <c r="D674" s="283"/>
      <c r="E674" s="283"/>
      <c r="F674" s="283"/>
      <c r="G674" s="283"/>
      <c r="H674" s="283"/>
      <c r="I674" s="283"/>
      <c r="J674" s="283"/>
      <c r="K674" s="283"/>
      <c r="L674" s="283"/>
      <c r="M674" s="283"/>
      <c r="N674" s="283"/>
      <c r="O674" s="283"/>
      <c r="P674" s="283"/>
      <c r="Q674" s="283"/>
      <c r="R674" s="283"/>
      <c r="S674" s="283"/>
      <c r="T674" s="283"/>
      <c r="U674" s="283"/>
      <c r="V674" s="283"/>
      <c r="W674" s="283"/>
      <c r="X674" s="283"/>
      <c r="Y674" s="283"/>
      <c r="Z674" s="283"/>
    </row>
    <row r="675" ht="14.25" customHeight="1">
      <c r="A675" s="283"/>
      <c r="B675" s="283"/>
      <c r="C675" s="283"/>
      <c r="D675" s="283"/>
      <c r="E675" s="283"/>
      <c r="F675" s="283"/>
      <c r="G675" s="283"/>
      <c r="H675" s="283"/>
      <c r="I675" s="283"/>
      <c r="J675" s="283"/>
      <c r="K675" s="283"/>
      <c r="L675" s="283"/>
      <c r="M675" s="283"/>
      <c r="N675" s="283"/>
      <c r="O675" s="283"/>
      <c r="P675" s="283"/>
      <c r="Q675" s="283"/>
      <c r="R675" s="283"/>
      <c r="S675" s="283"/>
      <c r="T675" s="283"/>
      <c r="U675" s="283"/>
      <c r="V675" s="283"/>
      <c r="W675" s="283"/>
      <c r="X675" s="283"/>
      <c r="Y675" s="283"/>
      <c r="Z675" s="283"/>
    </row>
    <row r="676" ht="14.25" customHeight="1">
      <c r="A676" s="283"/>
      <c r="B676" s="283"/>
      <c r="C676" s="283"/>
      <c r="D676" s="283"/>
      <c r="E676" s="283"/>
      <c r="F676" s="283"/>
      <c r="G676" s="283"/>
      <c r="H676" s="283"/>
      <c r="I676" s="283"/>
      <c r="J676" s="283"/>
      <c r="K676" s="283"/>
      <c r="L676" s="283"/>
      <c r="M676" s="283"/>
      <c r="N676" s="283"/>
      <c r="O676" s="283"/>
      <c r="P676" s="283"/>
      <c r="Q676" s="283"/>
      <c r="R676" s="283"/>
      <c r="S676" s="283"/>
      <c r="T676" s="283"/>
      <c r="U676" s="283"/>
      <c r="V676" s="283"/>
      <c r="W676" s="283"/>
      <c r="X676" s="283"/>
      <c r="Y676" s="283"/>
      <c r="Z676" s="283"/>
    </row>
    <row r="677" ht="14.25" customHeight="1">
      <c r="A677" s="283"/>
      <c r="B677" s="283"/>
      <c r="C677" s="283"/>
      <c r="D677" s="283"/>
      <c r="E677" s="283"/>
      <c r="F677" s="283"/>
      <c r="G677" s="283"/>
      <c r="H677" s="283"/>
      <c r="I677" s="283"/>
      <c r="J677" s="283"/>
      <c r="K677" s="283"/>
      <c r="L677" s="283"/>
      <c r="M677" s="283"/>
      <c r="N677" s="283"/>
      <c r="O677" s="283"/>
      <c r="P677" s="283"/>
      <c r="Q677" s="283"/>
      <c r="R677" s="283"/>
      <c r="S677" s="283"/>
      <c r="T677" s="283"/>
      <c r="U677" s="283"/>
      <c r="V677" s="283"/>
      <c r="W677" s="283"/>
      <c r="X677" s="283"/>
      <c r="Y677" s="283"/>
      <c r="Z677" s="283"/>
    </row>
    <row r="678" ht="14.25" customHeight="1">
      <c r="A678" s="283"/>
      <c r="B678" s="283"/>
      <c r="C678" s="283"/>
      <c r="D678" s="283"/>
      <c r="E678" s="283"/>
      <c r="F678" s="283"/>
      <c r="G678" s="283"/>
      <c r="H678" s="283"/>
      <c r="I678" s="283"/>
      <c r="J678" s="283"/>
      <c r="K678" s="283"/>
      <c r="L678" s="283"/>
      <c r="M678" s="283"/>
      <c r="N678" s="283"/>
      <c r="O678" s="283"/>
      <c r="P678" s="283"/>
      <c r="Q678" s="283"/>
      <c r="R678" s="283"/>
      <c r="S678" s="283"/>
      <c r="T678" s="283"/>
      <c r="U678" s="283"/>
      <c r="V678" s="283"/>
      <c r="W678" s="283"/>
      <c r="X678" s="283"/>
      <c r="Y678" s="283"/>
      <c r="Z678" s="283"/>
    </row>
    <row r="679" ht="14.25" customHeight="1">
      <c r="A679" s="283"/>
      <c r="B679" s="283"/>
      <c r="C679" s="283"/>
      <c r="D679" s="283"/>
      <c r="E679" s="283"/>
      <c r="F679" s="283"/>
      <c r="G679" s="283"/>
      <c r="H679" s="283"/>
      <c r="I679" s="283"/>
      <c r="J679" s="283"/>
      <c r="K679" s="283"/>
      <c r="L679" s="283"/>
      <c r="M679" s="283"/>
      <c r="N679" s="283"/>
      <c r="O679" s="283"/>
      <c r="P679" s="283"/>
      <c r="Q679" s="283"/>
      <c r="R679" s="283"/>
      <c r="S679" s="283"/>
      <c r="T679" s="283"/>
      <c r="U679" s="283"/>
      <c r="V679" s="283"/>
      <c r="W679" s="283"/>
      <c r="X679" s="283"/>
      <c r="Y679" s="283"/>
      <c r="Z679" s="283"/>
    </row>
    <row r="680" ht="14.25" customHeight="1">
      <c r="A680" s="283"/>
      <c r="B680" s="283"/>
      <c r="C680" s="283"/>
      <c r="D680" s="283"/>
      <c r="E680" s="283"/>
      <c r="F680" s="283"/>
      <c r="G680" s="283"/>
      <c r="H680" s="283"/>
      <c r="I680" s="283"/>
      <c r="J680" s="283"/>
      <c r="K680" s="283"/>
      <c r="L680" s="283"/>
      <c r="M680" s="283"/>
      <c r="N680" s="283"/>
      <c r="O680" s="283"/>
      <c r="P680" s="283"/>
      <c r="Q680" s="283"/>
      <c r="R680" s="283"/>
      <c r="S680" s="283"/>
      <c r="T680" s="283"/>
      <c r="U680" s="283"/>
      <c r="V680" s="283"/>
      <c r="W680" s="283"/>
      <c r="X680" s="283"/>
      <c r="Y680" s="283"/>
      <c r="Z680" s="283"/>
    </row>
    <row r="681" ht="14.25" customHeight="1">
      <c r="A681" s="283"/>
      <c r="B681" s="283"/>
      <c r="C681" s="283"/>
      <c r="D681" s="283"/>
      <c r="E681" s="283"/>
      <c r="F681" s="283"/>
      <c r="G681" s="283"/>
      <c r="H681" s="283"/>
      <c r="I681" s="283"/>
      <c r="J681" s="283"/>
      <c r="K681" s="283"/>
      <c r="L681" s="283"/>
      <c r="M681" s="283"/>
      <c r="N681" s="283"/>
      <c r="O681" s="283"/>
      <c r="P681" s="283"/>
      <c r="Q681" s="283"/>
      <c r="R681" s="283"/>
      <c r="S681" s="283"/>
      <c r="T681" s="283"/>
      <c r="U681" s="283"/>
      <c r="V681" s="283"/>
      <c r="W681" s="283"/>
      <c r="X681" s="283"/>
      <c r="Y681" s="283"/>
      <c r="Z681" s="283"/>
    </row>
    <row r="682" ht="14.25" customHeight="1">
      <c r="A682" s="283"/>
      <c r="B682" s="283"/>
      <c r="C682" s="283"/>
      <c r="D682" s="283"/>
      <c r="E682" s="283"/>
      <c r="F682" s="283"/>
      <c r="G682" s="283"/>
      <c r="H682" s="283"/>
      <c r="I682" s="283"/>
      <c r="J682" s="283"/>
      <c r="K682" s="283"/>
      <c r="L682" s="283"/>
      <c r="M682" s="283"/>
      <c r="N682" s="283"/>
      <c r="O682" s="283"/>
      <c r="P682" s="283"/>
      <c r="Q682" s="283"/>
      <c r="R682" s="283"/>
      <c r="S682" s="283"/>
      <c r="T682" s="283"/>
      <c r="U682" s="283"/>
      <c r="V682" s="283"/>
      <c r="W682" s="283"/>
      <c r="X682" s="283"/>
      <c r="Y682" s="283"/>
      <c r="Z682" s="283"/>
    </row>
    <row r="683" ht="14.25" customHeight="1">
      <c r="A683" s="283"/>
      <c r="B683" s="283"/>
      <c r="C683" s="283"/>
      <c r="D683" s="283"/>
      <c r="E683" s="283"/>
      <c r="F683" s="283"/>
      <c r="G683" s="283"/>
      <c r="H683" s="283"/>
      <c r="I683" s="283"/>
      <c r="J683" s="283"/>
      <c r="K683" s="283"/>
      <c r="L683" s="283"/>
      <c r="M683" s="283"/>
      <c r="N683" s="283"/>
      <c r="O683" s="283"/>
      <c r="P683" s="283"/>
      <c r="Q683" s="283"/>
      <c r="R683" s="283"/>
      <c r="S683" s="283"/>
      <c r="T683" s="283"/>
      <c r="U683" s="283"/>
      <c r="V683" s="283"/>
      <c r="W683" s="283"/>
      <c r="X683" s="283"/>
      <c r="Y683" s="283"/>
      <c r="Z683" s="283"/>
    </row>
    <row r="684" ht="14.25" customHeight="1">
      <c r="A684" s="283"/>
      <c r="B684" s="283"/>
      <c r="C684" s="283"/>
      <c r="D684" s="283"/>
      <c r="E684" s="283"/>
      <c r="F684" s="283"/>
      <c r="G684" s="283"/>
      <c r="H684" s="283"/>
      <c r="I684" s="283"/>
      <c r="J684" s="283"/>
      <c r="K684" s="283"/>
      <c r="L684" s="283"/>
      <c r="M684" s="283"/>
      <c r="N684" s="283"/>
      <c r="O684" s="283"/>
      <c r="P684" s="283"/>
      <c r="Q684" s="283"/>
      <c r="R684" s="283"/>
      <c r="S684" s="283"/>
      <c r="T684" s="283"/>
      <c r="U684" s="283"/>
      <c r="V684" s="283"/>
      <c r="W684" s="283"/>
      <c r="X684" s="283"/>
      <c r="Y684" s="283"/>
      <c r="Z684" s="283"/>
    </row>
    <row r="685" ht="14.25" customHeight="1">
      <c r="A685" s="283"/>
      <c r="B685" s="283"/>
      <c r="C685" s="283"/>
      <c r="D685" s="283"/>
      <c r="E685" s="283"/>
      <c r="F685" s="283"/>
      <c r="G685" s="283"/>
      <c r="H685" s="283"/>
      <c r="I685" s="283"/>
      <c r="J685" s="283"/>
      <c r="K685" s="283"/>
      <c r="L685" s="283"/>
      <c r="M685" s="283"/>
      <c r="N685" s="283"/>
      <c r="O685" s="283"/>
      <c r="P685" s="283"/>
      <c r="Q685" s="283"/>
      <c r="R685" s="283"/>
      <c r="S685" s="283"/>
      <c r="T685" s="283"/>
      <c r="U685" s="283"/>
      <c r="V685" s="283"/>
      <c r="W685" s="283"/>
      <c r="X685" s="283"/>
      <c r="Y685" s="283"/>
      <c r="Z685" s="283"/>
    </row>
    <row r="686" ht="14.25" customHeight="1">
      <c r="A686" s="283"/>
      <c r="B686" s="283"/>
      <c r="C686" s="283"/>
      <c r="D686" s="283"/>
      <c r="E686" s="283"/>
      <c r="F686" s="283"/>
      <c r="G686" s="283"/>
      <c r="H686" s="283"/>
      <c r="I686" s="283"/>
      <c r="J686" s="283"/>
      <c r="K686" s="283"/>
      <c r="L686" s="283"/>
      <c r="M686" s="283"/>
      <c r="N686" s="283"/>
      <c r="O686" s="283"/>
      <c r="P686" s="283"/>
      <c r="Q686" s="283"/>
      <c r="R686" s="283"/>
      <c r="S686" s="283"/>
      <c r="T686" s="283"/>
      <c r="U686" s="283"/>
      <c r="V686" s="283"/>
      <c r="W686" s="283"/>
      <c r="X686" s="283"/>
      <c r="Y686" s="283"/>
      <c r="Z686" s="283"/>
    </row>
    <row r="687" ht="14.25" customHeight="1">
      <c r="A687" s="283"/>
      <c r="B687" s="283"/>
      <c r="C687" s="283"/>
      <c r="D687" s="283"/>
      <c r="E687" s="283"/>
      <c r="F687" s="283"/>
      <c r="G687" s="283"/>
      <c r="H687" s="283"/>
      <c r="I687" s="283"/>
      <c r="J687" s="283"/>
      <c r="K687" s="283"/>
      <c r="L687" s="283"/>
      <c r="M687" s="283"/>
      <c r="N687" s="283"/>
      <c r="O687" s="283"/>
      <c r="P687" s="283"/>
      <c r="Q687" s="283"/>
      <c r="R687" s="283"/>
      <c r="S687" s="283"/>
      <c r="T687" s="283"/>
      <c r="U687" s="283"/>
      <c r="V687" s="283"/>
      <c r="W687" s="283"/>
      <c r="X687" s="283"/>
      <c r="Y687" s="283"/>
      <c r="Z687" s="283"/>
    </row>
    <row r="688" ht="14.25" customHeight="1">
      <c r="A688" s="283"/>
      <c r="B688" s="283"/>
      <c r="C688" s="283"/>
      <c r="D688" s="283"/>
      <c r="E688" s="283"/>
      <c r="F688" s="283"/>
      <c r="G688" s="283"/>
      <c r="H688" s="283"/>
      <c r="I688" s="283"/>
      <c r="J688" s="283"/>
      <c r="K688" s="283"/>
      <c r="L688" s="283"/>
      <c r="M688" s="283"/>
      <c r="N688" s="283"/>
      <c r="O688" s="283"/>
      <c r="P688" s="283"/>
      <c r="Q688" s="283"/>
      <c r="R688" s="283"/>
      <c r="S688" s="283"/>
      <c r="T688" s="283"/>
      <c r="U688" s="283"/>
      <c r="V688" s="283"/>
      <c r="W688" s="283"/>
      <c r="X688" s="283"/>
      <c r="Y688" s="283"/>
      <c r="Z688" s="283"/>
    </row>
    <row r="689" ht="14.25" customHeight="1">
      <c r="A689" s="283"/>
      <c r="B689" s="283"/>
      <c r="C689" s="283"/>
      <c r="D689" s="283"/>
      <c r="E689" s="283"/>
      <c r="F689" s="283"/>
      <c r="G689" s="283"/>
      <c r="H689" s="283"/>
      <c r="I689" s="283"/>
      <c r="J689" s="283"/>
      <c r="K689" s="283"/>
      <c r="L689" s="283"/>
      <c r="M689" s="283"/>
      <c r="N689" s="283"/>
      <c r="O689" s="283"/>
      <c r="P689" s="283"/>
      <c r="Q689" s="283"/>
      <c r="R689" s="283"/>
      <c r="S689" s="283"/>
      <c r="T689" s="283"/>
      <c r="U689" s="283"/>
      <c r="V689" s="283"/>
      <c r="W689" s="283"/>
      <c r="X689" s="283"/>
      <c r="Y689" s="283"/>
      <c r="Z689" s="283"/>
    </row>
    <row r="690" ht="14.25" customHeight="1">
      <c r="A690" s="283"/>
      <c r="B690" s="283"/>
      <c r="C690" s="283"/>
      <c r="D690" s="283"/>
      <c r="E690" s="283"/>
      <c r="F690" s="283"/>
      <c r="G690" s="283"/>
      <c r="H690" s="283"/>
      <c r="I690" s="283"/>
      <c r="J690" s="283"/>
      <c r="K690" s="283"/>
      <c r="L690" s="283"/>
      <c r="M690" s="283"/>
      <c r="N690" s="283"/>
      <c r="O690" s="283"/>
      <c r="P690" s="283"/>
      <c r="Q690" s="283"/>
      <c r="R690" s="283"/>
      <c r="S690" s="283"/>
      <c r="T690" s="283"/>
      <c r="U690" s="283"/>
      <c r="V690" s="283"/>
      <c r="W690" s="283"/>
      <c r="X690" s="283"/>
      <c r="Y690" s="283"/>
      <c r="Z690" s="283"/>
    </row>
    <row r="691" ht="14.25" customHeight="1">
      <c r="A691" s="283"/>
      <c r="B691" s="283"/>
      <c r="C691" s="283"/>
      <c r="D691" s="283"/>
      <c r="E691" s="283"/>
      <c r="F691" s="283"/>
      <c r="G691" s="283"/>
      <c r="H691" s="283"/>
      <c r="I691" s="283"/>
      <c r="J691" s="283"/>
      <c r="K691" s="283"/>
      <c r="L691" s="283"/>
      <c r="M691" s="283"/>
      <c r="N691" s="283"/>
      <c r="O691" s="283"/>
      <c r="P691" s="283"/>
      <c r="Q691" s="283"/>
      <c r="R691" s="283"/>
      <c r="S691" s="283"/>
      <c r="T691" s="283"/>
      <c r="U691" s="283"/>
      <c r="V691" s="283"/>
      <c r="W691" s="283"/>
      <c r="X691" s="283"/>
      <c r="Y691" s="283"/>
      <c r="Z691" s="283"/>
    </row>
    <row r="692" ht="14.25" customHeight="1">
      <c r="A692" s="283"/>
      <c r="B692" s="283"/>
      <c r="C692" s="283"/>
      <c r="D692" s="283"/>
      <c r="E692" s="283"/>
      <c r="F692" s="283"/>
      <c r="G692" s="283"/>
      <c r="H692" s="283"/>
      <c r="I692" s="283"/>
      <c r="J692" s="283"/>
      <c r="K692" s="283"/>
      <c r="L692" s="283"/>
      <c r="M692" s="283"/>
      <c r="N692" s="283"/>
      <c r="O692" s="283"/>
      <c r="P692" s="283"/>
      <c r="Q692" s="283"/>
      <c r="R692" s="283"/>
      <c r="S692" s="283"/>
      <c r="T692" s="283"/>
      <c r="U692" s="283"/>
      <c r="V692" s="283"/>
      <c r="W692" s="283"/>
      <c r="X692" s="283"/>
      <c r="Y692" s="283"/>
      <c r="Z692" s="283"/>
    </row>
    <row r="693" ht="14.25" customHeight="1">
      <c r="A693" s="283"/>
      <c r="B693" s="283"/>
      <c r="C693" s="283"/>
      <c r="D693" s="283"/>
      <c r="E693" s="283"/>
      <c r="F693" s="283"/>
      <c r="G693" s="283"/>
      <c r="H693" s="283"/>
      <c r="I693" s="283"/>
      <c r="J693" s="283"/>
      <c r="K693" s="283"/>
      <c r="L693" s="283"/>
      <c r="M693" s="283"/>
      <c r="N693" s="283"/>
      <c r="O693" s="283"/>
      <c r="P693" s="283"/>
      <c r="Q693" s="283"/>
      <c r="R693" s="283"/>
      <c r="S693" s="283"/>
      <c r="T693" s="283"/>
      <c r="U693" s="283"/>
      <c r="V693" s="283"/>
      <c r="W693" s="283"/>
      <c r="X693" s="283"/>
      <c r="Y693" s="283"/>
      <c r="Z693" s="283"/>
    </row>
    <row r="694" ht="14.25" customHeight="1">
      <c r="A694" s="283"/>
      <c r="B694" s="283"/>
      <c r="C694" s="283"/>
      <c r="D694" s="283"/>
      <c r="E694" s="283"/>
      <c r="F694" s="283"/>
      <c r="G694" s="283"/>
      <c r="H694" s="283"/>
      <c r="I694" s="283"/>
      <c r="J694" s="283"/>
      <c r="K694" s="283"/>
      <c r="L694" s="283"/>
      <c r="M694" s="283"/>
      <c r="N694" s="283"/>
      <c r="O694" s="283"/>
      <c r="P694" s="283"/>
      <c r="Q694" s="283"/>
      <c r="R694" s="283"/>
      <c r="S694" s="283"/>
      <c r="T694" s="283"/>
      <c r="U694" s="283"/>
      <c r="V694" s="283"/>
      <c r="W694" s="283"/>
      <c r="X694" s="283"/>
      <c r="Y694" s="283"/>
      <c r="Z694" s="283"/>
    </row>
    <row r="695" ht="14.25" customHeight="1">
      <c r="A695" s="283"/>
      <c r="B695" s="283"/>
      <c r="C695" s="283"/>
      <c r="D695" s="283"/>
      <c r="E695" s="283"/>
      <c r="F695" s="283"/>
      <c r="G695" s="283"/>
      <c r="H695" s="283"/>
      <c r="I695" s="283"/>
      <c r="J695" s="283"/>
      <c r="K695" s="283"/>
      <c r="L695" s="283"/>
      <c r="M695" s="283"/>
      <c r="N695" s="283"/>
      <c r="O695" s="283"/>
      <c r="P695" s="283"/>
      <c r="Q695" s="283"/>
      <c r="R695" s="283"/>
      <c r="S695" s="283"/>
      <c r="T695" s="283"/>
      <c r="U695" s="283"/>
      <c r="V695" s="283"/>
      <c r="W695" s="283"/>
      <c r="X695" s="283"/>
      <c r="Y695" s="283"/>
      <c r="Z695" s="283"/>
    </row>
    <row r="696" ht="14.25" customHeight="1">
      <c r="A696" s="283"/>
      <c r="B696" s="283"/>
      <c r="C696" s="283"/>
      <c r="D696" s="283"/>
      <c r="E696" s="283"/>
      <c r="F696" s="283"/>
      <c r="G696" s="283"/>
      <c r="H696" s="283"/>
      <c r="I696" s="283"/>
      <c r="J696" s="283"/>
      <c r="K696" s="283"/>
      <c r="L696" s="283"/>
      <c r="M696" s="283"/>
      <c r="N696" s="283"/>
      <c r="O696" s="283"/>
      <c r="P696" s="283"/>
      <c r="Q696" s="283"/>
      <c r="R696" s="283"/>
      <c r="S696" s="283"/>
      <c r="T696" s="283"/>
      <c r="U696" s="283"/>
      <c r="V696" s="283"/>
      <c r="W696" s="283"/>
      <c r="X696" s="283"/>
      <c r="Y696" s="283"/>
      <c r="Z696" s="283"/>
    </row>
    <row r="697" ht="14.25" customHeight="1">
      <c r="A697" s="283"/>
      <c r="B697" s="283"/>
      <c r="C697" s="283"/>
      <c r="D697" s="283"/>
      <c r="E697" s="283"/>
      <c r="F697" s="283"/>
      <c r="G697" s="283"/>
      <c r="H697" s="283"/>
      <c r="I697" s="283"/>
      <c r="J697" s="283"/>
      <c r="K697" s="283"/>
      <c r="L697" s="283"/>
      <c r="M697" s="283"/>
      <c r="N697" s="283"/>
      <c r="O697" s="283"/>
      <c r="P697" s="283"/>
      <c r="Q697" s="283"/>
      <c r="R697" s="283"/>
      <c r="S697" s="283"/>
      <c r="T697" s="283"/>
      <c r="U697" s="283"/>
      <c r="V697" s="283"/>
      <c r="W697" s="283"/>
      <c r="X697" s="283"/>
      <c r="Y697" s="283"/>
      <c r="Z697" s="283"/>
    </row>
    <row r="698" ht="14.25" customHeight="1">
      <c r="A698" s="283"/>
      <c r="B698" s="283"/>
      <c r="C698" s="283"/>
      <c r="D698" s="283"/>
      <c r="E698" s="283"/>
      <c r="F698" s="283"/>
      <c r="G698" s="283"/>
      <c r="H698" s="283"/>
      <c r="I698" s="283"/>
      <c r="J698" s="283"/>
      <c r="K698" s="283"/>
      <c r="L698" s="283"/>
      <c r="M698" s="283"/>
      <c r="N698" s="283"/>
      <c r="O698" s="283"/>
      <c r="P698" s="283"/>
      <c r="Q698" s="283"/>
      <c r="R698" s="283"/>
      <c r="S698" s="283"/>
      <c r="T698" s="283"/>
      <c r="U698" s="283"/>
      <c r="V698" s="283"/>
      <c r="W698" s="283"/>
      <c r="X698" s="283"/>
      <c r="Y698" s="283"/>
      <c r="Z698" s="283"/>
    </row>
    <row r="699" ht="14.25" customHeight="1">
      <c r="A699" s="283"/>
      <c r="B699" s="283"/>
      <c r="C699" s="283"/>
      <c r="D699" s="283"/>
      <c r="E699" s="283"/>
      <c r="F699" s="283"/>
      <c r="G699" s="283"/>
      <c r="H699" s="283"/>
      <c r="I699" s="283"/>
      <c r="J699" s="283"/>
      <c r="K699" s="283"/>
      <c r="L699" s="283"/>
      <c r="M699" s="283"/>
      <c r="N699" s="283"/>
      <c r="O699" s="283"/>
      <c r="P699" s="283"/>
      <c r="Q699" s="283"/>
      <c r="R699" s="283"/>
      <c r="S699" s="283"/>
      <c r="T699" s="283"/>
      <c r="U699" s="283"/>
      <c r="V699" s="283"/>
      <c r="W699" s="283"/>
      <c r="X699" s="283"/>
      <c r="Y699" s="283"/>
      <c r="Z699" s="283"/>
    </row>
    <row r="700" ht="14.25" customHeight="1">
      <c r="A700" s="283"/>
      <c r="B700" s="283"/>
      <c r="C700" s="283"/>
      <c r="D700" s="283"/>
      <c r="E700" s="283"/>
      <c r="F700" s="283"/>
      <c r="G700" s="283"/>
      <c r="H700" s="283"/>
      <c r="I700" s="283"/>
      <c r="J700" s="283"/>
      <c r="K700" s="283"/>
      <c r="L700" s="283"/>
      <c r="M700" s="283"/>
      <c r="N700" s="283"/>
      <c r="O700" s="283"/>
      <c r="P700" s="283"/>
      <c r="Q700" s="283"/>
      <c r="R700" s="283"/>
      <c r="S700" s="283"/>
      <c r="T700" s="283"/>
      <c r="U700" s="283"/>
      <c r="V700" s="283"/>
      <c r="W700" s="283"/>
      <c r="X700" s="283"/>
      <c r="Y700" s="283"/>
      <c r="Z700" s="283"/>
    </row>
    <row r="701" ht="14.25" customHeight="1">
      <c r="A701" s="283"/>
      <c r="B701" s="283"/>
      <c r="C701" s="283"/>
      <c r="D701" s="283"/>
      <c r="E701" s="283"/>
      <c r="F701" s="283"/>
      <c r="G701" s="283"/>
      <c r="H701" s="283"/>
      <c r="I701" s="283"/>
      <c r="J701" s="283"/>
      <c r="K701" s="283"/>
      <c r="L701" s="283"/>
      <c r="M701" s="283"/>
      <c r="N701" s="283"/>
      <c r="O701" s="283"/>
      <c r="P701" s="283"/>
      <c r="Q701" s="283"/>
      <c r="R701" s="283"/>
      <c r="S701" s="283"/>
      <c r="T701" s="283"/>
      <c r="U701" s="283"/>
      <c r="V701" s="283"/>
      <c r="W701" s="283"/>
      <c r="X701" s="283"/>
      <c r="Y701" s="283"/>
      <c r="Z701" s="283"/>
    </row>
    <row r="702" ht="14.25" customHeight="1">
      <c r="A702" s="283"/>
      <c r="B702" s="283"/>
      <c r="C702" s="283"/>
      <c r="D702" s="283"/>
      <c r="E702" s="283"/>
      <c r="F702" s="283"/>
      <c r="G702" s="283"/>
      <c r="H702" s="283"/>
      <c r="I702" s="283"/>
      <c r="J702" s="283"/>
      <c r="K702" s="283"/>
      <c r="L702" s="283"/>
      <c r="M702" s="283"/>
      <c r="N702" s="283"/>
      <c r="O702" s="283"/>
      <c r="P702" s="283"/>
      <c r="Q702" s="283"/>
      <c r="R702" s="283"/>
      <c r="S702" s="283"/>
      <c r="T702" s="283"/>
      <c r="U702" s="283"/>
      <c r="V702" s="283"/>
      <c r="W702" s="283"/>
      <c r="X702" s="283"/>
      <c r="Y702" s="283"/>
      <c r="Z702" s="283"/>
    </row>
    <row r="703" ht="14.25" customHeight="1">
      <c r="A703" s="283"/>
      <c r="B703" s="283"/>
      <c r="C703" s="283"/>
      <c r="D703" s="283"/>
      <c r="E703" s="283"/>
      <c r="F703" s="283"/>
      <c r="G703" s="283"/>
      <c r="H703" s="283"/>
      <c r="I703" s="283"/>
      <c r="J703" s="283"/>
      <c r="K703" s="283"/>
      <c r="L703" s="283"/>
      <c r="M703" s="283"/>
      <c r="N703" s="283"/>
      <c r="O703" s="283"/>
      <c r="P703" s="283"/>
      <c r="Q703" s="283"/>
      <c r="R703" s="283"/>
      <c r="S703" s="283"/>
      <c r="T703" s="283"/>
      <c r="U703" s="283"/>
      <c r="V703" s="283"/>
      <c r="W703" s="283"/>
      <c r="X703" s="283"/>
      <c r="Y703" s="283"/>
      <c r="Z703" s="283"/>
    </row>
    <row r="704" ht="14.25" customHeight="1">
      <c r="A704" s="283"/>
      <c r="B704" s="283"/>
      <c r="C704" s="283"/>
      <c r="D704" s="283"/>
      <c r="E704" s="283"/>
      <c r="F704" s="283"/>
      <c r="G704" s="283"/>
      <c r="H704" s="283"/>
      <c r="I704" s="283"/>
      <c r="J704" s="283"/>
      <c r="K704" s="283"/>
      <c r="L704" s="283"/>
      <c r="M704" s="283"/>
      <c r="N704" s="283"/>
      <c r="O704" s="283"/>
      <c r="P704" s="283"/>
      <c r="Q704" s="283"/>
      <c r="R704" s="283"/>
      <c r="S704" s="283"/>
      <c r="T704" s="283"/>
      <c r="U704" s="283"/>
      <c r="V704" s="283"/>
      <c r="W704" s="283"/>
      <c r="X704" s="283"/>
      <c r="Y704" s="283"/>
      <c r="Z704" s="283"/>
    </row>
    <row r="705" ht="14.25" customHeight="1">
      <c r="A705" s="283"/>
      <c r="B705" s="283"/>
      <c r="C705" s="283"/>
      <c r="D705" s="283"/>
      <c r="E705" s="283"/>
      <c r="F705" s="283"/>
      <c r="G705" s="283"/>
      <c r="H705" s="283"/>
      <c r="I705" s="283"/>
      <c r="J705" s="283"/>
      <c r="K705" s="283"/>
      <c r="L705" s="283"/>
      <c r="M705" s="283"/>
      <c r="N705" s="283"/>
      <c r="O705" s="283"/>
      <c r="P705" s="283"/>
      <c r="Q705" s="283"/>
      <c r="R705" s="283"/>
      <c r="S705" s="283"/>
      <c r="T705" s="283"/>
      <c r="U705" s="283"/>
      <c r="V705" s="283"/>
      <c r="W705" s="283"/>
      <c r="X705" s="283"/>
      <c r="Y705" s="283"/>
      <c r="Z705" s="283"/>
    </row>
    <row r="706" ht="14.25" customHeight="1">
      <c r="A706" s="283"/>
      <c r="B706" s="283"/>
      <c r="C706" s="283"/>
      <c r="D706" s="283"/>
      <c r="E706" s="283"/>
      <c r="F706" s="283"/>
      <c r="G706" s="283"/>
      <c r="H706" s="283"/>
      <c r="I706" s="283"/>
      <c r="J706" s="283"/>
      <c r="K706" s="283"/>
      <c r="L706" s="283"/>
      <c r="M706" s="283"/>
      <c r="N706" s="283"/>
      <c r="O706" s="283"/>
      <c r="P706" s="283"/>
      <c r="Q706" s="283"/>
      <c r="R706" s="283"/>
      <c r="S706" s="283"/>
      <c r="T706" s="283"/>
      <c r="U706" s="283"/>
      <c r="V706" s="283"/>
      <c r="W706" s="283"/>
      <c r="X706" s="283"/>
      <c r="Y706" s="283"/>
      <c r="Z706" s="283"/>
    </row>
    <row r="707" ht="14.25" customHeight="1">
      <c r="A707" s="283"/>
      <c r="B707" s="283"/>
      <c r="C707" s="283"/>
      <c r="D707" s="283"/>
      <c r="E707" s="283"/>
      <c r="F707" s="283"/>
      <c r="G707" s="283"/>
      <c r="H707" s="283"/>
      <c r="I707" s="283"/>
      <c r="J707" s="283"/>
      <c r="K707" s="283"/>
      <c r="L707" s="283"/>
      <c r="M707" s="283"/>
      <c r="N707" s="283"/>
      <c r="O707" s="283"/>
      <c r="P707" s="283"/>
      <c r="Q707" s="283"/>
      <c r="R707" s="283"/>
      <c r="S707" s="283"/>
      <c r="T707" s="283"/>
      <c r="U707" s="283"/>
      <c r="V707" s="283"/>
      <c r="W707" s="283"/>
      <c r="X707" s="283"/>
      <c r="Y707" s="283"/>
      <c r="Z707" s="283"/>
    </row>
    <row r="708" ht="14.25" customHeight="1">
      <c r="A708" s="283"/>
      <c r="B708" s="283"/>
      <c r="C708" s="283"/>
      <c r="D708" s="283"/>
      <c r="E708" s="283"/>
      <c r="F708" s="283"/>
      <c r="G708" s="283"/>
      <c r="H708" s="283"/>
      <c r="I708" s="283"/>
      <c r="J708" s="283"/>
      <c r="K708" s="283"/>
      <c r="L708" s="283"/>
      <c r="M708" s="283"/>
      <c r="N708" s="283"/>
      <c r="O708" s="283"/>
      <c r="P708" s="283"/>
      <c r="Q708" s="283"/>
      <c r="R708" s="283"/>
      <c r="S708" s="283"/>
      <c r="T708" s="283"/>
      <c r="U708" s="283"/>
      <c r="V708" s="283"/>
      <c r="W708" s="283"/>
      <c r="X708" s="283"/>
      <c r="Y708" s="283"/>
      <c r="Z708" s="283"/>
    </row>
    <row r="709" ht="14.25" customHeight="1">
      <c r="A709" s="283"/>
      <c r="B709" s="283"/>
      <c r="C709" s="283"/>
      <c r="D709" s="283"/>
      <c r="E709" s="283"/>
      <c r="F709" s="283"/>
      <c r="G709" s="283"/>
      <c r="H709" s="283"/>
      <c r="I709" s="283"/>
      <c r="J709" s="283"/>
      <c r="K709" s="283"/>
      <c r="L709" s="283"/>
      <c r="M709" s="283"/>
      <c r="N709" s="283"/>
      <c r="O709" s="283"/>
      <c r="P709" s="283"/>
      <c r="Q709" s="283"/>
      <c r="R709" s="283"/>
      <c r="S709" s="283"/>
      <c r="T709" s="283"/>
      <c r="U709" s="283"/>
      <c r="V709" s="283"/>
      <c r="W709" s="283"/>
      <c r="X709" s="283"/>
      <c r="Y709" s="283"/>
      <c r="Z709" s="283"/>
    </row>
    <row r="710" ht="14.25" customHeight="1">
      <c r="A710" s="283"/>
      <c r="B710" s="283"/>
      <c r="C710" s="283"/>
      <c r="D710" s="283"/>
      <c r="E710" s="283"/>
      <c r="F710" s="283"/>
      <c r="G710" s="283"/>
      <c r="H710" s="283"/>
      <c r="I710" s="283"/>
      <c r="J710" s="283"/>
      <c r="K710" s="283"/>
      <c r="L710" s="283"/>
      <c r="M710" s="283"/>
      <c r="N710" s="283"/>
      <c r="O710" s="283"/>
      <c r="P710" s="283"/>
      <c r="Q710" s="283"/>
      <c r="R710" s="283"/>
      <c r="S710" s="283"/>
      <c r="T710" s="283"/>
      <c r="U710" s="283"/>
      <c r="V710" s="283"/>
      <c r="W710" s="283"/>
      <c r="X710" s="283"/>
      <c r="Y710" s="283"/>
      <c r="Z710" s="283"/>
    </row>
    <row r="711" ht="14.25" customHeight="1">
      <c r="A711" s="283"/>
      <c r="B711" s="283"/>
      <c r="C711" s="283"/>
      <c r="D711" s="283"/>
      <c r="E711" s="283"/>
      <c r="F711" s="283"/>
      <c r="G711" s="283"/>
      <c r="H711" s="283"/>
      <c r="I711" s="283"/>
      <c r="J711" s="283"/>
      <c r="K711" s="283"/>
      <c r="L711" s="283"/>
      <c r="M711" s="283"/>
      <c r="N711" s="283"/>
      <c r="O711" s="283"/>
      <c r="P711" s="283"/>
      <c r="Q711" s="283"/>
      <c r="R711" s="283"/>
      <c r="S711" s="283"/>
      <c r="T711" s="283"/>
      <c r="U711" s="283"/>
      <c r="V711" s="283"/>
      <c r="W711" s="283"/>
      <c r="X711" s="283"/>
      <c r="Y711" s="283"/>
      <c r="Z711" s="283"/>
    </row>
    <row r="712" ht="14.25" customHeight="1">
      <c r="A712" s="283"/>
      <c r="B712" s="283"/>
      <c r="C712" s="283"/>
      <c r="D712" s="283"/>
      <c r="E712" s="283"/>
      <c r="F712" s="283"/>
      <c r="G712" s="283"/>
      <c r="H712" s="283"/>
      <c r="I712" s="283"/>
      <c r="J712" s="283"/>
      <c r="K712" s="283"/>
      <c r="L712" s="283"/>
      <c r="M712" s="283"/>
      <c r="N712" s="283"/>
      <c r="O712" s="283"/>
      <c r="P712" s="283"/>
      <c r="Q712" s="283"/>
      <c r="R712" s="283"/>
      <c r="S712" s="283"/>
      <c r="T712" s="283"/>
      <c r="U712" s="283"/>
      <c r="V712" s="283"/>
      <c r="W712" s="283"/>
      <c r="X712" s="283"/>
      <c r="Y712" s="283"/>
      <c r="Z712" s="283"/>
    </row>
    <row r="713" ht="14.25" customHeight="1">
      <c r="A713" s="283"/>
      <c r="B713" s="283"/>
      <c r="C713" s="283"/>
      <c r="D713" s="283"/>
      <c r="E713" s="283"/>
      <c r="F713" s="283"/>
      <c r="G713" s="283"/>
      <c r="H713" s="283"/>
      <c r="I713" s="283"/>
      <c r="J713" s="283"/>
      <c r="K713" s="283"/>
      <c r="L713" s="283"/>
      <c r="M713" s="283"/>
      <c r="N713" s="283"/>
      <c r="O713" s="283"/>
      <c r="P713" s="283"/>
      <c r="Q713" s="283"/>
      <c r="R713" s="283"/>
      <c r="S713" s="283"/>
      <c r="T713" s="283"/>
      <c r="U713" s="283"/>
      <c r="V713" s="283"/>
      <c r="W713" s="283"/>
      <c r="X713" s="283"/>
      <c r="Y713" s="283"/>
      <c r="Z713" s="283"/>
    </row>
    <row r="714" ht="14.25" customHeight="1">
      <c r="A714" s="283"/>
      <c r="B714" s="283"/>
      <c r="C714" s="283"/>
      <c r="D714" s="283"/>
      <c r="E714" s="283"/>
      <c r="F714" s="283"/>
      <c r="G714" s="283"/>
      <c r="H714" s="283"/>
      <c r="I714" s="283"/>
      <c r="J714" s="283"/>
      <c r="K714" s="283"/>
      <c r="L714" s="283"/>
      <c r="M714" s="283"/>
      <c r="N714" s="283"/>
      <c r="O714" s="283"/>
      <c r="P714" s="283"/>
      <c r="Q714" s="283"/>
      <c r="R714" s="283"/>
      <c r="S714" s="283"/>
      <c r="T714" s="283"/>
      <c r="U714" s="283"/>
      <c r="V714" s="283"/>
      <c r="W714" s="283"/>
      <c r="X714" s="283"/>
      <c r="Y714" s="283"/>
      <c r="Z714" s="283"/>
    </row>
    <row r="715" ht="14.25" customHeight="1">
      <c r="A715" s="283"/>
      <c r="B715" s="283"/>
      <c r="C715" s="283"/>
      <c r="D715" s="283"/>
      <c r="E715" s="283"/>
      <c r="F715" s="283"/>
      <c r="G715" s="283"/>
      <c r="H715" s="283"/>
      <c r="I715" s="283"/>
      <c r="J715" s="283"/>
      <c r="K715" s="283"/>
      <c r="L715" s="283"/>
      <c r="M715" s="283"/>
      <c r="N715" s="283"/>
      <c r="O715" s="283"/>
      <c r="P715" s="283"/>
      <c r="Q715" s="283"/>
      <c r="R715" s="283"/>
      <c r="S715" s="283"/>
      <c r="T715" s="283"/>
      <c r="U715" s="283"/>
      <c r="V715" s="283"/>
      <c r="W715" s="283"/>
      <c r="X715" s="283"/>
      <c r="Y715" s="283"/>
      <c r="Z715" s="283"/>
    </row>
    <row r="716" ht="14.25" customHeight="1">
      <c r="A716" s="283"/>
      <c r="B716" s="283"/>
      <c r="C716" s="283"/>
      <c r="D716" s="283"/>
      <c r="E716" s="283"/>
      <c r="F716" s="283"/>
      <c r="G716" s="283"/>
      <c r="H716" s="283"/>
      <c r="I716" s="283"/>
      <c r="J716" s="283"/>
      <c r="K716" s="283"/>
      <c r="L716" s="283"/>
      <c r="M716" s="283"/>
      <c r="N716" s="283"/>
      <c r="O716" s="283"/>
      <c r="P716" s="283"/>
      <c r="Q716" s="283"/>
      <c r="R716" s="283"/>
      <c r="S716" s="283"/>
      <c r="T716" s="283"/>
      <c r="U716" s="283"/>
      <c r="V716" s="283"/>
      <c r="W716" s="283"/>
      <c r="X716" s="283"/>
      <c r="Y716" s="283"/>
      <c r="Z716" s="283"/>
    </row>
    <row r="717" ht="14.25" customHeight="1">
      <c r="A717" s="283"/>
      <c r="B717" s="283"/>
      <c r="C717" s="283"/>
      <c r="D717" s="283"/>
      <c r="E717" s="283"/>
      <c r="F717" s="283"/>
      <c r="G717" s="283"/>
      <c r="H717" s="283"/>
      <c r="I717" s="283"/>
      <c r="J717" s="283"/>
      <c r="K717" s="283"/>
      <c r="L717" s="283"/>
      <c r="M717" s="283"/>
      <c r="N717" s="283"/>
      <c r="O717" s="283"/>
      <c r="P717" s="283"/>
      <c r="Q717" s="283"/>
      <c r="R717" s="283"/>
      <c r="S717" s="283"/>
      <c r="T717" s="283"/>
      <c r="U717" s="283"/>
      <c r="V717" s="283"/>
      <c r="W717" s="283"/>
      <c r="X717" s="283"/>
      <c r="Y717" s="283"/>
      <c r="Z717" s="283"/>
    </row>
    <row r="718" ht="14.25" customHeight="1">
      <c r="A718" s="283"/>
      <c r="B718" s="283"/>
      <c r="C718" s="283"/>
      <c r="D718" s="283"/>
      <c r="E718" s="283"/>
      <c r="F718" s="283"/>
      <c r="G718" s="283"/>
      <c r="H718" s="283"/>
      <c r="I718" s="283"/>
      <c r="J718" s="283"/>
      <c r="K718" s="283"/>
      <c r="L718" s="283"/>
      <c r="M718" s="283"/>
      <c r="N718" s="283"/>
      <c r="O718" s="283"/>
      <c r="P718" s="283"/>
      <c r="Q718" s="283"/>
      <c r="R718" s="283"/>
      <c r="S718" s="283"/>
      <c r="T718" s="283"/>
      <c r="U718" s="283"/>
      <c r="V718" s="283"/>
      <c r="W718" s="283"/>
      <c r="X718" s="283"/>
      <c r="Y718" s="283"/>
      <c r="Z718" s="283"/>
    </row>
    <row r="719" ht="14.25" customHeight="1">
      <c r="A719" s="283"/>
      <c r="B719" s="283"/>
      <c r="C719" s="283"/>
      <c r="D719" s="283"/>
      <c r="E719" s="283"/>
      <c r="F719" s="283"/>
      <c r="G719" s="283"/>
      <c r="H719" s="283"/>
      <c r="I719" s="283"/>
      <c r="J719" s="283"/>
      <c r="K719" s="283"/>
      <c r="L719" s="283"/>
      <c r="M719" s="283"/>
      <c r="N719" s="283"/>
      <c r="O719" s="283"/>
      <c r="P719" s="283"/>
      <c r="Q719" s="283"/>
      <c r="R719" s="283"/>
      <c r="S719" s="283"/>
      <c r="T719" s="283"/>
      <c r="U719" s="283"/>
      <c r="V719" s="283"/>
      <c r="W719" s="283"/>
      <c r="X719" s="283"/>
      <c r="Y719" s="283"/>
      <c r="Z719" s="283"/>
    </row>
    <row r="720" ht="14.25" customHeight="1">
      <c r="A720" s="283"/>
      <c r="B720" s="283"/>
      <c r="C720" s="283"/>
      <c r="D720" s="283"/>
      <c r="E720" s="283"/>
      <c r="F720" s="283"/>
      <c r="G720" s="283"/>
      <c r="H720" s="283"/>
      <c r="I720" s="283"/>
      <c r="J720" s="283"/>
      <c r="K720" s="283"/>
      <c r="L720" s="283"/>
      <c r="M720" s="283"/>
      <c r="N720" s="283"/>
      <c r="O720" s="283"/>
      <c r="P720" s="283"/>
      <c r="Q720" s="283"/>
      <c r="R720" s="283"/>
      <c r="S720" s="283"/>
      <c r="T720" s="283"/>
      <c r="U720" s="283"/>
      <c r="V720" s="283"/>
      <c r="W720" s="283"/>
      <c r="X720" s="283"/>
      <c r="Y720" s="283"/>
      <c r="Z720" s="283"/>
    </row>
    <row r="721" ht="14.25" customHeight="1">
      <c r="A721" s="283"/>
      <c r="B721" s="283"/>
      <c r="C721" s="283"/>
      <c r="D721" s="283"/>
      <c r="E721" s="283"/>
      <c r="F721" s="283"/>
      <c r="G721" s="283"/>
      <c r="H721" s="283"/>
      <c r="I721" s="283"/>
      <c r="J721" s="283"/>
      <c r="K721" s="283"/>
      <c r="L721" s="283"/>
      <c r="M721" s="283"/>
      <c r="N721" s="283"/>
      <c r="O721" s="283"/>
      <c r="P721" s="283"/>
      <c r="Q721" s="283"/>
      <c r="R721" s="283"/>
      <c r="S721" s="283"/>
      <c r="T721" s="283"/>
      <c r="U721" s="283"/>
      <c r="V721" s="283"/>
      <c r="W721" s="283"/>
      <c r="X721" s="283"/>
      <c r="Y721" s="283"/>
      <c r="Z721" s="283"/>
    </row>
    <row r="722" ht="14.25" customHeight="1">
      <c r="A722" s="283"/>
      <c r="B722" s="283"/>
      <c r="C722" s="283"/>
      <c r="D722" s="283"/>
      <c r="E722" s="283"/>
      <c r="F722" s="283"/>
      <c r="G722" s="283"/>
      <c r="H722" s="283"/>
      <c r="I722" s="283"/>
      <c r="J722" s="283"/>
      <c r="K722" s="283"/>
      <c r="L722" s="283"/>
      <c r="M722" s="283"/>
      <c r="N722" s="283"/>
      <c r="O722" s="283"/>
      <c r="P722" s="283"/>
      <c r="Q722" s="283"/>
      <c r="R722" s="283"/>
      <c r="S722" s="283"/>
      <c r="T722" s="283"/>
      <c r="U722" s="283"/>
      <c r="V722" s="283"/>
      <c r="W722" s="283"/>
      <c r="X722" s="283"/>
      <c r="Y722" s="283"/>
      <c r="Z722" s="283"/>
    </row>
    <row r="723" ht="14.25" customHeight="1">
      <c r="A723" s="283"/>
      <c r="B723" s="283"/>
      <c r="C723" s="283"/>
      <c r="D723" s="283"/>
      <c r="E723" s="283"/>
      <c r="F723" s="283"/>
      <c r="G723" s="283"/>
      <c r="H723" s="283"/>
      <c r="I723" s="283"/>
      <c r="J723" s="283"/>
      <c r="K723" s="283"/>
      <c r="L723" s="283"/>
      <c r="M723" s="283"/>
      <c r="N723" s="283"/>
      <c r="O723" s="283"/>
      <c r="P723" s="283"/>
      <c r="Q723" s="283"/>
      <c r="R723" s="283"/>
      <c r="S723" s="283"/>
      <c r="T723" s="283"/>
      <c r="U723" s="283"/>
      <c r="V723" s="283"/>
      <c r="W723" s="283"/>
      <c r="X723" s="283"/>
      <c r="Y723" s="283"/>
      <c r="Z723" s="283"/>
    </row>
    <row r="724" ht="14.25" customHeight="1">
      <c r="A724" s="283"/>
      <c r="B724" s="283"/>
      <c r="C724" s="283"/>
      <c r="D724" s="283"/>
      <c r="E724" s="283"/>
      <c r="F724" s="283"/>
      <c r="G724" s="283"/>
      <c r="H724" s="283"/>
      <c r="I724" s="283"/>
      <c r="J724" s="283"/>
      <c r="K724" s="283"/>
      <c r="L724" s="283"/>
      <c r="M724" s="283"/>
      <c r="N724" s="283"/>
      <c r="O724" s="283"/>
      <c r="P724" s="283"/>
      <c r="Q724" s="283"/>
      <c r="R724" s="283"/>
      <c r="S724" s="283"/>
      <c r="T724" s="283"/>
      <c r="U724" s="283"/>
      <c r="V724" s="283"/>
      <c r="W724" s="283"/>
      <c r="X724" s="283"/>
      <c r="Y724" s="283"/>
      <c r="Z724" s="283"/>
    </row>
    <row r="725" ht="14.25" customHeight="1">
      <c r="A725" s="283"/>
      <c r="B725" s="283"/>
      <c r="C725" s="283"/>
      <c r="D725" s="283"/>
      <c r="E725" s="283"/>
      <c r="F725" s="283"/>
      <c r="G725" s="283"/>
      <c r="H725" s="283"/>
      <c r="I725" s="283"/>
      <c r="J725" s="283"/>
      <c r="K725" s="283"/>
      <c r="L725" s="283"/>
      <c r="M725" s="283"/>
      <c r="N725" s="283"/>
      <c r="O725" s="283"/>
      <c r="P725" s="283"/>
      <c r="Q725" s="283"/>
      <c r="R725" s="283"/>
      <c r="S725" s="283"/>
      <c r="T725" s="283"/>
      <c r="U725" s="283"/>
      <c r="V725" s="283"/>
      <c r="W725" s="283"/>
      <c r="X725" s="283"/>
      <c r="Y725" s="283"/>
      <c r="Z725" s="283"/>
    </row>
    <row r="726" ht="14.25" customHeight="1">
      <c r="A726" s="283"/>
      <c r="B726" s="283"/>
      <c r="C726" s="283"/>
      <c r="D726" s="283"/>
      <c r="E726" s="283"/>
      <c r="F726" s="283"/>
      <c r="G726" s="283"/>
      <c r="H726" s="283"/>
      <c r="I726" s="283"/>
      <c r="J726" s="283"/>
      <c r="K726" s="283"/>
      <c r="L726" s="283"/>
      <c r="M726" s="283"/>
      <c r="N726" s="283"/>
      <c r="O726" s="283"/>
      <c r="P726" s="283"/>
      <c r="Q726" s="283"/>
      <c r="R726" s="283"/>
      <c r="S726" s="283"/>
      <c r="T726" s="283"/>
      <c r="U726" s="283"/>
      <c r="V726" s="283"/>
      <c r="W726" s="283"/>
      <c r="X726" s="283"/>
      <c r="Y726" s="283"/>
      <c r="Z726" s="283"/>
    </row>
    <row r="727" ht="14.25" customHeight="1">
      <c r="A727" s="283"/>
      <c r="B727" s="283"/>
      <c r="C727" s="283"/>
      <c r="D727" s="283"/>
      <c r="E727" s="283"/>
      <c r="F727" s="283"/>
      <c r="G727" s="283"/>
      <c r="H727" s="283"/>
      <c r="I727" s="283"/>
      <c r="J727" s="283"/>
      <c r="K727" s="283"/>
      <c r="L727" s="283"/>
      <c r="M727" s="283"/>
      <c r="N727" s="283"/>
      <c r="O727" s="283"/>
      <c r="P727" s="283"/>
      <c r="Q727" s="283"/>
      <c r="R727" s="283"/>
      <c r="S727" s="283"/>
      <c r="T727" s="283"/>
      <c r="U727" s="283"/>
      <c r="V727" s="283"/>
      <c r="W727" s="283"/>
      <c r="X727" s="283"/>
      <c r="Y727" s="283"/>
      <c r="Z727" s="283"/>
    </row>
    <row r="728" ht="14.25" customHeight="1">
      <c r="A728" s="283"/>
      <c r="B728" s="283"/>
      <c r="C728" s="283"/>
      <c r="D728" s="283"/>
      <c r="E728" s="283"/>
      <c r="F728" s="283"/>
      <c r="G728" s="283"/>
      <c r="H728" s="283"/>
      <c r="I728" s="283"/>
      <c r="J728" s="283"/>
      <c r="K728" s="283"/>
      <c r="L728" s="283"/>
      <c r="M728" s="283"/>
      <c r="N728" s="283"/>
      <c r="O728" s="283"/>
      <c r="P728" s="283"/>
      <c r="Q728" s="283"/>
      <c r="R728" s="283"/>
      <c r="S728" s="283"/>
      <c r="T728" s="283"/>
      <c r="U728" s="283"/>
      <c r="V728" s="283"/>
      <c r="W728" s="283"/>
      <c r="X728" s="283"/>
      <c r="Y728" s="283"/>
      <c r="Z728" s="283"/>
    </row>
    <row r="729" ht="14.25" customHeight="1">
      <c r="A729" s="283"/>
      <c r="B729" s="283"/>
      <c r="C729" s="283"/>
      <c r="D729" s="283"/>
      <c r="E729" s="283"/>
      <c r="F729" s="283"/>
      <c r="G729" s="283"/>
      <c r="H729" s="283"/>
      <c r="I729" s="283"/>
      <c r="J729" s="283"/>
      <c r="K729" s="283"/>
      <c r="L729" s="283"/>
      <c r="M729" s="283"/>
      <c r="N729" s="283"/>
      <c r="O729" s="283"/>
      <c r="P729" s="283"/>
      <c r="Q729" s="283"/>
      <c r="R729" s="283"/>
      <c r="S729" s="283"/>
      <c r="T729" s="283"/>
      <c r="U729" s="283"/>
      <c r="V729" s="283"/>
      <c r="W729" s="283"/>
      <c r="X729" s="283"/>
      <c r="Y729" s="283"/>
      <c r="Z729" s="283"/>
    </row>
    <row r="730" ht="14.25" customHeight="1">
      <c r="A730" s="283"/>
      <c r="B730" s="283"/>
      <c r="C730" s="283"/>
      <c r="D730" s="283"/>
      <c r="E730" s="283"/>
      <c r="F730" s="283"/>
      <c r="G730" s="283"/>
      <c r="H730" s="283"/>
      <c r="I730" s="283"/>
      <c r="J730" s="283"/>
      <c r="K730" s="283"/>
      <c r="L730" s="283"/>
      <c r="M730" s="283"/>
      <c r="N730" s="283"/>
      <c r="O730" s="283"/>
      <c r="P730" s="283"/>
      <c r="Q730" s="283"/>
      <c r="R730" s="283"/>
      <c r="S730" s="283"/>
      <c r="T730" s="283"/>
      <c r="U730" s="283"/>
      <c r="V730" s="283"/>
      <c r="W730" s="283"/>
      <c r="X730" s="283"/>
      <c r="Y730" s="283"/>
      <c r="Z730" s="283"/>
    </row>
    <row r="731" ht="14.25" customHeight="1">
      <c r="A731" s="283"/>
      <c r="B731" s="283"/>
      <c r="C731" s="283"/>
      <c r="D731" s="283"/>
      <c r="E731" s="283"/>
      <c r="F731" s="283"/>
      <c r="G731" s="283"/>
      <c r="H731" s="283"/>
      <c r="I731" s="283"/>
      <c r="J731" s="283"/>
      <c r="K731" s="283"/>
      <c r="L731" s="283"/>
      <c r="M731" s="283"/>
      <c r="N731" s="283"/>
      <c r="O731" s="283"/>
      <c r="P731" s="283"/>
      <c r="Q731" s="283"/>
      <c r="R731" s="283"/>
      <c r="S731" s="283"/>
      <c r="T731" s="283"/>
      <c r="U731" s="283"/>
      <c r="V731" s="283"/>
      <c r="W731" s="283"/>
      <c r="X731" s="283"/>
      <c r="Y731" s="283"/>
      <c r="Z731" s="283"/>
    </row>
    <row r="732" ht="14.25" customHeight="1">
      <c r="A732" s="283"/>
      <c r="B732" s="283"/>
      <c r="C732" s="283"/>
      <c r="D732" s="283"/>
      <c r="E732" s="283"/>
      <c r="F732" s="283"/>
      <c r="G732" s="283"/>
      <c r="H732" s="283"/>
      <c r="I732" s="283"/>
      <c r="J732" s="283"/>
      <c r="K732" s="283"/>
      <c r="L732" s="283"/>
      <c r="M732" s="283"/>
      <c r="N732" s="283"/>
      <c r="O732" s="283"/>
      <c r="P732" s="283"/>
      <c r="Q732" s="283"/>
      <c r="R732" s="283"/>
      <c r="S732" s="283"/>
      <c r="T732" s="283"/>
      <c r="U732" s="283"/>
      <c r="V732" s="283"/>
      <c r="W732" s="283"/>
      <c r="X732" s="283"/>
      <c r="Y732" s="283"/>
      <c r="Z732" s="283"/>
    </row>
    <row r="733" ht="14.25" customHeight="1">
      <c r="A733" s="283"/>
      <c r="B733" s="283"/>
      <c r="C733" s="283"/>
      <c r="D733" s="283"/>
      <c r="E733" s="283"/>
      <c r="F733" s="283"/>
      <c r="G733" s="283"/>
      <c r="H733" s="283"/>
      <c r="I733" s="283"/>
      <c r="J733" s="283"/>
      <c r="K733" s="283"/>
      <c r="L733" s="283"/>
      <c r="M733" s="283"/>
      <c r="N733" s="283"/>
      <c r="O733" s="283"/>
      <c r="P733" s="283"/>
      <c r="Q733" s="283"/>
      <c r="R733" s="283"/>
      <c r="S733" s="283"/>
      <c r="T733" s="283"/>
      <c r="U733" s="283"/>
      <c r="V733" s="283"/>
      <c r="W733" s="283"/>
      <c r="X733" s="283"/>
      <c r="Y733" s="283"/>
      <c r="Z733" s="283"/>
    </row>
    <row r="734" ht="14.25" customHeight="1">
      <c r="A734" s="283"/>
      <c r="B734" s="283"/>
      <c r="C734" s="283"/>
      <c r="D734" s="283"/>
      <c r="E734" s="283"/>
      <c r="F734" s="283"/>
      <c r="G734" s="283"/>
      <c r="H734" s="283"/>
      <c r="I734" s="283"/>
      <c r="J734" s="283"/>
      <c r="K734" s="283"/>
      <c r="L734" s="283"/>
      <c r="M734" s="283"/>
      <c r="N734" s="283"/>
      <c r="O734" s="283"/>
      <c r="P734" s="283"/>
      <c r="Q734" s="283"/>
      <c r="R734" s="283"/>
      <c r="S734" s="283"/>
      <c r="T734" s="283"/>
      <c r="U734" s="283"/>
      <c r="V734" s="283"/>
      <c r="W734" s="283"/>
      <c r="X734" s="283"/>
      <c r="Y734" s="283"/>
      <c r="Z734" s="283"/>
    </row>
    <row r="735" ht="14.25" customHeight="1">
      <c r="A735" s="283"/>
      <c r="B735" s="283"/>
      <c r="C735" s="283"/>
      <c r="D735" s="283"/>
      <c r="E735" s="283"/>
      <c r="F735" s="283"/>
      <c r="G735" s="283"/>
      <c r="H735" s="283"/>
      <c r="I735" s="283"/>
      <c r="J735" s="283"/>
      <c r="K735" s="283"/>
      <c r="L735" s="283"/>
      <c r="M735" s="283"/>
      <c r="N735" s="283"/>
      <c r="O735" s="283"/>
      <c r="P735" s="283"/>
      <c r="Q735" s="283"/>
      <c r="R735" s="283"/>
      <c r="S735" s="283"/>
      <c r="T735" s="283"/>
      <c r="U735" s="283"/>
      <c r="V735" s="283"/>
      <c r="W735" s="283"/>
      <c r="X735" s="283"/>
      <c r="Y735" s="283"/>
      <c r="Z735" s="283"/>
    </row>
    <row r="736" ht="14.25" customHeight="1">
      <c r="A736" s="283"/>
      <c r="B736" s="283"/>
      <c r="C736" s="283"/>
      <c r="D736" s="283"/>
      <c r="E736" s="283"/>
      <c r="F736" s="283"/>
      <c r="G736" s="283"/>
      <c r="H736" s="283"/>
      <c r="I736" s="283"/>
      <c r="J736" s="283"/>
      <c r="K736" s="283"/>
      <c r="L736" s="283"/>
      <c r="M736" s="283"/>
      <c r="N736" s="283"/>
      <c r="O736" s="283"/>
      <c r="P736" s="283"/>
      <c r="Q736" s="283"/>
      <c r="R736" s="283"/>
      <c r="S736" s="283"/>
      <c r="T736" s="283"/>
      <c r="U736" s="283"/>
      <c r="V736" s="283"/>
      <c r="W736" s="283"/>
      <c r="X736" s="283"/>
      <c r="Y736" s="283"/>
      <c r="Z736" s="283"/>
    </row>
    <row r="737" ht="14.25" customHeight="1">
      <c r="A737" s="283"/>
      <c r="B737" s="283"/>
      <c r="C737" s="283"/>
      <c r="D737" s="283"/>
      <c r="E737" s="283"/>
      <c r="F737" s="283"/>
      <c r="G737" s="283"/>
      <c r="H737" s="283"/>
      <c r="I737" s="283"/>
      <c r="J737" s="283"/>
      <c r="K737" s="283"/>
      <c r="L737" s="283"/>
      <c r="M737" s="283"/>
      <c r="N737" s="283"/>
      <c r="O737" s="283"/>
      <c r="P737" s="283"/>
      <c r="Q737" s="283"/>
      <c r="R737" s="283"/>
      <c r="S737" s="283"/>
      <c r="T737" s="283"/>
      <c r="U737" s="283"/>
      <c r="V737" s="283"/>
      <c r="W737" s="283"/>
      <c r="X737" s="283"/>
      <c r="Y737" s="283"/>
      <c r="Z737" s="283"/>
    </row>
    <row r="738" ht="14.25" customHeight="1">
      <c r="A738" s="283"/>
      <c r="B738" s="283"/>
      <c r="C738" s="283"/>
      <c r="D738" s="283"/>
      <c r="E738" s="283"/>
      <c r="F738" s="283"/>
      <c r="G738" s="283"/>
      <c r="H738" s="283"/>
      <c r="I738" s="283"/>
      <c r="J738" s="283"/>
      <c r="K738" s="283"/>
      <c r="L738" s="283"/>
      <c r="M738" s="283"/>
      <c r="N738" s="283"/>
      <c r="O738" s="283"/>
      <c r="P738" s="283"/>
      <c r="Q738" s="283"/>
      <c r="R738" s="283"/>
      <c r="S738" s="283"/>
      <c r="T738" s="283"/>
      <c r="U738" s="283"/>
      <c r="V738" s="283"/>
      <c r="W738" s="283"/>
      <c r="X738" s="283"/>
      <c r="Y738" s="283"/>
      <c r="Z738" s="283"/>
    </row>
    <row r="739" ht="14.25" customHeight="1">
      <c r="A739" s="283"/>
      <c r="B739" s="283"/>
      <c r="C739" s="283"/>
      <c r="D739" s="283"/>
      <c r="E739" s="283"/>
      <c r="F739" s="283"/>
      <c r="G739" s="283"/>
      <c r="H739" s="283"/>
      <c r="I739" s="283"/>
      <c r="J739" s="283"/>
      <c r="K739" s="283"/>
      <c r="L739" s="283"/>
      <c r="M739" s="283"/>
      <c r="N739" s="283"/>
      <c r="O739" s="283"/>
      <c r="P739" s="283"/>
      <c r="Q739" s="283"/>
      <c r="R739" s="283"/>
      <c r="S739" s="283"/>
      <c r="T739" s="283"/>
      <c r="U739" s="283"/>
      <c r="V739" s="283"/>
      <c r="W739" s="283"/>
      <c r="X739" s="283"/>
      <c r="Y739" s="283"/>
      <c r="Z739" s="283"/>
    </row>
    <row r="740" ht="14.25" customHeight="1">
      <c r="A740" s="283"/>
      <c r="B740" s="283"/>
      <c r="C740" s="283"/>
      <c r="D740" s="283"/>
      <c r="E740" s="283"/>
      <c r="F740" s="283"/>
      <c r="G740" s="283"/>
      <c r="H740" s="283"/>
      <c r="I740" s="283"/>
      <c r="J740" s="283"/>
      <c r="K740" s="283"/>
      <c r="L740" s="283"/>
      <c r="M740" s="283"/>
      <c r="N740" s="283"/>
      <c r="O740" s="283"/>
      <c r="P740" s="283"/>
      <c r="Q740" s="283"/>
      <c r="R740" s="283"/>
      <c r="S740" s="283"/>
      <c r="T740" s="283"/>
      <c r="U740" s="283"/>
      <c r="V740" s="283"/>
      <c r="W740" s="283"/>
      <c r="X740" s="283"/>
      <c r="Y740" s="283"/>
      <c r="Z740" s="283"/>
    </row>
    <row r="741" ht="14.25" customHeight="1">
      <c r="A741" s="283"/>
      <c r="B741" s="283"/>
      <c r="C741" s="283"/>
      <c r="D741" s="283"/>
      <c r="E741" s="283"/>
      <c r="F741" s="283"/>
      <c r="G741" s="283"/>
      <c r="H741" s="283"/>
      <c r="I741" s="283"/>
      <c r="J741" s="283"/>
      <c r="K741" s="283"/>
      <c r="L741" s="283"/>
      <c r="M741" s="283"/>
      <c r="N741" s="283"/>
      <c r="O741" s="283"/>
      <c r="P741" s="283"/>
      <c r="Q741" s="283"/>
      <c r="R741" s="283"/>
      <c r="S741" s="283"/>
      <c r="T741" s="283"/>
      <c r="U741" s="283"/>
      <c r="V741" s="283"/>
      <c r="W741" s="283"/>
      <c r="X741" s="283"/>
      <c r="Y741" s="283"/>
      <c r="Z741" s="283"/>
    </row>
    <row r="742" ht="14.25" customHeight="1">
      <c r="A742" s="283"/>
      <c r="B742" s="283"/>
      <c r="C742" s="283"/>
      <c r="D742" s="283"/>
      <c r="E742" s="283"/>
      <c r="F742" s="283"/>
      <c r="G742" s="283"/>
      <c r="H742" s="283"/>
      <c r="I742" s="283"/>
      <c r="J742" s="283"/>
      <c r="K742" s="283"/>
      <c r="L742" s="283"/>
      <c r="M742" s="283"/>
      <c r="N742" s="283"/>
      <c r="O742" s="283"/>
      <c r="P742" s="283"/>
      <c r="Q742" s="283"/>
      <c r="R742" s="283"/>
      <c r="S742" s="283"/>
      <c r="T742" s="283"/>
      <c r="U742" s="283"/>
      <c r="V742" s="283"/>
      <c r="W742" s="283"/>
      <c r="X742" s="283"/>
      <c r="Y742" s="283"/>
      <c r="Z742" s="283"/>
    </row>
    <row r="743" ht="14.25" customHeight="1">
      <c r="A743" s="283"/>
      <c r="B743" s="283"/>
      <c r="C743" s="283"/>
      <c r="D743" s="283"/>
      <c r="E743" s="283"/>
      <c r="F743" s="283"/>
      <c r="G743" s="283"/>
      <c r="H743" s="283"/>
      <c r="I743" s="283"/>
      <c r="J743" s="283"/>
      <c r="K743" s="283"/>
      <c r="L743" s="283"/>
      <c r="M743" s="283"/>
      <c r="N743" s="283"/>
      <c r="O743" s="283"/>
      <c r="P743" s="283"/>
      <c r="Q743" s="283"/>
      <c r="R743" s="283"/>
      <c r="S743" s="283"/>
      <c r="T743" s="283"/>
      <c r="U743" s="283"/>
      <c r="V743" s="283"/>
      <c r="W743" s="283"/>
      <c r="X743" s="283"/>
      <c r="Y743" s="283"/>
      <c r="Z743" s="283"/>
    </row>
    <row r="744" ht="14.25" customHeight="1">
      <c r="A744" s="283"/>
      <c r="B744" s="283"/>
      <c r="C744" s="283"/>
      <c r="D744" s="283"/>
      <c r="E744" s="283"/>
      <c r="F744" s="283"/>
      <c r="G744" s="283"/>
      <c r="H744" s="283"/>
      <c r="I744" s="283"/>
      <c r="J744" s="283"/>
      <c r="K744" s="283"/>
      <c r="L744" s="283"/>
      <c r="M744" s="283"/>
      <c r="N744" s="283"/>
      <c r="O744" s="283"/>
      <c r="P744" s="283"/>
      <c r="Q744" s="283"/>
      <c r="R744" s="283"/>
      <c r="S744" s="283"/>
      <c r="T744" s="283"/>
      <c r="U744" s="283"/>
      <c r="V744" s="283"/>
      <c r="W744" s="283"/>
      <c r="X744" s="283"/>
      <c r="Y744" s="283"/>
      <c r="Z744" s="283"/>
    </row>
    <row r="745" ht="14.25" customHeight="1">
      <c r="A745" s="283"/>
      <c r="B745" s="283"/>
      <c r="C745" s="283"/>
      <c r="D745" s="283"/>
      <c r="E745" s="283"/>
      <c r="F745" s="283"/>
      <c r="G745" s="283"/>
      <c r="H745" s="283"/>
      <c r="I745" s="283"/>
      <c r="J745" s="283"/>
      <c r="K745" s="283"/>
      <c r="L745" s="283"/>
      <c r="M745" s="283"/>
      <c r="N745" s="283"/>
      <c r="O745" s="283"/>
      <c r="P745" s="283"/>
      <c r="Q745" s="283"/>
      <c r="R745" s="283"/>
      <c r="S745" s="283"/>
      <c r="T745" s="283"/>
      <c r="U745" s="283"/>
      <c r="V745" s="283"/>
      <c r="W745" s="283"/>
      <c r="X745" s="283"/>
      <c r="Y745" s="283"/>
      <c r="Z745" s="283"/>
    </row>
    <row r="746" ht="14.25" customHeight="1">
      <c r="A746" s="283"/>
      <c r="B746" s="283"/>
      <c r="C746" s="283"/>
      <c r="D746" s="283"/>
      <c r="E746" s="283"/>
      <c r="F746" s="283"/>
      <c r="G746" s="283"/>
      <c r="H746" s="283"/>
      <c r="I746" s="283"/>
      <c r="J746" s="283"/>
      <c r="K746" s="283"/>
      <c r="L746" s="283"/>
      <c r="M746" s="283"/>
      <c r="N746" s="283"/>
      <c r="O746" s="283"/>
      <c r="P746" s="283"/>
      <c r="Q746" s="283"/>
      <c r="R746" s="283"/>
      <c r="S746" s="283"/>
      <c r="T746" s="283"/>
      <c r="U746" s="283"/>
      <c r="V746" s="283"/>
      <c r="W746" s="283"/>
      <c r="X746" s="283"/>
      <c r="Y746" s="283"/>
      <c r="Z746" s="283"/>
    </row>
    <row r="747" ht="14.25" customHeight="1">
      <c r="A747" s="283"/>
      <c r="B747" s="283"/>
      <c r="C747" s="283"/>
      <c r="D747" s="283"/>
      <c r="E747" s="283"/>
      <c r="F747" s="283"/>
      <c r="G747" s="283"/>
      <c r="H747" s="283"/>
      <c r="I747" s="283"/>
      <c r="J747" s="283"/>
      <c r="K747" s="283"/>
      <c r="L747" s="283"/>
      <c r="M747" s="283"/>
      <c r="N747" s="283"/>
      <c r="O747" s="283"/>
      <c r="P747" s="283"/>
      <c r="Q747" s="283"/>
      <c r="R747" s="283"/>
      <c r="S747" s="283"/>
      <c r="T747" s="283"/>
      <c r="U747" s="283"/>
      <c r="V747" s="283"/>
      <c r="W747" s="283"/>
      <c r="X747" s="283"/>
      <c r="Y747" s="283"/>
      <c r="Z747" s="283"/>
    </row>
    <row r="748" ht="14.25" customHeight="1">
      <c r="A748" s="283"/>
      <c r="B748" s="283"/>
      <c r="C748" s="283"/>
      <c r="D748" s="283"/>
      <c r="E748" s="283"/>
      <c r="F748" s="283"/>
      <c r="G748" s="283"/>
      <c r="H748" s="283"/>
      <c r="I748" s="283"/>
      <c r="J748" s="283"/>
      <c r="K748" s="283"/>
      <c r="L748" s="283"/>
      <c r="M748" s="283"/>
      <c r="N748" s="283"/>
      <c r="O748" s="283"/>
      <c r="P748" s="283"/>
      <c r="Q748" s="283"/>
      <c r="R748" s="283"/>
      <c r="S748" s="283"/>
      <c r="T748" s="283"/>
      <c r="U748" s="283"/>
      <c r="V748" s="283"/>
      <c r="W748" s="283"/>
      <c r="X748" s="283"/>
      <c r="Y748" s="283"/>
      <c r="Z748" s="283"/>
    </row>
    <row r="749" ht="14.25" customHeight="1">
      <c r="A749" s="283"/>
      <c r="B749" s="283"/>
      <c r="C749" s="283"/>
      <c r="D749" s="283"/>
      <c r="E749" s="283"/>
      <c r="F749" s="283"/>
      <c r="G749" s="283"/>
      <c r="H749" s="283"/>
      <c r="I749" s="283"/>
      <c r="J749" s="283"/>
      <c r="K749" s="283"/>
      <c r="L749" s="283"/>
      <c r="M749" s="283"/>
      <c r="N749" s="283"/>
      <c r="O749" s="283"/>
      <c r="P749" s="283"/>
      <c r="Q749" s="283"/>
      <c r="R749" s="283"/>
      <c r="S749" s="283"/>
      <c r="T749" s="283"/>
      <c r="U749" s="283"/>
      <c r="V749" s="283"/>
      <c r="W749" s="283"/>
      <c r="X749" s="283"/>
      <c r="Y749" s="283"/>
      <c r="Z749" s="283"/>
    </row>
    <row r="750" ht="14.25" customHeight="1">
      <c r="A750" s="283"/>
      <c r="B750" s="283"/>
      <c r="C750" s="283"/>
      <c r="D750" s="283"/>
      <c r="E750" s="283"/>
      <c r="F750" s="283"/>
      <c r="G750" s="283"/>
      <c r="H750" s="283"/>
      <c r="I750" s="283"/>
      <c r="J750" s="283"/>
      <c r="K750" s="283"/>
      <c r="L750" s="283"/>
      <c r="M750" s="283"/>
      <c r="N750" s="283"/>
      <c r="O750" s="283"/>
      <c r="P750" s="283"/>
      <c r="Q750" s="283"/>
      <c r="R750" s="283"/>
      <c r="S750" s="283"/>
      <c r="T750" s="283"/>
      <c r="U750" s="283"/>
      <c r="V750" s="283"/>
      <c r="W750" s="283"/>
      <c r="X750" s="283"/>
      <c r="Y750" s="283"/>
      <c r="Z750" s="283"/>
    </row>
    <row r="751" ht="14.25" customHeight="1">
      <c r="A751" s="283"/>
      <c r="B751" s="283"/>
      <c r="C751" s="283"/>
      <c r="D751" s="283"/>
      <c r="E751" s="283"/>
      <c r="F751" s="283"/>
      <c r="G751" s="283"/>
      <c r="H751" s="283"/>
      <c r="I751" s="283"/>
      <c r="J751" s="283"/>
      <c r="K751" s="283"/>
      <c r="L751" s="283"/>
      <c r="M751" s="283"/>
      <c r="N751" s="283"/>
      <c r="O751" s="283"/>
      <c r="P751" s="283"/>
      <c r="Q751" s="283"/>
      <c r="R751" s="283"/>
      <c r="S751" s="283"/>
      <c r="T751" s="283"/>
      <c r="U751" s="283"/>
      <c r="V751" s="283"/>
      <c r="W751" s="283"/>
      <c r="X751" s="283"/>
      <c r="Y751" s="283"/>
      <c r="Z751" s="283"/>
    </row>
    <row r="752" ht="14.25" customHeight="1">
      <c r="A752" s="283"/>
      <c r="B752" s="283"/>
      <c r="C752" s="283"/>
      <c r="D752" s="283"/>
      <c r="E752" s="283"/>
      <c r="F752" s="283"/>
      <c r="G752" s="283"/>
      <c r="H752" s="283"/>
      <c r="I752" s="283"/>
      <c r="J752" s="283"/>
      <c r="K752" s="283"/>
      <c r="L752" s="283"/>
      <c r="M752" s="283"/>
      <c r="N752" s="283"/>
      <c r="O752" s="283"/>
      <c r="P752" s="283"/>
      <c r="Q752" s="283"/>
      <c r="R752" s="283"/>
      <c r="S752" s="283"/>
      <c r="T752" s="283"/>
      <c r="U752" s="283"/>
      <c r="V752" s="283"/>
      <c r="W752" s="283"/>
      <c r="X752" s="283"/>
      <c r="Y752" s="283"/>
      <c r="Z752" s="283"/>
    </row>
    <row r="753" ht="14.25" customHeight="1">
      <c r="A753" s="283"/>
      <c r="B753" s="283"/>
      <c r="C753" s="283"/>
      <c r="D753" s="283"/>
      <c r="E753" s="283"/>
      <c r="F753" s="283"/>
      <c r="G753" s="283"/>
      <c r="H753" s="283"/>
      <c r="I753" s="283"/>
      <c r="J753" s="283"/>
      <c r="K753" s="283"/>
      <c r="L753" s="283"/>
      <c r="M753" s="283"/>
      <c r="N753" s="283"/>
      <c r="O753" s="283"/>
      <c r="P753" s="283"/>
      <c r="Q753" s="283"/>
      <c r="R753" s="283"/>
      <c r="S753" s="283"/>
      <c r="T753" s="283"/>
      <c r="U753" s="283"/>
      <c r="V753" s="283"/>
      <c r="W753" s="283"/>
      <c r="X753" s="283"/>
      <c r="Y753" s="283"/>
      <c r="Z753" s="283"/>
    </row>
    <row r="754" ht="14.25" customHeight="1">
      <c r="A754" s="283"/>
      <c r="B754" s="283"/>
      <c r="C754" s="283"/>
      <c r="D754" s="283"/>
      <c r="E754" s="283"/>
      <c r="F754" s="283"/>
      <c r="G754" s="283"/>
      <c r="H754" s="283"/>
      <c r="I754" s="283"/>
      <c r="J754" s="283"/>
      <c r="K754" s="283"/>
      <c r="L754" s="283"/>
      <c r="M754" s="283"/>
      <c r="N754" s="283"/>
      <c r="O754" s="283"/>
      <c r="P754" s="283"/>
      <c r="Q754" s="283"/>
      <c r="R754" s="283"/>
      <c r="S754" s="283"/>
      <c r="T754" s="283"/>
      <c r="U754" s="283"/>
      <c r="V754" s="283"/>
      <c r="W754" s="283"/>
      <c r="X754" s="283"/>
      <c r="Y754" s="283"/>
      <c r="Z754" s="283"/>
    </row>
    <row r="755" ht="14.25" customHeight="1">
      <c r="A755" s="283"/>
      <c r="B755" s="283"/>
      <c r="C755" s="283"/>
      <c r="D755" s="283"/>
      <c r="E755" s="283"/>
      <c r="F755" s="283"/>
      <c r="G755" s="283"/>
      <c r="H755" s="283"/>
      <c r="I755" s="283"/>
      <c r="J755" s="283"/>
      <c r="K755" s="283"/>
      <c r="L755" s="283"/>
      <c r="M755" s="283"/>
      <c r="N755" s="283"/>
      <c r="O755" s="283"/>
      <c r="P755" s="283"/>
      <c r="Q755" s="283"/>
      <c r="R755" s="283"/>
      <c r="S755" s="283"/>
      <c r="T755" s="283"/>
      <c r="U755" s="283"/>
      <c r="V755" s="283"/>
      <c r="W755" s="283"/>
      <c r="X755" s="283"/>
      <c r="Y755" s="283"/>
      <c r="Z755" s="283"/>
    </row>
    <row r="756" ht="14.25" customHeight="1">
      <c r="A756" s="283"/>
      <c r="B756" s="283"/>
      <c r="C756" s="283"/>
      <c r="D756" s="283"/>
      <c r="E756" s="283"/>
      <c r="F756" s="283"/>
      <c r="G756" s="283"/>
      <c r="H756" s="283"/>
      <c r="I756" s="283"/>
      <c r="J756" s="283"/>
      <c r="K756" s="283"/>
      <c r="L756" s="283"/>
      <c r="M756" s="283"/>
      <c r="N756" s="283"/>
      <c r="O756" s="283"/>
      <c r="P756" s="283"/>
      <c r="Q756" s="283"/>
      <c r="R756" s="283"/>
      <c r="S756" s="283"/>
      <c r="T756" s="283"/>
      <c r="U756" s="283"/>
      <c r="V756" s="283"/>
      <c r="W756" s="283"/>
      <c r="X756" s="283"/>
      <c r="Y756" s="283"/>
      <c r="Z756" s="283"/>
    </row>
    <row r="757" ht="14.25" customHeight="1">
      <c r="A757" s="283"/>
      <c r="B757" s="283"/>
      <c r="C757" s="283"/>
      <c r="D757" s="283"/>
      <c r="E757" s="283"/>
      <c r="F757" s="283"/>
      <c r="G757" s="283"/>
      <c r="H757" s="283"/>
      <c r="I757" s="283"/>
      <c r="J757" s="283"/>
      <c r="K757" s="283"/>
      <c r="L757" s="283"/>
      <c r="M757" s="283"/>
      <c r="N757" s="283"/>
      <c r="O757" s="283"/>
      <c r="P757" s="283"/>
      <c r="Q757" s="283"/>
      <c r="R757" s="283"/>
      <c r="S757" s="283"/>
      <c r="T757" s="283"/>
      <c r="U757" s="283"/>
      <c r="V757" s="283"/>
      <c r="W757" s="283"/>
      <c r="X757" s="283"/>
      <c r="Y757" s="283"/>
      <c r="Z757" s="283"/>
    </row>
    <row r="758" ht="14.25" customHeight="1">
      <c r="A758" s="283"/>
      <c r="B758" s="283"/>
      <c r="C758" s="283"/>
      <c r="D758" s="283"/>
      <c r="E758" s="283"/>
      <c r="F758" s="283"/>
      <c r="G758" s="283"/>
      <c r="H758" s="283"/>
      <c r="I758" s="283"/>
      <c r="J758" s="283"/>
      <c r="K758" s="283"/>
      <c r="L758" s="283"/>
      <c r="M758" s="283"/>
      <c r="N758" s="283"/>
      <c r="O758" s="283"/>
      <c r="P758" s="283"/>
      <c r="Q758" s="283"/>
      <c r="R758" s="283"/>
      <c r="S758" s="283"/>
      <c r="T758" s="283"/>
      <c r="U758" s="283"/>
      <c r="V758" s="283"/>
      <c r="W758" s="283"/>
      <c r="X758" s="283"/>
      <c r="Y758" s="283"/>
      <c r="Z758" s="283"/>
    </row>
    <row r="759" ht="14.25" customHeight="1">
      <c r="A759" s="283"/>
      <c r="B759" s="283"/>
      <c r="C759" s="283"/>
      <c r="D759" s="283"/>
      <c r="E759" s="283"/>
      <c r="F759" s="283"/>
      <c r="G759" s="283"/>
      <c r="H759" s="283"/>
      <c r="I759" s="283"/>
      <c r="J759" s="283"/>
      <c r="K759" s="283"/>
      <c r="L759" s="283"/>
      <c r="M759" s="283"/>
      <c r="N759" s="283"/>
      <c r="O759" s="283"/>
      <c r="P759" s="283"/>
      <c r="Q759" s="283"/>
      <c r="R759" s="283"/>
      <c r="S759" s="283"/>
      <c r="T759" s="283"/>
      <c r="U759" s="283"/>
      <c r="V759" s="283"/>
      <c r="W759" s="283"/>
      <c r="X759" s="283"/>
      <c r="Y759" s="283"/>
      <c r="Z759" s="283"/>
    </row>
    <row r="760" ht="14.25" customHeight="1">
      <c r="A760" s="283"/>
      <c r="B760" s="283"/>
      <c r="C760" s="283"/>
      <c r="D760" s="283"/>
      <c r="E760" s="283"/>
      <c r="F760" s="283"/>
      <c r="G760" s="283"/>
      <c r="H760" s="283"/>
      <c r="I760" s="283"/>
      <c r="J760" s="283"/>
      <c r="K760" s="283"/>
      <c r="L760" s="283"/>
      <c r="M760" s="283"/>
      <c r="N760" s="283"/>
      <c r="O760" s="283"/>
      <c r="P760" s="283"/>
      <c r="Q760" s="283"/>
      <c r="R760" s="283"/>
      <c r="S760" s="283"/>
      <c r="T760" s="283"/>
      <c r="U760" s="283"/>
      <c r="V760" s="283"/>
      <c r="W760" s="283"/>
      <c r="X760" s="283"/>
      <c r="Y760" s="283"/>
      <c r="Z760" s="283"/>
    </row>
    <row r="761" ht="14.25" customHeight="1">
      <c r="A761" s="283"/>
      <c r="B761" s="283"/>
      <c r="C761" s="283"/>
      <c r="D761" s="283"/>
      <c r="E761" s="283"/>
      <c r="F761" s="283"/>
      <c r="G761" s="283"/>
      <c r="H761" s="283"/>
      <c r="I761" s="283"/>
      <c r="J761" s="283"/>
      <c r="K761" s="283"/>
      <c r="L761" s="283"/>
      <c r="M761" s="283"/>
      <c r="N761" s="283"/>
      <c r="O761" s="283"/>
      <c r="P761" s="283"/>
      <c r="Q761" s="283"/>
      <c r="R761" s="283"/>
      <c r="S761" s="283"/>
      <c r="T761" s="283"/>
      <c r="U761" s="283"/>
      <c r="V761" s="283"/>
      <c r="W761" s="283"/>
      <c r="X761" s="283"/>
      <c r="Y761" s="283"/>
      <c r="Z761" s="283"/>
    </row>
    <row r="762" ht="14.25" customHeight="1">
      <c r="A762" s="283"/>
      <c r="B762" s="283"/>
      <c r="C762" s="283"/>
      <c r="D762" s="283"/>
      <c r="E762" s="283"/>
      <c r="F762" s="283"/>
      <c r="G762" s="283"/>
      <c r="H762" s="283"/>
      <c r="I762" s="283"/>
      <c r="J762" s="283"/>
      <c r="K762" s="283"/>
      <c r="L762" s="283"/>
      <c r="M762" s="283"/>
      <c r="N762" s="283"/>
      <c r="O762" s="283"/>
      <c r="P762" s="283"/>
      <c r="Q762" s="283"/>
      <c r="R762" s="283"/>
      <c r="S762" s="283"/>
      <c r="T762" s="283"/>
      <c r="U762" s="283"/>
      <c r="V762" s="283"/>
      <c r="W762" s="283"/>
      <c r="X762" s="283"/>
      <c r="Y762" s="283"/>
      <c r="Z762" s="283"/>
    </row>
    <row r="763" ht="14.25" customHeight="1">
      <c r="A763" s="283"/>
      <c r="B763" s="283"/>
      <c r="C763" s="283"/>
      <c r="D763" s="283"/>
      <c r="E763" s="283"/>
      <c r="F763" s="283"/>
      <c r="G763" s="283"/>
      <c r="H763" s="283"/>
      <c r="I763" s="283"/>
      <c r="J763" s="283"/>
      <c r="K763" s="283"/>
      <c r="L763" s="283"/>
      <c r="M763" s="283"/>
      <c r="N763" s="283"/>
      <c r="O763" s="283"/>
      <c r="P763" s="283"/>
      <c r="Q763" s="283"/>
      <c r="R763" s="283"/>
      <c r="S763" s="283"/>
      <c r="T763" s="283"/>
      <c r="U763" s="283"/>
      <c r="V763" s="283"/>
      <c r="W763" s="283"/>
      <c r="X763" s="283"/>
      <c r="Y763" s="283"/>
      <c r="Z763" s="283"/>
    </row>
    <row r="764" ht="14.25" customHeight="1">
      <c r="A764" s="283"/>
      <c r="B764" s="283"/>
      <c r="C764" s="283"/>
      <c r="D764" s="283"/>
      <c r="E764" s="283"/>
      <c r="F764" s="283"/>
      <c r="G764" s="283"/>
      <c r="H764" s="283"/>
      <c r="I764" s="283"/>
      <c r="J764" s="283"/>
      <c r="K764" s="283"/>
      <c r="L764" s="283"/>
      <c r="M764" s="283"/>
      <c r="N764" s="283"/>
      <c r="O764" s="283"/>
      <c r="P764" s="283"/>
      <c r="Q764" s="283"/>
      <c r="R764" s="283"/>
      <c r="S764" s="283"/>
      <c r="T764" s="283"/>
      <c r="U764" s="283"/>
      <c r="V764" s="283"/>
      <c r="W764" s="283"/>
      <c r="X764" s="283"/>
      <c r="Y764" s="283"/>
      <c r="Z764" s="283"/>
    </row>
    <row r="765" ht="14.25" customHeight="1">
      <c r="A765" s="283"/>
      <c r="B765" s="283"/>
      <c r="C765" s="283"/>
      <c r="D765" s="283"/>
      <c r="E765" s="283"/>
      <c r="F765" s="283"/>
      <c r="G765" s="283"/>
      <c r="H765" s="283"/>
      <c r="I765" s="283"/>
      <c r="J765" s="283"/>
      <c r="K765" s="283"/>
      <c r="L765" s="283"/>
      <c r="M765" s="283"/>
      <c r="N765" s="283"/>
      <c r="O765" s="283"/>
      <c r="P765" s="283"/>
      <c r="Q765" s="283"/>
      <c r="R765" s="283"/>
      <c r="S765" s="283"/>
      <c r="T765" s="283"/>
      <c r="U765" s="283"/>
      <c r="V765" s="283"/>
      <c r="W765" s="283"/>
      <c r="X765" s="283"/>
      <c r="Y765" s="283"/>
      <c r="Z765" s="283"/>
    </row>
    <row r="766" ht="14.25" customHeight="1">
      <c r="A766" s="283"/>
      <c r="B766" s="283"/>
      <c r="C766" s="283"/>
      <c r="D766" s="283"/>
      <c r="E766" s="283"/>
      <c r="F766" s="283"/>
      <c r="G766" s="283"/>
      <c r="H766" s="283"/>
      <c r="I766" s="283"/>
      <c r="J766" s="283"/>
      <c r="K766" s="283"/>
      <c r="L766" s="283"/>
      <c r="M766" s="283"/>
      <c r="N766" s="283"/>
      <c r="O766" s="283"/>
      <c r="P766" s="283"/>
      <c r="Q766" s="283"/>
      <c r="R766" s="283"/>
      <c r="S766" s="283"/>
      <c r="T766" s="283"/>
      <c r="U766" s="283"/>
      <c r="V766" s="283"/>
      <c r="W766" s="283"/>
      <c r="X766" s="283"/>
      <c r="Y766" s="283"/>
      <c r="Z766" s="283"/>
    </row>
    <row r="767" ht="14.25" customHeight="1">
      <c r="A767" s="283"/>
      <c r="B767" s="283"/>
      <c r="C767" s="283"/>
      <c r="D767" s="283"/>
      <c r="E767" s="283"/>
      <c r="F767" s="283"/>
      <c r="G767" s="283"/>
      <c r="H767" s="283"/>
      <c r="I767" s="283"/>
      <c r="J767" s="283"/>
      <c r="K767" s="283"/>
      <c r="L767" s="283"/>
      <c r="M767" s="283"/>
      <c r="N767" s="283"/>
      <c r="O767" s="283"/>
      <c r="P767" s="283"/>
      <c r="Q767" s="283"/>
      <c r="R767" s="283"/>
      <c r="S767" s="283"/>
      <c r="T767" s="283"/>
      <c r="U767" s="283"/>
      <c r="V767" s="283"/>
      <c r="W767" s="283"/>
      <c r="X767" s="283"/>
      <c r="Y767" s="283"/>
      <c r="Z767" s="283"/>
    </row>
    <row r="768" ht="14.25" customHeight="1">
      <c r="A768" s="283"/>
      <c r="B768" s="283"/>
      <c r="C768" s="283"/>
      <c r="D768" s="283"/>
      <c r="E768" s="283"/>
      <c r="F768" s="283"/>
      <c r="G768" s="283"/>
      <c r="H768" s="283"/>
      <c r="I768" s="283"/>
      <c r="J768" s="283"/>
      <c r="K768" s="283"/>
      <c r="L768" s="283"/>
      <c r="M768" s="283"/>
      <c r="N768" s="283"/>
      <c r="O768" s="283"/>
      <c r="P768" s="283"/>
      <c r="Q768" s="283"/>
      <c r="R768" s="283"/>
      <c r="S768" s="283"/>
      <c r="T768" s="283"/>
      <c r="U768" s="283"/>
      <c r="V768" s="283"/>
      <c r="W768" s="283"/>
      <c r="X768" s="283"/>
      <c r="Y768" s="283"/>
      <c r="Z768" s="283"/>
    </row>
    <row r="769" ht="14.25" customHeight="1">
      <c r="A769" s="283"/>
      <c r="B769" s="283"/>
      <c r="C769" s="283"/>
      <c r="D769" s="283"/>
      <c r="E769" s="283"/>
      <c r="F769" s="283"/>
      <c r="G769" s="283"/>
      <c r="H769" s="283"/>
      <c r="I769" s="283"/>
      <c r="J769" s="283"/>
      <c r="K769" s="283"/>
      <c r="L769" s="283"/>
      <c r="M769" s="283"/>
      <c r="N769" s="283"/>
      <c r="O769" s="283"/>
      <c r="P769" s="283"/>
      <c r="Q769" s="283"/>
      <c r="R769" s="283"/>
      <c r="S769" s="283"/>
      <c r="T769" s="283"/>
      <c r="U769" s="283"/>
      <c r="V769" s="283"/>
      <c r="W769" s="283"/>
      <c r="X769" s="283"/>
      <c r="Y769" s="283"/>
      <c r="Z769" s="283"/>
    </row>
    <row r="770" ht="14.25" customHeight="1">
      <c r="A770" s="283"/>
      <c r="B770" s="283"/>
      <c r="C770" s="283"/>
      <c r="D770" s="283"/>
      <c r="E770" s="283"/>
      <c r="F770" s="283"/>
      <c r="G770" s="283"/>
      <c r="H770" s="283"/>
      <c r="I770" s="283"/>
      <c r="J770" s="283"/>
      <c r="K770" s="283"/>
      <c r="L770" s="283"/>
      <c r="M770" s="283"/>
      <c r="N770" s="283"/>
      <c r="O770" s="283"/>
      <c r="P770" s="283"/>
      <c r="Q770" s="283"/>
      <c r="R770" s="283"/>
      <c r="S770" s="283"/>
      <c r="T770" s="283"/>
      <c r="U770" s="283"/>
      <c r="V770" s="283"/>
      <c r="W770" s="283"/>
      <c r="X770" s="283"/>
      <c r="Y770" s="283"/>
      <c r="Z770" s="283"/>
    </row>
    <row r="771" ht="14.25" customHeight="1">
      <c r="A771" s="283"/>
      <c r="B771" s="283"/>
      <c r="C771" s="283"/>
      <c r="D771" s="283"/>
      <c r="E771" s="283"/>
      <c r="F771" s="283"/>
      <c r="G771" s="283"/>
      <c r="H771" s="283"/>
      <c r="I771" s="283"/>
      <c r="J771" s="283"/>
      <c r="K771" s="283"/>
      <c r="L771" s="283"/>
      <c r="M771" s="283"/>
      <c r="N771" s="283"/>
      <c r="O771" s="283"/>
      <c r="P771" s="283"/>
      <c r="Q771" s="283"/>
      <c r="R771" s="283"/>
      <c r="S771" s="283"/>
      <c r="T771" s="283"/>
      <c r="U771" s="283"/>
      <c r="V771" s="283"/>
      <c r="W771" s="283"/>
      <c r="X771" s="283"/>
      <c r="Y771" s="283"/>
      <c r="Z771" s="283"/>
    </row>
    <row r="772" ht="14.25" customHeight="1">
      <c r="A772" s="283"/>
      <c r="B772" s="283"/>
      <c r="C772" s="283"/>
      <c r="D772" s="283"/>
      <c r="E772" s="283"/>
      <c r="F772" s="283"/>
      <c r="G772" s="283"/>
      <c r="H772" s="283"/>
      <c r="I772" s="283"/>
      <c r="J772" s="283"/>
      <c r="K772" s="283"/>
      <c r="L772" s="283"/>
      <c r="M772" s="283"/>
      <c r="N772" s="283"/>
      <c r="O772" s="283"/>
      <c r="P772" s="283"/>
      <c r="Q772" s="283"/>
      <c r="R772" s="283"/>
      <c r="S772" s="283"/>
      <c r="T772" s="283"/>
      <c r="U772" s="283"/>
      <c r="V772" s="283"/>
      <c r="W772" s="283"/>
      <c r="X772" s="283"/>
      <c r="Y772" s="283"/>
      <c r="Z772" s="283"/>
    </row>
    <row r="773" ht="14.25" customHeight="1">
      <c r="A773" s="283"/>
      <c r="B773" s="283"/>
      <c r="C773" s="283"/>
      <c r="D773" s="283"/>
      <c r="E773" s="283"/>
      <c r="F773" s="283"/>
      <c r="G773" s="283"/>
      <c r="H773" s="283"/>
      <c r="I773" s="283"/>
      <c r="J773" s="283"/>
      <c r="K773" s="283"/>
      <c r="L773" s="283"/>
      <c r="M773" s="283"/>
      <c r="N773" s="283"/>
      <c r="O773" s="283"/>
      <c r="P773" s="283"/>
      <c r="Q773" s="283"/>
      <c r="R773" s="283"/>
      <c r="S773" s="283"/>
      <c r="T773" s="283"/>
      <c r="U773" s="283"/>
      <c r="V773" s="283"/>
      <c r="W773" s="283"/>
      <c r="X773" s="283"/>
      <c r="Y773" s="283"/>
      <c r="Z773" s="283"/>
    </row>
    <row r="774" ht="14.25" customHeight="1">
      <c r="A774" s="283"/>
      <c r="B774" s="283"/>
      <c r="C774" s="283"/>
      <c r="D774" s="283"/>
      <c r="E774" s="283"/>
      <c r="F774" s="283"/>
      <c r="G774" s="283"/>
      <c r="H774" s="283"/>
      <c r="I774" s="283"/>
      <c r="J774" s="283"/>
      <c r="K774" s="283"/>
      <c r="L774" s="283"/>
      <c r="M774" s="283"/>
      <c r="N774" s="283"/>
      <c r="O774" s="283"/>
      <c r="P774" s="283"/>
      <c r="Q774" s="283"/>
      <c r="R774" s="283"/>
      <c r="S774" s="283"/>
      <c r="T774" s="283"/>
      <c r="U774" s="283"/>
      <c r="V774" s="283"/>
      <c r="W774" s="283"/>
      <c r="X774" s="283"/>
      <c r="Y774" s="283"/>
      <c r="Z774" s="283"/>
    </row>
    <row r="775" ht="14.25" customHeight="1">
      <c r="A775" s="283"/>
      <c r="B775" s="283"/>
      <c r="C775" s="283"/>
      <c r="D775" s="283"/>
      <c r="E775" s="283"/>
      <c r="F775" s="283"/>
      <c r="G775" s="283"/>
      <c r="H775" s="283"/>
      <c r="I775" s="283"/>
      <c r="J775" s="283"/>
      <c r="K775" s="283"/>
      <c r="L775" s="283"/>
      <c r="M775" s="283"/>
      <c r="N775" s="283"/>
      <c r="O775" s="283"/>
      <c r="P775" s="283"/>
      <c r="Q775" s="283"/>
      <c r="R775" s="283"/>
      <c r="S775" s="283"/>
      <c r="T775" s="283"/>
      <c r="U775" s="283"/>
      <c r="V775" s="283"/>
      <c r="W775" s="283"/>
      <c r="X775" s="283"/>
      <c r="Y775" s="283"/>
      <c r="Z775" s="283"/>
    </row>
    <row r="776" ht="14.25" customHeight="1">
      <c r="A776" s="283"/>
      <c r="B776" s="283"/>
      <c r="C776" s="283"/>
      <c r="D776" s="283"/>
      <c r="E776" s="283"/>
      <c r="F776" s="283"/>
      <c r="G776" s="283"/>
      <c r="H776" s="283"/>
      <c r="I776" s="283"/>
      <c r="J776" s="283"/>
      <c r="K776" s="283"/>
      <c r="L776" s="283"/>
      <c r="M776" s="283"/>
      <c r="N776" s="283"/>
      <c r="O776" s="283"/>
      <c r="P776" s="283"/>
      <c r="Q776" s="283"/>
      <c r="R776" s="283"/>
      <c r="S776" s="283"/>
      <c r="T776" s="283"/>
      <c r="U776" s="283"/>
      <c r="V776" s="283"/>
      <c r="W776" s="283"/>
      <c r="X776" s="283"/>
      <c r="Y776" s="283"/>
      <c r="Z776" s="283"/>
    </row>
    <row r="777" ht="14.25" customHeight="1">
      <c r="A777" s="283"/>
      <c r="B777" s="283"/>
      <c r="C777" s="283"/>
      <c r="D777" s="283"/>
      <c r="E777" s="283"/>
      <c r="F777" s="283"/>
      <c r="G777" s="283"/>
      <c r="H777" s="283"/>
      <c r="I777" s="283"/>
      <c r="J777" s="283"/>
      <c r="K777" s="283"/>
      <c r="L777" s="283"/>
      <c r="M777" s="283"/>
      <c r="N777" s="283"/>
      <c r="O777" s="283"/>
      <c r="P777" s="283"/>
      <c r="Q777" s="283"/>
      <c r="R777" s="283"/>
      <c r="S777" s="283"/>
      <c r="T777" s="283"/>
      <c r="U777" s="283"/>
      <c r="V777" s="283"/>
      <c r="W777" s="283"/>
      <c r="X777" s="283"/>
      <c r="Y777" s="283"/>
      <c r="Z777" s="283"/>
    </row>
    <row r="778" ht="14.25" customHeight="1">
      <c r="A778" s="283"/>
      <c r="B778" s="283"/>
      <c r="C778" s="283"/>
      <c r="D778" s="283"/>
      <c r="E778" s="283"/>
      <c r="F778" s="283"/>
      <c r="G778" s="283"/>
      <c r="H778" s="283"/>
      <c r="I778" s="283"/>
      <c r="J778" s="283"/>
      <c r="K778" s="283"/>
      <c r="L778" s="283"/>
      <c r="M778" s="283"/>
      <c r="N778" s="283"/>
      <c r="O778" s="283"/>
      <c r="P778" s="283"/>
      <c r="Q778" s="283"/>
      <c r="R778" s="283"/>
      <c r="S778" s="283"/>
      <c r="T778" s="283"/>
      <c r="U778" s="283"/>
      <c r="V778" s="283"/>
      <c r="W778" s="283"/>
      <c r="X778" s="283"/>
      <c r="Y778" s="283"/>
      <c r="Z778" s="283"/>
    </row>
    <row r="779" ht="14.25" customHeight="1">
      <c r="A779" s="283"/>
      <c r="B779" s="283"/>
      <c r="C779" s="283"/>
      <c r="D779" s="283"/>
      <c r="E779" s="283"/>
      <c r="F779" s="283"/>
      <c r="G779" s="283"/>
      <c r="H779" s="283"/>
      <c r="I779" s="283"/>
      <c r="J779" s="283"/>
      <c r="K779" s="283"/>
      <c r="L779" s="283"/>
      <c r="M779" s="283"/>
      <c r="N779" s="283"/>
      <c r="O779" s="283"/>
      <c r="P779" s="283"/>
      <c r="Q779" s="283"/>
      <c r="R779" s="283"/>
      <c r="S779" s="283"/>
      <c r="T779" s="283"/>
      <c r="U779" s="283"/>
      <c r="V779" s="283"/>
      <c r="W779" s="283"/>
      <c r="X779" s="283"/>
      <c r="Y779" s="283"/>
      <c r="Z779" s="283"/>
    </row>
    <row r="780" ht="14.25" customHeight="1">
      <c r="A780" s="283"/>
      <c r="B780" s="283"/>
      <c r="C780" s="283"/>
      <c r="D780" s="283"/>
      <c r="E780" s="283"/>
      <c r="F780" s="283"/>
      <c r="G780" s="283"/>
      <c r="H780" s="283"/>
      <c r="I780" s="283"/>
      <c r="J780" s="283"/>
      <c r="K780" s="283"/>
      <c r="L780" s="283"/>
      <c r="M780" s="283"/>
      <c r="N780" s="283"/>
      <c r="O780" s="283"/>
      <c r="P780" s="283"/>
      <c r="Q780" s="283"/>
      <c r="R780" s="283"/>
      <c r="S780" s="283"/>
      <c r="T780" s="283"/>
      <c r="U780" s="283"/>
      <c r="V780" s="283"/>
      <c r="W780" s="283"/>
      <c r="X780" s="283"/>
      <c r="Y780" s="283"/>
      <c r="Z780" s="283"/>
    </row>
    <row r="781" ht="14.25" customHeight="1">
      <c r="A781" s="283"/>
      <c r="B781" s="283"/>
      <c r="C781" s="283"/>
      <c r="D781" s="283"/>
      <c r="E781" s="283"/>
      <c r="F781" s="283"/>
      <c r="G781" s="283"/>
      <c r="H781" s="283"/>
      <c r="I781" s="283"/>
      <c r="J781" s="283"/>
      <c r="K781" s="283"/>
      <c r="L781" s="283"/>
      <c r="M781" s="283"/>
      <c r="N781" s="283"/>
      <c r="O781" s="283"/>
      <c r="P781" s="283"/>
      <c r="Q781" s="283"/>
      <c r="R781" s="283"/>
      <c r="S781" s="283"/>
      <c r="T781" s="283"/>
      <c r="U781" s="283"/>
      <c r="V781" s="283"/>
      <c r="W781" s="283"/>
      <c r="X781" s="283"/>
      <c r="Y781" s="283"/>
      <c r="Z781" s="283"/>
    </row>
    <row r="782" ht="14.25" customHeight="1">
      <c r="A782" s="283"/>
      <c r="B782" s="283"/>
      <c r="C782" s="283"/>
      <c r="D782" s="283"/>
      <c r="E782" s="283"/>
      <c r="F782" s="283"/>
      <c r="G782" s="283"/>
      <c r="H782" s="283"/>
      <c r="I782" s="283"/>
      <c r="J782" s="283"/>
      <c r="K782" s="283"/>
      <c r="L782" s="283"/>
      <c r="M782" s="283"/>
      <c r="N782" s="283"/>
      <c r="O782" s="283"/>
      <c r="P782" s="283"/>
      <c r="Q782" s="283"/>
      <c r="R782" s="283"/>
      <c r="S782" s="283"/>
      <c r="T782" s="283"/>
      <c r="U782" s="283"/>
      <c r="V782" s="283"/>
      <c r="W782" s="283"/>
      <c r="X782" s="283"/>
      <c r="Y782" s="283"/>
      <c r="Z782" s="283"/>
    </row>
    <row r="783" ht="14.25" customHeight="1">
      <c r="A783" s="283"/>
      <c r="B783" s="283"/>
      <c r="C783" s="283"/>
      <c r="D783" s="283"/>
      <c r="E783" s="283"/>
      <c r="F783" s="283"/>
      <c r="G783" s="283"/>
      <c r="H783" s="283"/>
      <c r="I783" s="283"/>
      <c r="J783" s="283"/>
      <c r="K783" s="283"/>
      <c r="L783" s="283"/>
      <c r="M783" s="283"/>
      <c r="N783" s="283"/>
      <c r="O783" s="283"/>
      <c r="P783" s="283"/>
      <c r="Q783" s="283"/>
      <c r="R783" s="283"/>
      <c r="S783" s="283"/>
      <c r="T783" s="283"/>
      <c r="U783" s="283"/>
      <c r="V783" s="283"/>
      <c r="W783" s="283"/>
      <c r="X783" s="283"/>
      <c r="Y783" s="283"/>
      <c r="Z783" s="283"/>
    </row>
    <row r="784" ht="14.25" customHeight="1">
      <c r="A784" s="283"/>
      <c r="B784" s="283"/>
      <c r="C784" s="283"/>
      <c r="D784" s="283"/>
      <c r="E784" s="283"/>
      <c r="F784" s="283"/>
      <c r="G784" s="283"/>
      <c r="H784" s="283"/>
      <c r="I784" s="283"/>
      <c r="J784" s="283"/>
      <c r="K784" s="283"/>
      <c r="L784" s="283"/>
      <c r="M784" s="283"/>
      <c r="N784" s="283"/>
      <c r="O784" s="283"/>
      <c r="P784" s="283"/>
      <c r="Q784" s="283"/>
      <c r="R784" s="283"/>
      <c r="S784" s="283"/>
      <c r="T784" s="283"/>
      <c r="U784" s="283"/>
      <c r="V784" s="283"/>
      <c r="W784" s="283"/>
      <c r="X784" s="283"/>
      <c r="Y784" s="283"/>
      <c r="Z784" s="283"/>
    </row>
    <row r="785" ht="14.25" customHeight="1">
      <c r="A785" s="283"/>
      <c r="B785" s="283"/>
      <c r="C785" s="283"/>
      <c r="D785" s="283"/>
      <c r="E785" s="283"/>
      <c r="F785" s="283"/>
      <c r="G785" s="283"/>
      <c r="H785" s="283"/>
      <c r="I785" s="283"/>
      <c r="J785" s="283"/>
      <c r="K785" s="283"/>
      <c r="L785" s="283"/>
      <c r="M785" s="283"/>
      <c r="N785" s="283"/>
      <c r="O785" s="283"/>
      <c r="P785" s="283"/>
      <c r="Q785" s="283"/>
      <c r="R785" s="283"/>
      <c r="S785" s="283"/>
      <c r="T785" s="283"/>
      <c r="U785" s="283"/>
      <c r="V785" s="283"/>
      <c r="W785" s="283"/>
      <c r="X785" s="283"/>
      <c r="Y785" s="283"/>
      <c r="Z785" s="283"/>
    </row>
    <row r="786" ht="14.25" customHeight="1">
      <c r="A786" s="283"/>
      <c r="B786" s="283"/>
      <c r="C786" s="283"/>
      <c r="D786" s="283"/>
      <c r="E786" s="283"/>
      <c r="F786" s="283"/>
      <c r="G786" s="283"/>
      <c r="H786" s="283"/>
      <c r="I786" s="283"/>
      <c r="J786" s="283"/>
      <c r="K786" s="283"/>
      <c r="L786" s="283"/>
      <c r="M786" s="283"/>
      <c r="N786" s="283"/>
      <c r="O786" s="283"/>
      <c r="P786" s="283"/>
      <c r="Q786" s="283"/>
      <c r="R786" s="283"/>
      <c r="S786" s="283"/>
      <c r="T786" s="283"/>
      <c r="U786" s="283"/>
      <c r="V786" s="283"/>
      <c r="W786" s="283"/>
      <c r="X786" s="283"/>
      <c r="Y786" s="283"/>
      <c r="Z786" s="283"/>
    </row>
    <row r="787" ht="14.25" customHeight="1">
      <c r="A787" s="283"/>
      <c r="B787" s="283"/>
      <c r="C787" s="283"/>
      <c r="D787" s="283"/>
      <c r="E787" s="283"/>
      <c r="F787" s="283"/>
      <c r="G787" s="283"/>
      <c r="H787" s="283"/>
      <c r="I787" s="283"/>
      <c r="J787" s="283"/>
      <c r="K787" s="283"/>
      <c r="L787" s="283"/>
      <c r="M787" s="283"/>
      <c r="N787" s="283"/>
      <c r="O787" s="283"/>
      <c r="P787" s="283"/>
      <c r="Q787" s="283"/>
      <c r="R787" s="283"/>
      <c r="S787" s="283"/>
      <c r="T787" s="283"/>
      <c r="U787" s="283"/>
      <c r="V787" s="283"/>
      <c r="W787" s="283"/>
      <c r="X787" s="283"/>
      <c r="Y787" s="283"/>
      <c r="Z787" s="283"/>
    </row>
    <row r="788" ht="14.25" customHeight="1">
      <c r="A788" s="283"/>
      <c r="B788" s="283"/>
      <c r="C788" s="283"/>
      <c r="D788" s="283"/>
      <c r="E788" s="283"/>
      <c r="F788" s="283"/>
      <c r="G788" s="283"/>
      <c r="H788" s="283"/>
      <c r="I788" s="283"/>
      <c r="J788" s="283"/>
      <c r="K788" s="283"/>
      <c r="L788" s="283"/>
      <c r="M788" s="283"/>
      <c r="N788" s="283"/>
      <c r="O788" s="283"/>
      <c r="P788" s="283"/>
      <c r="Q788" s="283"/>
      <c r="R788" s="283"/>
      <c r="S788" s="283"/>
      <c r="T788" s="283"/>
      <c r="U788" s="283"/>
      <c r="V788" s="283"/>
      <c r="W788" s="283"/>
      <c r="X788" s="283"/>
      <c r="Y788" s="283"/>
      <c r="Z788" s="283"/>
    </row>
    <row r="789" ht="14.25" customHeight="1">
      <c r="A789" s="283"/>
      <c r="B789" s="283"/>
      <c r="C789" s="283"/>
      <c r="D789" s="283"/>
      <c r="E789" s="283"/>
      <c r="F789" s="283"/>
      <c r="G789" s="283"/>
      <c r="H789" s="283"/>
      <c r="I789" s="283"/>
      <c r="J789" s="283"/>
      <c r="K789" s="283"/>
      <c r="L789" s="283"/>
      <c r="M789" s="283"/>
      <c r="N789" s="283"/>
      <c r="O789" s="283"/>
      <c r="P789" s="283"/>
      <c r="Q789" s="283"/>
      <c r="R789" s="283"/>
      <c r="S789" s="283"/>
      <c r="T789" s="283"/>
      <c r="U789" s="283"/>
      <c r="V789" s="283"/>
      <c r="W789" s="283"/>
      <c r="X789" s="283"/>
      <c r="Y789" s="283"/>
      <c r="Z789" s="283"/>
    </row>
    <row r="790" ht="14.25" customHeight="1">
      <c r="A790" s="283"/>
      <c r="B790" s="283"/>
      <c r="C790" s="283"/>
      <c r="D790" s="283"/>
      <c r="E790" s="283"/>
      <c r="F790" s="283"/>
      <c r="G790" s="283"/>
      <c r="H790" s="283"/>
      <c r="I790" s="283"/>
      <c r="J790" s="283"/>
      <c r="K790" s="283"/>
      <c r="L790" s="283"/>
      <c r="M790" s="283"/>
      <c r="N790" s="283"/>
      <c r="O790" s="283"/>
      <c r="P790" s="283"/>
      <c r="Q790" s="283"/>
      <c r="R790" s="283"/>
      <c r="S790" s="283"/>
      <c r="T790" s="283"/>
      <c r="U790" s="283"/>
      <c r="V790" s="283"/>
      <c r="W790" s="283"/>
      <c r="X790" s="283"/>
      <c r="Y790" s="283"/>
      <c r="Z790" s="283"/>
    </row>
    <row r="791" ht="14.25" customHeight="1">
      <c r="A791" s="283"/>
      <c r="B791" s="283"/>
      <c r="C791" s="283"/>
      <c r="D791" s="283"/>
      <c r="E791" s="283"/>
      <c r="F791" s="283"/>
      <c r="G791" s="283"/>
      <c r="H791" s="283"/>
      <c r="I791" s="283"/>
      <c r="J791" s="283"/>
      <c r="K791" s="283"/>
      <c r="L791" s="283"/>
      <c r="M791" s="283"/>
      <c r="N791" s="283"/>
      <c r="O791" s="283"/>
      <c r="P791" s="283"/>
      <c r="Q791" s="283"/>
      <c r="R791" s="283"/>
      <c r="S791" s="283"/>
      <c r="T791" s="283"/>
      <c r="U791" s="283"/>
      <c r="V791" s="283"/>
      <c r="W791" s="283"/>
      <c r="X791" s="283"/>
      <c r="Y791" s="283"/>
      <c r="Z791" s="283"/>
    </row>
    <row r="792" ht="14.25" customHeight="1">
      <c r="A792" s="283"/>
      <c r="B792" s="283"/>
      <c r="C792" s="283"/>
      <c r="D792" s="283"/>
      <c r="E792" s="283"/>
      <c r="F792" s="283"/>
      <c r="G792" s="283"/>
      <c r="H792" s="283"/>
      <c r="I792" s="283"/>
      <c r="J792" s="283"/>
      <c r="K792" s="283"/>
      <c r="L792" s="283"/>
      <c r="M792" s="283"/>
      <c r="N792" s="283"/>
      <c r="O792" s="283"/>
      <c r="P792" s="283"/>
      <c r="Q792" s="283"/>
      <c r="R792" s="283"/>
      <c r="S792" s="283"/>
      <c r="T792" s="283"/>
      <c r="U792" s="283"/>
      <c r="V792" s="283"/>
      <c r="W792" s="283"/>
      <c r="X792" s="283"/>
      <c r="Y792" s="283"/>
      <c r="Z792" s="283"/>
    </row>
    <row r="793" ht="14.25" customHeight="1">
      <c r="A793" s="283"/>
      <c r="B793" s="283"/>
      <c r="C793" s="283"/>
      <c r="D793" s="283"/>
      <c r="E793" s="283"/>
      <c r="F793" s="283"/>
      <c r="G793" s="283"/>
      <c r="H793" s="283"/>
      <c r="I793" s="283"/>
      <c r="J793" s="283"/>
      <c r="K793" s="283"/>
      <c r="L793" s="283"/>
      <c r="M793" s="283"/>
      <c r="N793" s="283"/>
      <c r="O793" s="283"/>
      <c r="P793" s="283"/>
      <c r="Q793" s="283"/>
      <c r="R793" s="283"/>
      <c r="S793" s="283"/>
      <c r="T793" s="283"/>
      <c r="U793" s="283"/>
      <c r="V793" s="283"/>
      <c r="W793" s="283"/>
      <c r="X793" s="283"/>
      <c r="Y793" s="283"/>
      <c r="Z793" s="283"/>
    </row>
    <row r="794" ht="14.25" customHeight="1">
      <c r="A794" s="283"/>
      <c r="B794" s="283"/>
      <c r="C794" s="283"/>
      <c r="D794" s="283"/>
      <c r="E794" s="283"/>
      <c r="F794" s="283"/>
      <c r="G794" s="283"/>
      <c r="H794" s="283"/>
      <c r="I794" s="283"/>
      <c r="J794" s="283"/>
      <c r="K794" s="283"/>
      <c r="L794" s="283"/>
      <c r="M794" s="283"/>
      <c r="N794" s="283"/>
      <c r="O794" s="283"/>
      <c r="P794" s="283"/>
      <c r="Q794" s="283"/>
      <c r="R794" s="283"/>
      <c r="S794" s="283"/>
      <c r="T794" s="283"/>
      <c r="U794" s="283"/>
      <c r="V794" s="283"/>
      <c r="W794" s="283"/>
      <c r="X794" s="283"/>
      <c r="Y794" s="283"/>
      <c r="Z794" s="283"/>
    </row>
    <row r="795" ht="14.25" customHeight="1">
      <c r="A795" s="283"/>
      <c r="B795" s="283"/>
      <c r="C795" s="283"/>
      <c r="D795" s="283"/>
      <c r="E795" s="283"/>
      <c r="F795" s="283"/>
      <c r="G795" s="283"/>
      <c r="H795" s="283"/>
      <c r="I795" s="283"/>
      <c r="J795" s="283"/>
      <c r="K795" s="283"/>
      <c r="L795" s="283"/>
      <c r="M795" s="283"/>
      <c r="N795" s="283"/>
      <c r="O795" s="283"/>
      <c r="P795" s="283"/>
      <c r="Q795" s="283"/>
      <c r="R795" s="283"/>
      <c r="S795" s="283"/>
      <c r="T795" s="283"/>
      <c r="U795" s="283"/>
      <c r="V795" s="283"/>
      <c r="W795" s="283"/>
      <c r="X795" s="283"/>
      <c r="Y795" s="283"/>
      <c r="Z795" s="283"/>
    </row>
    <row r="796" ht="14.25" customHeight="1">
      <c r="A796" s="283"/>
      <c r="B796" s="283"/>
      <c r="C796" s="283"/>
      <c r="D796" s="283"/>
      <c r="E796" s="283"/>
      <c r="F796" s="283"/>
      <c r="G796" s="283"/>
      <c r="H796" s="283"/>
      <c r="I796" s="283"/>
      <c r="J796" s="283"/>
      <c r="K796" s="283"/>
      <c r="L796" s="283"/>
      <c r="M796" s="283"/>
      <c r="N796" s="283"/>
      <c r="O796" s="283"/>
      <c r="P796" s="283"/>
      <c r="Q796" s="283"/>
      <c r="R796" s="283"/>
      <c r="S796" s="283"/>
      <c r="T796" s="283"/>
      <c r="U796" s="283"/>
      <c r="V796" s="283"/>
      <c r="W796" s="283"/>
      <c r="X796" s="283"/>
      <c r="Y796" s="283"/>
      <c r="Z796" s="283"/>
    </row>
    <row r="797" ht="14.25" customHeight="1">
      <c r="A797" s="283"/>
      <c r="B797" s="283"/>
      <c r="C797" s="283"/>
      <c r="D797" s="283"/>
      <c r="E797" s="283"/>
      <c r="F797" s="283"/>
      <c r="G797" s="283"/>
      <c r="H797" s="283"/>
      <c r="I797" s="283"/>
      <c r="J797" s="283"/>
      <c r="K797" s="283"/>
      <c r="L797" s="283"/>
      <c r="M797" s="283"/>
      <c r="N797" s="283"/>
      <c r="O797" s="283"/>
      <c r="P797" s="283"/>
      <c r="Q797" s="283"/>
      <c r="R797" s="283"/>
      <c r="S797" s="283"/>
      <c r="T797" s="283"/>
      <c r="U797" s="283"/>
      <c r="V797" s="283"/>
      <c r="W797" s="283"/>
      <c r="X797" s="283"/>
      <c r="Y797" s="283"/>
      <c r="Z797" s="283"/>
    </row>
    <row r="798" ht="14.25" customHeight="1">
      <c r="A798" s="283"/>
      <c r="B798" s="283"/>
      <c r="C798" s="283"/>
      <c r="D798" s="283"/>
      <c r="E798" s="283"/>
      <c r="F798" s="283"/>
      <c r="G798" s="283"/>
      <c r="H798" s="283"/>
      <c r="I798" s="283"/>
      <c r="J798" s="283"/>
      <c r="K798" s="283"/>
      <c r="L798" s="283"/>
      <c r="M798" s="283"/>
      <c r="N798" s="283"/>
      <c r="O798" s="283"/>
      <c r="P798" s="283"/>
      <c r="Q798" s="283"/>
      <c r="R798" s="283"/>
      <c r="S798" s="283"/>
      <c r="T798" s="283"/>
      <c r="U798" s="283"/>
      <c r="V798" s="283"/>
      <c r="W798" s="283"/>
      <c r="X798" s="283"/>
      <c r="Y798" s="283"/>
      <c r="Z798" s="283"/>
    </row>
    <row r="799" ht="14.25" customHeight="1">
      <c r="A799" s="283"/>
      <c r="B799" s="283"/>
      <c r="C799" s="283"/>
      <c r="D799" s="283"/>
      <c r="E799" s="283"/>
      <c r="F799" s="283"/>
      <c r="G799" s="283"/>
      <c r="H799" s="283"/>
      <c r="I799" s="283"/>
      <c r="J799" s="283"/>
      <c r="K799" s="283"/>
      <c r="L799" s="283"/>
      <c r="M799" s="283"/>
      <c r="N799" s="283"/>
      <c r="O799" s="283"/>
      <c r="P799" s="283"/>
      <c r="Q799" s="283"/>
      <c r="R799" s="283"/>
      <c r="S799" s="283"/>
      <c r="T799" s="283"/>
      <c r="U799" s="283"/>
      <c r="V799" s="283"/>
      <c r="W799" s="283"/>
      <c r="X799" s="283"/>
      <c r="Y799" s="283"/>
      <c r="Z799" s="283"/>
    </row>
    <row r="800" ht="14.25" customHeight="1">
      <c r="A800" s="283"/>
      <c r="B800" s="283"/>
      <c r="C800" s="283"/>
      <c r="D800" s="283"/>
      <c r="E800" s="283"/>
      <c r="F800" s="283"/>
      <c r="G800" s="283"/>
      <c r="H800" s="283"/>
      <c r="I800" s="283"/>
      <c r="J800" s="283"/>
      <c r="K800" s="283"/>
      <c r="L800" s="283"/>
      <c r="M800" s="283"/>
      <c r="N800" s="283"/>
      <c r="O800" s="283"/>
      <c r="P800" s="283"/>
      <c r="Q800" s="283"/>
      <c r="R800" s="283"/>
      <c r="S800" s="283"/>
      <c r="T800" s="283"/>
      <c r="U800" s="283"/>
      <c r="V800" s="283"/>
      <c r="W800" s="283"/>
      <c r="X800" s="283"/>
      <c r="Y800" s="283"/>
      <c r="Z800" s="283"/>
    </row>
    <row r="801" ht="14.25" customHeight="1">
      <c r="A801" s="283"/>
      <c r="B801" s="283"/>
      <c r="C801" s="283"/>
      <c r="D801" s="283"/>
      <c r="E801" s="283"/>
      <c r="F801" s="283"/>
      <c r="G801" s="283"/>
      <c r="H801" s="283"/>
      <c r="I801" s="283"/>
      <c r="J801" s="283"/>
      <c r="K801" s="283"/>
      <c r="L801" s="283"/>
      <c r="M801" s="283"/>
      <c r="N801" s="283"/>
      <c r="O801" s="283"/>
      <c r="P801" s="283"/>
      <c r="Q801" s="283"/>
      <c r="R801" s="283"/>
      <c r="S801" s="283"/>
      <c r="T801" s="283"/>
      <c r="U801" s="283"/>
      <c r="V801" s="283"/>
      <c r="W801" s="283"/>
      <c r="X801" s="283"/>
      <c r="Y801" s="283"/>
      <c r="Z801" s="283"/>
    </row>
    <row r="802" ht="14.25" customHeight="1">
      <c r="A802" s="283"/>
      <c r="B802" s="283"/>
      <c r="C802" s="283"/>
      <c r="D802" s="283"/>
      <c r="E802" s="283"/>
      <c r="F802" s="283"/>
      <c r="G802" s="283"/>
      <c r="H802" s="283"/>
      <c r="I802" s="283"/>
      <c r="J802" s="283"/>
      <c r="K802" s="283"/>
      <c r="L802" s="283"/>
      <c r="M802" s="283"/>
      <c r="N802" s="283"/>
      <c r="O802" s="283"/>
      <c r="P802" s="283"/>
      <c r="Q802" s="283"/>
      <c r="R802" s="283"/>
      <c r="S802" s="283"/>
      <c r="T802" s="283"/>
      <c r="U802" s="283"/>
      <c r="V802" s="283"/>
      <c r="W802" s="283"/>
      <c r="X802" s="283"/>
      <c r="Y802" s="283"/>
      <c r="Z802" s="283"/>
    </row>
    <row r="803" ht="14.25" customHeight="1">
      <c r="A803" s="283"/>
      <c r="B803" s="283"/>
      <c r="C803" s="283"/>
      <c r="D803" s="283"/>
      <c r="E803" s="283"/>
      <c r="F803" s="283"/>
      <c r="G803" s="283"/>
      <c r="H803" s="283"/>
      <c r="I803" s="283"/>
      <c r="J803" s="283"/>
      <c r="K803" s="283"/>
      <c r="L803" s="283"/>
      <c r="M803" s="283"/>
      <c r="N803" s="283"/>
      <c r="O803" s="283"/>
      <c r="P803" s="283"/>
      <c r="Q803" s="283"/>
      <c r="R803" s="283"/>
      <c r="S803" s="283"/>
      <c r="T803" s="283"/>
      <c r="U803" s="283"/>
      <c r="V803" s="283"/>
      <c r="W803" s="283"/>
      <c r="X803" s="283"/>
      <c r="Y803" s="283"/>
      <c r="Z803" s="283"/>
    </row>
    <row r="804" ht="14.25" customHeight="1">
      <c r="A804" s="283"/>
      <c r="B804" s="283"/>
      <c r="C804" s="283"/>
      <c r="D804" s="283"/>
      <c r="E804" s="283"/>
      <c r="F804" s="283"/>
      <c r="G804" s="283"/>
      <c r="H804" s="283"/>
      <c r="I804" s="283"/>
      <c r="J804" s="283"/>
      <c r="K804" s="283"/>
      <c r="L804" s="283"/>
      <c r="M804" s="283"/>
      <c r="N804" s="283"/>
      <c r="O804" s="283"/>
      <c r="P804" s="283"/>
      <c r="Q804" s="283"/>
      <c r="R804" s="283"/>
      <c r="S804" s="283"/>
      <c r="T804" s="283"/>
      <c r="U804" s="283"/>
      <c r="V804" s="283"/>
      <c r="W804" s="283"/>
      <c r="X804" s="283"/>
      <c r="Y804" s="283"/>
      <c r="Z804" s="283"/>
    </row>
    <row r="805" ht="14.25" customHeight="1">
      <c r="A805" s="283"/>
      <c r="B805" s="283"/>
      <c r="C805" s="283"/>
      <c r="D805" s="283"/>
      <c r="E805" s="283"/>
      <c r="F805" s="283"/>
      <c r="G805" s="283"/>
      <c r="H805" s="283"/>
      <c r="I805" s="283"/>
      <c r="J805" s="283"/>
      <c r="K805" s="283"/>
      <c r="L805" s="283"/>
      <c r="M805" s="283"/>
      <c r="N805" s="283"/>
      <c r="O805" s="283"/>
      <c r="P805" s="283"/>
      <c r="Q805" s="283"/>
      <c r="R805" s="283"/>
      <c r="S805" s="283"/>
      <c r="T805" s="283"/>
      <c r="U805" s="283"/>
      <c r="V805" s="283"/>
      <c r="W805" s="283"/>
      <c r="X805" s="283"/>
      <c r="Y805" s="283"/>
      <c r="Z805" s="283"/>
    </row>
    <row r="806" ht="14.25" customHeight="1">
      <c r="A806" s="283"/>
      <c r="B806" s="283"/>
      <c r="C806" s="283"/>
      <c r="D806" s="283"/>
      <c r="E806" s="283"/>
      <c r="F806" s="283"/>
      <c r="G806" s="283"/>
      <c r="H806" s="283"/>
      <c r="I806" s="283"/>
      <c r="J806" s="283"/>
      <c r="K806" s="283"/>
      <c r="L806" s="283"/>
      <c r="M806" s="283"/>
      <c r="N806" s="283"/>
      <c r="O806" s="283"/>
      <c r="P806" s="283"/>
      <c r="Q806" s="283"/>
      <c r="R806" s="283"/>
      <c r="S806" s="283"/>
      <c r="T806" s="283"/>
      <c r="U806" s="283"/>
      <c r="V806" s="283"/>
      <c r="W806" s="283"/>
      <c r="X806" s="283"/>
      <c r="Y806" s="283"/>
      <c r="Z806" s="283"/>
    </row>
    <row r="807" ht="14.25" customHeight="1">
      <c r="A807" s="283"/>
      <c r="B807" s="283"/>
      <c r="C807" s="283"/>
      <c r="D807" s="283"/>
      <c r="E807" s="283"/>
      <c r="F807" s="283"/>
      <c r="G807" s="283"/>
      <c r="H807" s="283"/>
      <c r="I807" s="283"/>
      <c r="J807" s="283"/>
      <c r="K807" s="283"/>
      <c r="L807" s="283"/>
      <c r="M807" s="283"/>
      <c r="N807" s="283"/>
      <c r="O807" s="283"/>
      <c r="P807" s="283"/>
      <c r="Q807" s="283"/>
      <c r="R807" s="283"/>
      <c r="S807" s="283"/>
      <c r="T807" s="283"/>
      <c r="U807" s="283"/>
      <c r="V807" s="283"/>
      <c r="W807" s="283"/>
      <c r="X807" s="283"/>
      <c r="Y807" s="283"/>
      <c r="Z807" s="283"/>
    </row>
    <row r="808" ht="14.25" customHeight="1">
      <c r="A808" s="283"/>
      <c r="B808" s="283"/>
      <c r="C808" s="283"/>
      <c r="D808" s="283"/>
      <c r="E808" s="283"/>
      <c r="F808" s="283"/>
      <c r="G808" s="283"/>
      <c r="H808" s="283"/>
      <c r="I808" s="283"/>
      <c r="J808" s="283"/>
      <c r="K808" s="283"/>
      <c r="L808" s="283"/>
      <c r="M808" s="283"/>
      <c r="N808" s="283"/>
      <c r="O808" s="283"/>
      <c r="P808" s="283"/>
      <c r="Q808" s="283"/>
      <c r="R808" s="283"/>
      <c r="S808" s="283"/>
      <c r="T808" s="283"/>
      <c r="U808" s="283"/>
      <c r="V808" s="283"/>
      <c r="W808" s="283"/>
      <c r="X808" s="283"/>
      <c r="Y808" s="283"/>
      <c r="Z808" s="283"/>
    </row>
    <row r="809" ht="14.25" customHeight="1">
      <c r="A809" s="283"/>
      <c r="B809" s="283"/>
      <c r="C809" s="283"/>
      <c r="D809" s="283"/>
      <c r="E809" s="283"/>
      <c r="F809" s="283"/>
      <c r="G809" s="283"/>
      <c r="H809" s="283"/>
      <c r="I809" s="283"/>
      <c r="J809" s="283"/>
      <c r="K809" s="283"/>
      <c r="L809" s="283"/>
      <c r="M809" s="283"/>
      <c r="N809" s="283"/>
      <c r="O809" s="283"/>
      <c r="P809" s="283"/>
      <c r="Q809" s="283"/>
      <c r="R809" s="283"/>
      <c r="S809" s="283"/>
      <c r="T809" s="283"/>
      <c r="U809" s="283"/>
      <c r="V809" s="283"/>
      <c r="W809" s="283"/>
      <c r="X809" s="283"/>
      <c r="Y809" s="283"/>
      <c r="Z809" s="283"/>
    </row>
    <row r="810" ht="14.25" customHeight="1">
      <c r="A810" s="283"/>
      <c r="B810" s="283"/>
      <c r="C810" s="283"/>
      <c r="D810" s="283"/>
      <c r="E810" s="283"/>
      <c r="F810" s="283"/>
      <c r="G810" s="283"/>
      <c r="H810" s="283"/>
      <c r="I810" s="283"/>
      <c r="J810" s="283"/>
      <c r="K810" s="283"/>
      <c r="L810" s="283"/>
      <c r="M810" s="283"/>
      <c r="N810" s="283"/>
      <c r="O810" s="283"/>
      <c r="P810" s="283"/>
      <c r="Q810" s="283"/>
      <c r="R810" s="283"/>
      <c r="S810" s="283"/>
      <c r="T810" s="283"/>
      <c r="U810" s="283"/>
      <c r="V810" s="283"/>
      <c r="W810" s="283"/>
      <c r="X810" s="283"/>
      <c r="Y810" s="283"/>
      <c r="Z810" s="283"/>
    </row>
    <row r="811" ht="14.25" customHeight="1">
      <c r="A811" s="283"/>
      <c r="B811" s="283"/>
      <c r="C811" s="283"/>
      <c r="D811" s="283"/>
      <c r="E811" s="283"/>
      <c r="F811" s="283"/>
      <c r="G811" s="283"/>
      <c r="H811" s="283"/>
      <c r="I811" s="283"/>
      <c r="J811" s="283"/>
      <c r="K811" s="283"/>
      <c r="L811" s="283"/>
      <c r="M811" s="283"/>
      <c r="N811" s="283"/>
      <c r="O811" s="283"/>
      <c r="P811" s="283"/>
      <c r="Q811" s="283"/>
      <c r="R811" s="283"/>
      <c r="S811" s="283"/>
      <c r="T811" s="283"/>
      <c r="U811" s="283"/>
      <c r="V811" s="283"/>
      <c r="W811" s="283"/>
      <c r="X811" s="283"/>
      <c r="Y811" s="283"/>
      <c r="Z811" s="283"/>
    </row>
    <row r="812" ht="14.25" customHeight="1">
      <c r="A812" s="283"/>
      <c r="B812" s="283"/>
      <c r="C812" s="283"/>
      <c r="D812" s="283"/>
      <c r="E812" s="283"/>
      <c r="F812" s="283"/>
      <c r="G812" s="283"/>
      <c r="H812" s="283"/>
      <c r="I812" s="283"/>
      <c r="J812" s="283"/>
      <c r="K812" s="283"/>
      <c r="L812" s="283"/>
      <c r="M812" s="283"/>
      <c r="N812" s="283"/>
      <c r="O812" s="283"/>
      <c r="P812" s="283"/>
      <c r="Q812" s="283"/>
      <c r="R812" s="283"/>
      <c r="S812" s="283"/>
      <c r="T812" s="283"/>
      <c r="U812" s="283"/>
      <c r="V812" s="283"/>
      <c r="W812" s="283"/>
      <c r="X812" s="283"/>
      <c r="Y812" s="283"/>
      <c r="Z812" s="283"/>
    </row>
    <row r="813" ht="14.25" customHeight="1">
      <c r="A813" s="283"/>
      <c r="B813" s="283"/>
      <c r="C813" s="283"/>
      <c r="D813" s="283"/>
      <c r="E813" s="283"/>
      <c r="F813" s="283"/>
      <c r="G813" s="283"/>
      <c r="H813" s="283"/>
      <c r="I813" s="283"/>
      <c r="J813" s="283"/>
      <c r="K813" s="283"/>
      <c r="L813" s="283"/>
      <c r="M813" s="283"/>
      <c r="N813" s="283"/>
      <c r="O813" s="283"/>
      <c r="P813" s="283"/>
      <c r="Q813" s="283"/>
      <c r="R813" s="283"/>
      <c r="S813" s="283"/>
      <c r="T813" s="283"/>
      <c r="U813" s="283"/>
      <c r="V813" s="283"/>
      <c r="W813" s="283"/>
      <c r="X813" s="283"/>
      <c r="Y813" s="283"/>
      <c r="Z813" s="283"/>
    </row>
    <row r="814" ht="14.25" customHeight="1">
      <c r="A814" s="283"/>
      <c r="B814" s="283"/>
      <c r="C814" s="283"/>
      <c r="D814" s="283"/>
      <c r="E814" s="283"/>
      <c r="F814" s="283"/>
      <c r="G814" s="283"/>
      <c r="H814" s="283"/>
      <c r="I814" s="283"/>
      <c r="J814" s="283"/>
      <c r="K814" s="283"/>
      <c r="L814" s="283"/>
      <c r="M814" s="283"/>
      <c r="N814" s="283"/>
      <c r="O814" s="283"/>
      <c r="P814" s="283"/>
      <c r="Q814" s="283"/>
      <c r="R814" s="283"/>
      <c r="S814" s="283"/>
      <c r="T814" s="283"/>
      <c r="U814" s="283"/>
      <c r="V814" s="283"/>
      <c r="W814" s="283"/>
      <c r="X814" s="283"/>
      <c r="Y814" s="283"/>
      <c r="Z814" s="283"/>
    </row>
    <row r="815" ht="14.25" customHeight="1">
      <c r="A815" s="283"/>
      <c r="B815" s="283"/>
      <c r="C815" s="283"/>
      <c r="D815" s="283"/>
      <c r="E815" s="283"/>
      <c r="F815" s="283"/>
      <c r="G815" s="283"/>
      <c r="H815" s="283"/>
      <c r="I815" s="283"/>
      <c r="J815" s="283"/>
      <c r="K815" s="283"/>
      <c r="L815" s="283"/>
      <c r="M815" s="283"/>
      <c r="N815" s="283"/>
      <c r="O815" s="283"/>
      <c r="P815" s="283"/>
      <c r="Q815" s="283"/>
      <c r="R815" s="283"/>
      <c r="S815" s="283"/>
      <c r="T815" s="283"/>
      <c r="U815" s="283"/>
      <c r="V815" s="283"/>
      <c r="W815" s="283"/>
      <c r="X815" s="283"/>
      <c r="Y815" s="283"/>
      <c r="Z815" s="283"/>
    </row>
    <row r="816" ht="14.25" customHeight="1">
      <c r="A816" s="283"/>
      <c r="B816" s="283"/>
      <c r="C816" s="283"/>
      <c r="D816" s="283"/>
      <c r="E816" s="283"/>
      <c r="F816" s="283"/>
      <c r="G816" s="283"/>
      <c r="H816" s="283"/>
      <c r="I816" s="283"/>
      <c r="J816" s="283"/>
      <c r="K816" s="283"/>
      <c r="L816" s="283"/>
      <c r="M816" s="283"/>
      <c r="N816" s="283"/>
      <c r="O816" s="283"/>
      <c r="P816" s="283"/>
      <c r="Q816" s="283"/>
      <c r="R816" s="283"/>
      <c r="S816" s="283"/>
      <c r="T816" s="283"/>
      <c r="U816" s="283"/>
      <c r="V816" s="283"/>
      <c r="W816" s="283"/>
      <c r="X816" s="283"/>
      <c r="Y816" s="283"/>
      <c r="Z816" s="283"/>
    </row>
    <row r="817" ht="14.25" customHeight="1">
      <c r="A817" s="283"/>
      <c r="B817" s="283"/>
      <c r="C817" s="283"/>
      <c r="D817" s="283"/>
      <c r="E817" s="283"/>
      <c r="F817" s="283"/>
      <c r="G817" s="283"/>
      <c r="H817" s="283"/>
      <c r="I817" s="283"/>
      <c r="J817" s="283"/>
      <c r="K817" s="283"/>
      <c r="L817" s="283"/>
      <c r="M817" s="283"/>
      <c r="N817" s="283"/>
      <c r="O817" s="283"/>
      <c r="P817" s="283"/>
      <c r="Q817" s="283"/>
      <c r="R817" s="283"/>
      <c r="S817" s="283"/>
      <c r="T817" s="283"/>
      <c r="U817" s="283"/>
      <c r="V817" s="283"/>
      <c r="W817" s="283"/>
      <c r="X817" s="283"/>
      <c r="Y817" s="283"/>
      <c r="Z817" s="283"/>
    </row>
    <row r="818" ht="14.25" customHeight="1">
      <c r="A818" s="283"/>
      <c r="B818" s="283"/>
      <c r="C818" s="283"/>
      <c r="D818" s="283"/>
      <c r="E818" s="283"/>
      <c r="F818" s="283"/>
      <c r="G818" s="283"/>
      <c r="H818" s="283"/>
      <c r="I818" s="283"/>
      <c r="J818" s="283"/>
      <c r="K818" s="283"/>
      <c r="L818" s="283"/>
      <c r="M818" s="283"/>
      <c r="N818" s="283"/>
      <c r="O818" s="283"/>
      <c r="P818" s="283"/>
      <c r="Q818" s="283"/>
      <c r="R818" s="283"/>
      <c r="S818" s="283"/>
      <c r="T818" s="283"/>
      <c r="U818" s="283"/>
      <c r="V818" s="283"/>
      <c r="W818" s="283"/>
      <c r="X818" s="283"/>
      <c r="Y818" s="283"/>
      <c r="Z818" s="283"/>
    </row>
    <row r="819" ht="14.25" customHeight="1">
      <c r="A819" s="283"/>
      <c r="B819" s="283"/>
      <c r="C819" s="283"/>
      <c r="D819" s="283"/>
      <c r="E819" s="283"/>
      <c r="F819" s="283"/>
      <c r="G819" s="283"/>
      <c r="H819" s="283"/>
      <c r="I819" s="283"/>
      <c r="J819" s="283"/>
      <c r="K819" s="283"/>
      <c r="L819" s="283"/>
      <c r="M819" s="283"/>
      <c r="N819" s="283"/>
      <c r="O819" s="283"/>
      <c r="P819" s="283"/>
      <c r="Q819" s="283"/>
      <c r="R819" s="283"/>
      <c r="S819" s="283"/>
      <c r="T819" s="283"/>
      <c r="U819" s="283"/>
      <c r="V819" s="283"/>
      <c r="W819" s="283"/>
      <c r="X819" s="283"/>
      <c r="Y819" s="283"/>
      <c r="Z819" s="283"/>
    </row>
    <row r="820" ht="14.25" customHeight="1">
      <c r="A820" s="283"/>
      <c r="B820" s="283"/>
      <c r="C820" s="283"/>
      <c r="D820" s="283"/>
      <c r="E820" s="283"/>
      <c r="F820" s="283"/>
      <c r="G820" s="283"/>
      <c r="H820" s="283"/>
      <c r="I820" s="283"/>
      <c r="J820" s="283"/>
      <c r="K820" s="283"/>
      <c r="L820" s="283"/>
      <c r="M820" s="283"/>
      <c r="N820" s="283"/>
      <c r="O820" s="283"/>
      <c r="P820" s="283"/>
      <c r="Q820" s="283"/>
      <c r="R820" s="283"/>
      <c r="S820" s="283"/>
      <c r="T820" s="283"/>
      <c r="U820" s="283"/>
      <c r="V820" s="283"/>
      <c r="W820" s="283"/>
      <c r="X820" s="283"/>
      <c r="Y820" s="283"/>
      <c r="Z820" s="283"/>
    </row>
    <row r="821" ht="14.25" customHeight="1">
      <c r="A821" s="283"/>
      <c r="B821" s="283"/>
      <c r="C821" s="283"/>
      <c r="D821" s="283"/>
      <c r="E821" s="283"/>
      <c r="F821" s="283"/>
      <c r="G821" s="283"/>
      <c r="H821" s="283"/>
      <c r="I821" s="283"/>
      <c r="J821" s="283"/>
      <c r="K821" s="283"/>
      <c r="L821" s="283"/>
      <c r="M821" s="283"/>
      <c r="N821" s="283"/>
      <c r="O821" s="283"/>
      <c r="P821" s="283"/>
      <c r="Q821" s="283"/>
      <c r="R821" s="283"/>
      <c r="S821" s="283"/>
      <c r="T821" s="283"/>
      <c r="U821" s="283"/>
      <c r="V821" s="283"/>
      <c r="W821" s="283"/>
      <c r="X821" s="283"/>
      <c r="Y821" s="283"/>
      <c r="Z821" s="283"/>
    </row>
    <row r="822" ht="14.25" customHeight="1">
      <c r="A822" s="283"/>
      <c r="B822" s="283"/>
      <c r="C822" s="283"/>
      <c r="D822" s="283"/>
      <c r="E822" s="283"/>
      <c r="F822" s="283"/>
      <c r="G822" s="283"/>
      <c r="H822" s="283"/>
      <c r="I822" s="283"/>
      <c r="J822" s="283"/>
      <c r="K822" s="283"/>
      <c r="L822" s="283"/>
      <c r="M822" s="283"/>
      <c r="N822" s="283"/>
      <c r="O822" s="283"/>
      <c r="P822" s="283"/>
      <c r="Q822" s="283"/>
      <c r="R822" s="283"/>
      <c r="S822" s="283"/>
      <c r="T822" s="283"/>
      <c r="U822" s="283"/>
      <c r="V822" s="283"/>
      <c r="W822" s="283"/>
      <c r="X822" s="283"/>
      <c r="Y822" s="283"/>
      <c r="Z822" s="283"/>
    </row>
    <row r="823" ht="14.25" customHeight="1">
      <c r="A823" s="283"/>
      <c r="B823" s="283"/>
      <c r="C823" s="283"/>
      <c r="D823" s="283"/>
      <c r="E823" s="283"/>
      <c r="F823" s="283"/>
      <c r="G823" s="283"/>
      <c r="H823" s="283"/>
      <c r="I823" s="283"/>
      <c r="J823" s="283"/>
      <c r="K823" s="283"/>
      <c r="L823" s="283"/>
      <c r="M823" s="283"/>
      <c r="N823" s="283"/>
      <c r="O823" s="283"/>
      <c r="P823" s="283"/>
      <c r="Q823" s="283"/>
      <c r="R823" s="283"/>
      <c r="S823" s="283"/>
      <c r="T823" s="283"/>
      <c r="U823" s="283"/>
      <c r="V823" s="283"/>
      <c r="W823" s="283"/>
      <c r="X823" s="283"/>
      <c r="Y823" s="283"/>
      <c r="Z823" s="283"/>
    </row>
    <row r="824" ht="14.25" customHeight="1">
      <c r="A824" s="283"/>
      <c r="B824" s="283"/>
      <c r="C824" s="283"/>
      <c r="D824" s="283"/>
      <c r="E824" s="283"/>
      <c r="F824" s="283"/>
      <c r="G824" s="283"/>
      <c r="H824" s="283"/>
      <c r="I824" s="283"/>
      <c r="J824" s="283"/>
      <c r="K824" s="283"/>
      <c r="L824" s="283"/>
      <c r="M824" s="283"/>
      <c r="N824" s="283"/>
      <c r="O824" s="283"/>
      <c r="P824" s="283"/>
      <c r="Q824" s="283"/>
      <c r="R824" s="283"/>
      <c r="S824" s="283"/>
      <c r="T824" s="283"/>
      <c r="U824" s="283"/>
      <c r="V824" s="283"/>
      <c r="W824" s="283"/>
      <c r="X824" s="283"/>
      <c r="Y824" s="283"/>
      <c r="Z824" s="283"/>
    </row>
    <row r="825" ht="14.25" customHeight="1">
      <c r="A825" s="283"/>
      <c r="B825" s="283"/>
      <c r="C825" s="283"/>
      <c r="D825" s="283"/>
      <c r="E825" s="283"/>
      <c r="F825" s="283"/>
      <c r="G825" s="283"/>
      <c r="H825" s="283"/>
      <c r="I825" s="283"/>
      <c r="J825" s="283"/>
      <c r="K825" s="283"/>
      <c r="L825" s="283"/>
      <c r="M825" s="283"/>
      <c r="N825" s="283"/>
      <c r="O825" s="283"/>
      <c r="P825" s="283"/>
      <c r="Q825" s="283"/>
      <c r="R825" s="283"/>
      <c r="S825" s="283"/>
      <c r="T825" s="283"/>
      <c r="U825" s="283"/>
      <c r="V825" s="283"/>
      <c r="W825" s="283"/>
      <c r="X825" s="283"/>
      <c r="Y825" s="283"/>
      <c r="Z825" s="283"/>
    </row>
    <row r="826" ht="14.25" customHeight="1">
      <c r="A826" s="283"/>
      <c r="B826" s="283"/>
      <c r="C826" s="283"/>
      <c r="D826" s="283"/>
      <c r="E826" s="283"/>
      <c r="F826" s="283"/>
      <c r="G826" s="283"/>
      <c r="H826" s="283"/>
      <c r="I826" s="283"/>
      <c r="J826" s="283"/>
      <c r="K826" s="283"/>
      <c r="L826" s="283"/>
      <c r="M826" s="283"/>
      <c r="N826" s="283"/>
      <c r="O826" s="283"/>
      <c r="P826" s="283"/>
      <c r="Q826" s="283"/>
      <c r="R826" s="283"/>
      <c r="S826" s="283"/>
      <c r="T826" s="283"/>
      <c r="U826" s="283"/>
      <c r="V826" s="283"/>
      <c r="W826" s="283"/>
      <c r="X826" s="283"/>
      <c r="Y826" s="283"/>
      <c r="Z826" s="283"/>
    </row>
    <row r="827" ht="14.25" customHeight="1">
      <c r="A827" s="283"/>
      <c r="B827" s="283"/>
      <c r="C827" s="283"/>
      <c r="D827" s="283"/>
      <c r="E827" s="283"/>
      <c r="F827" s="283"/>
      <c r="G827" s="283"/>
      <c r="H827" s="283"/>
      <c r="I827" s="283"/>
      <c r="J827" s="283"/>
      <c r="K827" s="283"/>
      <c r="L827" s="283"/>
      <c r="M827" s="283"/>
      <c r="N827" s="283"/>
      <c r="O827" s="283"/>
      <c r="P827" s="283"/>
      <c r="Q827" s="283"/>
      <c r="R827" s="283"/>
      <c r="S827" s="283"/>
      <c r="T827" s="283"/>
      <c r="U827" s="283"/>
      <c r="V827" s="283"/>
      <c r="W827" s="283"/>
      <c r="X827" s="283"/>
      <c r="Y827" s="283"/>
      <c r="Z827" s="283"/>
    </row>
    <row r="828" ht="14.25" customHeight="1">
      <c r="A828" s="283"/>
      <c r="B828" s="283"/>
      <c r="C828" s="283"/>
      <c r="D828" s="283"/>
      <c r="E828" s="283"/>
      <c r="F828" s="283"/>
      <c r="G828" s="283"/>
      <c r="H828" s="283"/>
      <c r="I828" s="283"/>
      <c r="J828" s="283"/>
      <c r="K828" s="283"/>
      <c r="L828" s="283"/>
      <c r="M828" s="283"/>
      <c r="N828" s="283"/>
      <c r="O828" s="283"/>
      <c r="P828" s="283"/>
      <c r="Q828" s="283"/>
      <c r="R828" s="283"/>
      <c r="S828" s="283"/>
      <c r="T828" s="283"/>
      <c r="U828" s="283"/>
      <c r="V828" s="283"/>
      <c r="W828" s="283"/>
      <c r="X828" s="283"/>
      <c r="Y828" s="283"/>
      <c r="Z828" s="283"/>
    </row>
    <row r="829" ht="14.25" customHeight="1">
      <c r="A829" s="283"/>
      <c r="B829" s="283"/>
      <c r="C829" s="283"/>
      <c r="D829" s="283"/>
      <c r="E829" s="283"/>
      <c r="F829" s="283"/>
      <c r="G829" s="283"/>
      <c r="H829" s="283"/>
      <c r="I829" s="283"/>
      <c r="J829" s="283"/>
      <c r="K829" s="283"/>
      <c r="L829" s="283"/>
      <c r="M829" s="283"/>
      <c r="N829" s="283"/>
      <c r="O829" s="283"/>
      <c r="P829" s="283"/>
      <c r="Q829" s="283"/>
      <c r="R829" s="283"/>
      <c r="S829" s="283"/>
      <c r="T829" s="283"/>
      <c r="U829" s="283"/>
      <c r="V829" s="283"/>
      <c r="W829" s="283"/>
      <c r="X829" s="283"/>
      <c r="Y829" s="283"/>
      <c r="Z829" s="283"/>
    </row>
    <row r="830" ht="14.25" customHeight="1">
      <c r="A830" s="283"/>
      <c r="B830" s="283"/>
      <c r="C830" s="283"/>
      <c r="D830" s="283"/>
      <c r="E830" s="283"/>
      <c r="F830" s="283"/>
      <c r="G830" s="283"/>
      <c r="H830" s="283"/>
      <c r="I830" s="283"/>
      <c r="J830" s="283"/>
      <c r="K830" s="283"/>
      <c r="L830" s="283"/>
      <c r="M830" s="283"/>
      <c r="N830" s="283"/>
      <c r="O830" s="283"/>
      <c r="P830" s="283"/>
      <c r="Q830" s="283"/>
      <c r="R830" s="283"/>
      <c r="S830" s="283"/>
      <c r="T830" s="283"/>
      <c r="U830" s="283"/>
      <c r="V830" s="283"/>
      <c r="W830" s="283"/>
      <c r="X830" s="283"/>
      <c r="Y830" s="283"/>
      <c r="Z830" s="283"/>
    </row>
    <row r="831" ht="14.25" customHeight="1">
      <c r="A831" s="283"/>
      <c r="B831" s="283"/>
      <c r="C831" s="283"/>
      <c r="D831" s="283"/>
      <c r="E831" s="283"/>
      <c r="F831" s="283"/>
      <c r="G831" s="283"/>
      <c r="H831" s="283"/>
      <c r="I831" s="283"/>
      <c r="J831" s="283"/>
      <c r="K831" s="283"/>
      <c r="L831" s="283"/>
      <c r="M831" s="283"/>
      <c r="N831" s="283"/>
      <c r="O831" s="283"/>
      <c r="P831" s="283"/>
      <c r="Q831" s="283"/>
      <c r="R831" s="283"/>
      <c r="S831" s="283"/>
      <c r="T831" s="283"/>
      <c r="U831" s="283"/>
      <c r="V831" s="283"/>
      <c r="W831" s="283"/>
      <c r="X831" s="283"/>
      <c r="Y831" s="283"/>
      <c r="Z831" s="283"/>
    </row>
    <row r="832" ht="14.25" customHeight="1">
      <c r="A832" s="283"/>
      <c r="B832" s="283"/>
      <c r="C832" s="283"/>
      <c r="D832" s="283"/>
      <c r="E832" s="283"/>
      <c r="F832" s="283"/>
      <c r="G832" s="283"/>
      <c r="H832" s="283"/>
      <c r="I832" s="283"/>
      <c r="J832" s="283"/>
      <c r="K832" s="283"/>
      <c r="L832" s="283"/>
      <c r="M832" s="283"/>
      <c r="N832" s="283"/>
      <c r="O832" s="283"/>
      <c r="P832" s="283"/>
      <c r="Q832" s="283"/>
      <c r="R832" s="283"/>
      <c r="S832" s="283"/>
      <c r="T832" s="283"/>
      <c r="U832" s="283"/>
      <c r="V832" s="283"/>
      <c r="W832" s="283"/>
      <c r="X832" s="283"/>
      <c r="Y832" s="283"/>
      <c r="Z832" s="283"/>
    </row>
    <row r="833" ht="14.25" customHeight="1">
      <c r="A833" s="283"/>
      <c r="B833" s="283"/>
      <c r="C833" s="283"/>
      <c r="D833" s="283"/>
      <c r="E833" s="283"/>
      <c r="F833" s="283"/>
      <c r="G833" s="283"/>
      <c r="H833" s="283"/>
      <c r="I833" s="283"/>
      <c r="J833" s="283"/>
      <c r="K833" s="283"/>
      <c r="L833" s="283"/>
      <c r="M833" s="283"/>
      <c r="N833" s="283"/>
      <c r="O833" s="283"/>
      <c r="P833" s="283"/>
      <c r="Q833" s="283"/>
      <c r="R833" s="283"/>
      <c r="S833" s="283"/>
      <c r="T833" s="283"/>
      <c r="U833" s="283"/>
      <c r="V833" s="283"/>
      <c r="W833" s="283"/>
      <c r="X833" s="283"/>
      <c r="Y833" s="283"/>
      <c r="Z833" s="283"/>
    </row>
    <row r="834" ht="14.25" customHeight="1">
      <c r="A834" s="283"/>
      <c r="B834" s="283"/>
      <c r="C834" s="283"/>
      <c r="D834" s="283"/>
      <c r="E834" s="283"/>
      <c r="F834" s="283"/>
      <c r="G834" s="283"/>
      <c r="H834" s="283"/>
      <c r="I834" s="283"/>
      <c r="J834" s="283"/>
      <c r="K834" s="283"/>
      <c r="L834" s="283"/>
      <c r="M834" s="283"/>
      <c r="N834" s="283"/>
      <c r="O834" s="283"/>
      <c r="P834" s="283"/>
      <c r="Q834" s="283"/>
      <c r="R834" s="283"/>
      <c r="S834" s="283"/>
      <c r="T834" s="283"/>
      <c r="U834" s="283"/>
      <c r="V834" s="283"/>
      <c r="W834" s="283"/>
      <c r="X834" s="283"/>
      <c r="Y834" s="283"/>
      <c r="Z834" s="283"/>
    </row>
    <row r="835" ht="14.25" customHeight="1">
      <c r="A835" s="283"/>
      <c r="B835" s="283"/>
      <c r="C835" s="283"/>
      <c r="D835" s="283"/>
      <c r="E835" s="283"/>
      <c r="F835" s="283"/>
      <c r="G835" s="283"/>
      <c r="H835" s="283"/>
      <c r="I835" s="283"/>
      <c r="J835" s="283"/>
      <c r="K835" s="283"/>
      <c r="L835" s="283"/>
      <c r="M835" s="283"/>
      <c r="N835" s="283"/>
      <c r="O835" s="283"/>
      <c r="P835" s="283"/>
      <c r="Q835" s="283"/>
      <c r="R835" s="283"/>
      <c r="S835" s="283"/>
      <c r="T835" s="283"/>
      <c r="U835" s="283"/>
      <c r="V835" s="283"/>
      <c r="W835" s="283"/>
      <c r="X835" s="283"/>
      <c r="Y835" s="283"/>
      <c r="Z835" s="283"/>
    </row>
    <row r="836" ht="14.25" customHeight="1">
      <c r="A836" s="283"/>
      <c r="B836" s="283"/>
      <c r="C836" s="283"/>
      <c r="D836" s="283"/>
      <c r="E836" s="283"/>
      <c r="F836" s="283"/>
      <c r="G836" s="283"/>
      <c r="H836" s="283"/>
      <c r="I836" s="283"/>
      <c r="J836" s="283"/>
      <c r="K836" s="283"/>
      <c r="L836" s="283"/>
      <c r="M836" s="283"/>
      <c r="N836" s="283"/>
      <c r="O836" s="283"/>
      <c r="P836" s="283"/>
      <c r="Q836" s="283"/>
      <c r="R836" s="283"/>
      <c r="S836" s="283"/>
      <c r="T836" s="283"/>
      <c r="U836" s="283"/>
      <c r="V836" s="283"/>
      <c r="W836" s="283"/>
      <c r="X836" s="283"/>
      <c r="Y836" s="283"/>
      <c r="Z836" s="283"/>
    </row>
    <row r="837" ht="14.25" customHeight="1">
      <c r="A837" s="283"/>
      <c r="B837" s="283"/>
      <c r="C837" s="283"/>
      <c r="D837" s="283"/>
      <c r="E837" s="283"/>
      <c r="F837" s="283"/>
      <c r="G837" s="283"/>
      <c r="H837" s="283"/>
      <c r="I837" s="283"/>
      <c r="J837" s="283"/>
      <c r="K837" s="283"/>
      <c r="L837" s="283"/>
      <c r="M837" s="283"/>
      <c r="N837" s="283"/>
      <c r="O837" s="283"/>
      <c r="P837" s="283"/>
      <c r="Q837" s="283"/>
      <c r="R837" s="283"/>
      <c r="S837" s="283"/>
      <c r="T837" s="283"/>
      <c r="U837" s="283"/>
      <c r="V837" s="283"/>
      <c r="W837" s="283"/>
      <c r="X837" s="283"/>
      <c r="Y837" s="283"/>
      <c r="Z837" s="283"/>
    </row>
    <row r="838" ht="14.25" customHeight="1">
      <c r="A838" s="283"/>
      <c r="B838" s="283"/>
      <c r="C838" s="283"/>
      <c r="D838" s="283"/>
      <c r="E838" s="283"/>
      <c r="F838" s="283"/>
      <c r="G838" s="283"/>
      <c r="H838" s="283"/>
      <c r="I838" s="283"/>
      <c r="J838" s="283"/>
      <c r="K838" s="283"/>
      <c r="L838" s="283"/>
      <c r="M838" s="283"/>
      <c r="N838" s="283"/>
      <c r="O838" s="283"/>
      <c r="P838" s="283"/>
      <c r="Q838" s="283"/>
      <c r="R838" s="283"/>
      <c r="S838" s="283"/>
      <c r="T838" s="283"/>
      <c r="U838" s="283"/>
      <c r="V838" s="283"/>
      <c r="W838" s="283"/>
      <c r="X838" s="283"/>
      <c r="Y838" s="283"/>
      <c r="Z838" s="283"/>
    </row>
    <row r="839" ht="14.25" customHeight="1">
      <c r="A839" s="283"/>
      <c r="B839" s="283"/>
      <c r="C839" s="283"/>
      <c r="D839" s="283"/>
      <c r="E839" s="283"/>
      <c r="F839" s="283"/>
      <c r="G839" s="283"/>
      <c r="H839" s="283"/>
      <c r="I839" s="283"/>
      <c r="J839" s="283"/>
      <c r="K839" s="283"/>
      <c r="L839" s="283"/>
      <c r="M839" s="283"/>
      <c r="N839" s="283"/>
      <c r="O839" s="283"/>
      <c r="P839" s="283"/>
      <c r="Q839" s="283"/>
      <c r="R839" s="283"/>
      <c r="S839" s="283"/>
      <c r="T839" s="283"/>
      <c r="U839" s="283"/>
      <c r="V839" s="283"/>
      <c r="W839" s="283"/>
      <c r="X839" s="283"/>
      <c r="Y839" s="283"/>
      <c r="Z839" s="283"/>
    </row>
    <row r="840" ht="14.25" customHeight="1">
      <c r="A840" s="283"/>
      <c r="B840" s="283"/>
      <c r="C840" s="283"/>
      <c r="D840" s="283"/>
      <c r="E840" s="283"/>
      <c r="F840" s="283"/>
      <c r="G840" s="283"/>
      <c r="H840" s="283"/>
      <c r="I840" s="283"/>
      <c r="J840" s="283"/>
      <c r="K840" s="283"/>
      <c r="L840" s="283"/>
      <c r="M840" s="283"/>
      <c r="N840" s="283"/>
      <c r="O840" s="283"/>
      <c r="P840" s="283"/>
      <c r="Q840" s="283"/>
      <c r="R840" s="283"/>
      <c r="S840" s="283"/>
      <c r="T840" s="283"/>
      <c r="U840" s="283"/>
      <c r="V840" s="283"/>
      <c r="W840" s="283"/>
      <c r="X840" s="283"/>
      <c r="Y840" s="283"/>
      <c r="Z840" s="283"/>
    </row>
    <row r="841" ht="14.25" customHeight="1">
      <c r="A841" s="283"/>
      <c r="B841" s="283"/>
      <c r="C841" s="283"/>
      <c r="D841" s="283"/>
      <c r="E841" s="283"/>
      <c r="F841" s="283"/>
      <c r="G841" s="283"/>
      <c r="H841" s="283"/>
      <c r="I841" s="283"/>
      <c r="J841" s="283"/>
      <c r="K841" s="283"/>
      <c r="L841" s="283"/>
      <c r="M841" s="283"/>
      <c r="N841" s="283"/>
      <c r="O841" s="283"/>
      <c r="P841" s="283"/>
      <c r="Q841" s="283"/>
      <c r="R841" s="283"/>
      <c r="S841" s="283"/>
      <c r="T841" s="283"/>
      <c r="U841" s="283"/>
      <c r="V841" s="283"/>
      <c r="W841" s="283"/>
      <c r="X841" s="283"/>
      <c r="Y841" s="283"/>
      <c r="Z841" s="283"/>
    </row>
    <row r="842" ht="14.25" customHeight="1">
      <c r="A842" s="283"/>
      <c r="B842" s="283"/>
      <c r="C842" s="283"/>
      <c r="D842" s="283"/>
      <c r="E842" s="283"/>
      <c r="F842" s="283"/>
      <c r="G842" s="283"/>
      <c r="H842" s="283"/>
      <c r="I842" s="283"/>
      <c r="J842" s="283"/>
      <c r="K842" s="283"/>
      <c r="L842" s="283"/>
      <c r="M842" s="283"/>
      <c r="N842" s="283"/>
      <c r="O842" s="283"/>
      <c r="P842" s="283"/>
      <c r="Q842" s="283"/>
      <c r="R842" s="283"/>
      <c r="S842" s="283"/>
      <c r="T842" s="283"/>
      <c r="U842" s="283"/>
      <c r="V842" s="283"/>
      <c r="W842" s="283"/>
      <c r="X842" s="283"/>
      <c r="Y842" s="283"/>
      <c r="Z842" s="283"/>
    </row>
    <row r="843" ht="14.25" customHeight="1">
      <c r="A843" s="283"/>
      <c r="B843" s="283"/>
      <c r="C843" s="283"/>
      <c r="D843" s="283"/>
      <c r="E843" s="283"/>
      <c r="F843" s="283"/>
      <c r="G843" s="283"/>
      <c r="H843" s="283"/>
      <c r="I843" s="283"/>
      <c r="J843" s="283"/>
      <c r="K843" s="283"/>
      <c r="L843" s="283"/>
      <c r="M843" s="283"/>
      <c r="N843" s="283"/>
      <c r="O843" s="283"/>
      <c r="P843" s="283"/>
      <c r="Q843" s="283"/>
      <c r="R843" s="283"/>
      <c r="S843" s="283"/>
      <c r="T843" s="283"/>
      <c r="U843" s="283"/>
      <c r="V843" s="283"/>
      <c r="W843" s="283"/>
      <c r="X843" s="283"/>
      <c r="Y843" s="283"/>
      <c r="Z843" s="283"/>
    </row>
    <row r="844" ht="14.25" customHeight="1">
      <c r="A844" s="283"/>
      <c r="B844" s="283"/>
      <c r="C844" s="283"/>
      <c r="D844" s="283"/>
      <c r="E844" s="283"/>
      <c r="F844" s="283"/>
      <c r="G844" s="283"/>
      <c r="H844" s="283"/>
      <c r="I844" s="283"/>
      <c r="J844" s="283"/>
      <c r="K844" s="283"/>
      <c r="L844" s="283"/>
      <c r="M844" s="283"/>
      <c r="N844" s="283"/>
      <c r="O844" s="283"/>
      <c r="P844" s="283"/>
      <c r="Q844" s="283"/>
      <c r="R844" s="283"/>
      <c r="S844" s="283"/>
      <c r="T844" s="283"/>
      <c r="U844" s="283"/>
      <c r="V844" s="283"/>
      <c r="W844" s="283"/>
      <c r="X844" s="283"/>
      <c r="Y844" s="283"/>
      <c r="Z844" s="283"/>
    </row>
    <row r="845" ht="14.25" customHeight="1">
      <c r="A845" s="283"/>
      <c r="B845" s="283"/>
      <c r="C845" s="283"/>
      <c r="D845" s="283"/>
      <c r="E845" s="283"/>
      <c r="F845" s="283"/>
      <c r="G845" s="283"/>
      <c r="H845" s="283"/>
      <c r="I845" s="283"/>
      <c r="J845" s="283"/>
      <c r="K845" s="283"/>
      <c r="L845" s="283"/>
      <c r="M845" s="283"/>
      <c r="N845" s="283"/>
      <c r="O845" s="283"/>
      <c r="P845" s="283"/>
      <c r="Q845" s="283"/>
      <c r="R845" s="283"/>
      <c r="S845" s="283"/>
      <c r="T845" s="283"/>
      <c r="U845" s="283"/>
      <c r="V845" s="283"/>
      <c r="W845" s="283"/>
      <c r="X845" s="283"/>
      <c r="Y845" s="283"/>
      <c r="Z845" s="283"/>
    </row>
    <row r="846" ht="14.25" customHeight="1">
      <c r="A846" s="283"/>
      <c r="B846" s="283"/>
      <c r="C846" s="283"/>
      <c r="D846" s="283"/>
      <c r="E846" s="283"/>
      <c r="F846" s="283"/>
      <c r="G846" s="283"/>
      <c r="H846" s="283"/>
      <c r="I846" s="283"/>
      <c r="J846" s="283"/>
      <c r="K846" s="283"/>
      <c r="L846" s="283"/>
      <c r="M846" s="283"/>
      <c r="N846" s="283"/>
      <c r="O846" s="283"/>
      <c r="P846" s="283"/>
      <c r="Q846" s="283"/>
      <c r="R846" s="283"/>
      <c r="S846" s="283"/>
      <c r="T846" s="283"/>
      <c r="U846" s="283"/>
      <c r="V846" s="283"/>
      <c r="W846" s="283"/>
      <c r="X846" s="283"/>
      <c r="Y846" s="283"/>
      <c r="Z846" s="283"/>
    </row>
    <row r="847" ht="14.25" customHeight="1">
      <c r="A847" s="283"/>
      <c r="B847" s="283"/>
      <c r="C847" s="283"/>
      <c r="D847" s="283"/>
      <c r="E847" s="283"/>
      <c r="F847" s="283"/>
      <c r="G847" s="283"/>
      <c r="H847" s="283"/>
      <c r="I847" s="283"/>
      <c r="J847" s="283"/>
      <c r="K847" s="283"/>
      <c r="L847" s="283"/>
      <c r="M847" s="283"/>
      <c r="N847" s="283"/>
      <c r="O847" s="283"/>
      <c r="P847" s="283"/>
      <c r="Q847" s="283"/>
      <c r="R847" s="283"/>
      <c r="S847" s="283"/>
      <c r="T847" s="283"/>
      <c r="U847" s="283"/>
      <c r="V847" s="283"/>
      <c r="W847" s="283"/>
      <c r="X847" s="283"/>
      <c r="Y847" s="283"/>
      <c r="Z847" s="283"/>
    </row>
    <row r="848" ht="14.25" customHeight="1">
      <c r="A848" s="283"/>
      <c r="B848" s="283"/>
      <c r="C848" s="283"/>
      <c r="D848" s="283"/>
      <c r="E848" s="283"/>
      <c r="F848" s="283"/>
      <c r="G848" s="283"/>
      <c r="H848" s="283"/>
      <c r="I848" s="283"/>
      <c r="J848" s="283"/>
      <c r="K848" s="283"/>
      <c r="L848" s="283"/>
      <c r="M848" s="283"/>
      <c r="N848" s="283"/>
      <c r="O848" s="283"/>
      <c r="P848" s="283"/>
      <c r="Q848" s="283"/>
      <c r="R848" s="283"/>
      <c r="S848" s="283"/>
      <c r="T848" s="283"/>
      <c r="U848" s="283"/>
      <c r="V848" s="283"/>
      <c r="W848" s="283"/>
      <c r="X848" s="283"/>
      <c r="Y848" s="283"/>
      <c r="Z848" s="283"/>
    </row>
    <row r="849" ht="14.25" customHeight="1">
      <c r="A849" s="283"/>
      <c r="B849" s="283"/>
      <c r="C849" s="283"/>
      <c r="D849" s="283"/>
      <c r="E849" s="283"/>
      <c r="F849" s="283"/>
      <c r="G849" s="283"/>
      <c r="H849" s="283"/>
      <c r="I849" s="283"/>
      <c r="J849" s="283"/>
      <c r="K849" s="283"/>
      <c r="L849" s="283"/>
      <c r="M849" s="283"/>
      <c r="N849" s="283"/>
      <c r="O849" s="283"/>
      <c r="P849" s="283"/>
      <c r="Q849" s="283"/>
      <c r="R849" s="283"/>
      <c r="S849" s="283"/>
      <c r="T849" s="283"/>
      <c r="U849" s="283"/>
      <c r="V849" s="283"/>
      <c r="W849" s="283"/>
      <c r="X849" s="283"/>
      <c r="Y849" s="283"/>
      <c r="Z849" s="283"/>
    </row>
    <row r="850" ht="14.25" customHeight="1">
      <c r="A850" s="283"/>
      <c r="B850" s="283"/>
      <c r="C850" s="283"/>
      <c r="D850" s="283"/>
      <c r="E850" s="283"/>
      <c r="F850" s="283"/>
      <c r="G850" s="283"/>
      <c r="H850" s="283"/>
      <c r="I850" s="283"/>
      <c r="J850" s="283"/>
      <c r="K850" s="283"/>
      <c r="L850" s="283"/>
      <c r="M850" s="283"/>
      <c r="N850" s="283"/>
      <c r="O850" s="283"/>
      <c r="P850" s="283"/>
      <c r="Q850" s="283"/>
      <c r="R850" s="283"/>
      <c r="S850" s="283"/>
      <c r="T850" s="283"/>
      <c r="U850" s="283"/>
      <c r="V850" s="283"/>
      <c r="W850" s="283"/>
      <c r="X850" s="283"/>
      <c r="Y850" s="283"/>
      <c r="Z850" s="283"/>
    </row>
    <row r="851" ht="14.25" customHeight="1">
      <c r="A851" s="283"/>
      <c r="B851" s="283"/>
      <c r="C851" s="283"/>
      <c r="D851" s="283"/>
      <c r="E851" s="283"/>
      <c r="F851" s="283"/>
      <c r="G851" s="283"/>
      <c r="H851" s="283"/>
      <c r="I851" s="283"/>
      <c r="J851" s="283"/>
      <c r="K851" s="283"/>
      <c r="L851" s="283"/>
      <c r="M851" s="283"/>
      <c r="N851" s="283"/>
      <c r="O851" s="283"/>
      <c r="P851" s="283"/>
      <c r="Q851" s="283"/>
      <c r="R851" s="283"/>
      <c r="S851" s="283"/>
      <c r="T851" s="283"/>
      <c r="U851" s="283"/>
      <c r="V851" s="283"/>
      <c r="W851" s="283"/>
      <c r="X851" s="283"/>
      <c r="Y851" s="283"/>
      <c r="Z851" s="283"/>
    </row>
    <row r="852" ht="14.25" customHeight="1">
      <c r="A852" s="283"/>
      <c r="B852" s="283"/>
      <c r="C852" s="283"/>
      <c r="D852" s="283"/>
      <c r="E852" s="283"/>
      <c r="F852" s="283"/>
      <c r="G852" s="283"/>
      <c r="H852" s="283"/>
      <c r="I852" s="283"/>
      <c r="J852" s="283"/>
      <c r="K852" s="283"/>
      <c r="L852" s="283"/>
      <c r="M852" s="283"/>
      <c r="N852" s="283"/>
      <c r="O852" s="283"/>
      <c r="P852" s="283"/>
      <c r="Q852" s="283"/>
      <c r="R852" s="283"/>
      <c r="S852" s="283"/>
      <c r="T852" s="283"/>
      <c r="U852" s="283"/>
      <c r="V852" s="283"/>
      <c r="W852" s="283"/>
      <c r="X852" s="283"/>
      <c r="Y852" s="283"/>
      <c r="Z852" s="283"/>
    </row>
    <row r="853" ht="14.25" customHeight="1">
      <c r="A853" s="283"/>
      <c r="B853" s="283"/>
      <c r="C853" s="283"/>
      <c r="D853" s="283"/>
      <c r="E853" s="283"/>
      <c r="F853" s="283"/>
      <c r="G853" s="283"/>
      <c r="H853" s="283"/>
      <c r="I853" s="283"/>
      <c r="J853" s="283"/>
      <c r="K853" s="283"/>
      <c r="L853" s="283"/>
      <c r="M853" s="283"/>
      <c r="N853" s="283"/>
      <c r="O853" s="283"/>
      <c r="P853" s="283"/>
      <c r="Q853" s="283"/>
      <c r="R853" s="283"/>
      <c r="S853" s="283"/>
      <c r="T853" s="283"/>
      <c r="U853" s="283"/>
      <c r="V853" s="283"/>
      <c r="W853" s="283"/>
      <c r="X853" s="283"/>
      <c r="Y853" s="283"/>
      <c r="Z853" s="283"/>
    </row>
    <row r="854" ht="14.25" customHeight="1">
      <c r="A854" s="283"/>
      <c r="B854" s="283"/>
      <c r="C854" s="283"/>
      <c r="D854" s="283"/>
      <c r="E854" s="283"/>
      <c r="F854" s="283"/>
      <c r="G854" s="283"/>
      <c r="H854" s="283"/>
      <c r="I854" s="283"/>
      <c r="J854" s="283"/>
      <c r="K854" s="283"/>
      <c r="L854" s="283"/>
      <c r="M854" s="283"/>
      <c r="N854" s="283"/>
      <c r="O854" s="283"/>
      <c r="P854" s="283"/>
      <c r="Q854" s="283"/>
      <c r="R854" s="283"/>
      <c r="S854" s="283"/>
      <c r="T854" s="283"/>
      <c r="U854" s="283"/>
      <c r="V854" s="283"/>
      <c r="W854" s="283"/>
      <c r="X854" s="283"/>
      <c r="Y854" s="283"/>
      <c r="Z854" s="283"/>
    </row>
    <row r="855" ht="14.25" customHeight="1">
      <c r="A855" s="283"/>
      <c r="B855" s="283"/>
      <c r="C855" s="283"/>
      <c r="D855" s="283"/>
      <c r="E855" s="283"/>
      <c r="F855" s="283"/>
      <c r="G855" s="283"/>
      <c r="H855" s="283"/>
      <c r="I855" s="283"/>
      <c r="J855" s="283"/>
      <c r="K855" s="283"/>
      <c r="L855" s="283"/>
      <c r="M855" s="283"/>
      <c r="N855" s="283"/>
      <c r="O855" s="283"/>
      <c r="P855" s="283"/>
      <c r="Q855" s="283"/>
      <c r="R855" s="283"/>
      <c r="S855" s="283"/>
      <c r="T855" s="283"/>
      <c r="U855" s="283"/>
      <c r="V855" s="283"/>
      <c r="W855" s="283"/>
      <c r="X855" s="283"/>
      <c r="Y855" s="283"/>
      <c r="Z855" s="283"/>
    </row>
    <row r="856" ht="14.25" customHeight="1">
      <c r="A856" s="283"/>
      <c r="B856" s="283"/>
      <c r="C856" s="283"/>
      <c r="D856" s="283"/>
      <c r="E856" s="283"/>
      <c r="F856" s="283"/>
      <c r="G856" s="283"/>
      <c r="H856" s="283"/>
      <c r="I856" s="283"/>
      <c r="J856" s="283"/>
      <c r="K856" s="283"/>
      <c r="L856" s="283"/>
      <c r="M856" s="283"/>
      <c r="N856" s="283"/>
      <c r="O856" s="283"/>
      <c r="P856" s="283"/>
      <c r="Q856" s="283"/>
      <c r="R856" s="283"/>
      <c r="S856" s="283"/>
      <c r="T856" s="283"/>
      <c r="U856" s="283"/>
      <c r="V856" s="283"/>
      <c r="W856" s="283"/>
      <c r="X856" s="283"/>
      <c r="Y856" s="283"/>
      <c r="Z856" s="283"/>
    </row>
    <row r="857" ht="14.25" customHeight="1">
      <c r="A857" s="283"/>
      <c r="B857" s="283"/>
      <c r="C857" s="283"/>
      <c r="D857" s="283"/>
      <c r="E857" s="283"/>
      <c r="F857" s="283"/>
      <c r="G857" s="283"/>
      <c r="H857" s="283"/>
      <c r="I857" s="283"/>
      <c r="J857" s="283"/>
      <c r="K857" s="283"/>
      <c r="L857" s="283"/>
      <c r="M857" s="283"/>
      <c r="N857" s="283"/>
      <c r="O857" s="283"/>
      <c r="P857" s="283"/>
      <c r="Q857" s="283"/>
      <c r="R857" s="283"/>
      <c r="S857" s="283"/>
      <c r="T857" s="283"/>
      <c r="U857" s="283"/>
      <c r="V857" s="283"/>
      <c r="W857" s="283"/>
      <c r="X857" s="283"/>
      <c r="Y857" s="283"/>
      <c r="Z857" s="283"/>
    </row>
    <row r="858" ht="14.25" customHeight="1">
      <c r="A858" s="283"/>
      <c r="B858" s="283"/>
      <c r="C858" s="283"/>
      <c r="D858" s="283"/>
      <c r="E858" s="283"/>
      <c r="F858" s="283"/>
      <c r="G858" s="283"/>
      <c r="H858" s="283"/>
      <c r="I858" s="283"/>
      <c r="J858" s="283"/>
      <c r="K858" s="283"/>
      <c r="L858" s="283"/>
      <c r="M858" s="283"/>
      <c r="N858" s="283"/>
      <c r="O858" s="283"/>
      <c r="P858" s="283"/>
      <c r="Q858" s="283"/>
      <c r="R858" s="283"/>
      <c r="S858" s="283"/>
      <c r="T858" s="283"/>
      <c r="U858" s="283"/>
      <c r="V858" s="283"/>
      <c r="W858" s="283"/>
      <c r="X858" s="283"/>
      <c r="Y858" s="283"/>
      <c r="Z858" s="283"/>
    </row>
    <row r="859" ht="14.25" customHeight="1">
      <c r="A859" s="283"/>
      <c r="B859" s="283"/>
      <c r="C859" s="283"/>
      <c r="D859" s="283"/>
      <c r="E859" s="283"/>
      <c r="F859" s="283"/>
      <c r="G859" s="283"/>
      <c r="H859" s="283"/>
      <c r="I859" s="283"/>
      <c r="J859" s="283"/>
      <c r="K859" s="283"/>
      <c r="L859" s="283"/>
      <c r="M859" s="283"/>
      <c r="N859" s="283"/>
      <c r="O859" s="283"/>
      <c r="P859" s="283"/>
      <c r="Q859" s="283"/>
      <c r="R859" s="283"/>
      <c r="S859" s="283"/>
      <c r="T859" s="283"/>
      <c r="U859" s="283"/>
      <c r="V859" s="283"/>
      <c r="W859" s="283"/>
      <c r="X859" s="283"/>
      <c r="Y859" s="283"/>
      <c r="Z859" s="283"/>
    </row>
    <row r="860" ht="14.25" customHeight="1">
      <c r="A860" s="283"/>
      <c r="B860" s="283"/>
      <c r="C860" s="283"/>
      <c r="D860" s="283"/>
      <c r="E860" s="283"/>
      <c r="F860" s="283"/>
      <c r="G860" s="283"/>
      <c r="H860" s="283"/>
      <c r="I860" s="283"/>
      <c r="J860" s="283"/>
      <c r="K860" s="283"/>
      <c r="L860" s="283"/>
      <c r="M860" s="283"/>
      <c r="N860" s="283"/>
      <c r="O860" s="283"/>
      <c r="P860" s="283"/>
      <c r="Q860" s="283"/>
      <c r="R860" s="283"/>
      <c r="S860" s="283"/>
      <c r="T860" s="283"/>
      <c r="U860" s="283"/>
      <c r="V860" s="283"/>
      <c r="W860" s="283"/>
      <c r="X860" s="283"/>
      <c r="Y860" s="283"/>
      <c r="Z860" s="283"/>
    </row>
    <row r="861" ht="14.25" customHeight="1">
      <c r="A861" s="283"/>
      <c r="B861" s="283"/>
      <c r="C861" s="283"/>
      <c r="D861" s="283"/>
      <c r="E861" s="283"/>
      <c r="F861" s="283"/>
      <c r="G861" s="283"/>
      <c r="H861" s="283"/>
      <c r="I861" s="283"/>
      <c r="J861" s="283"/>
      <c r="K861" s="283"/>
      <c r="L861" s="283"/>
      <c r="M861" s="283"/>
      <c r="N861" s="283"/>
      <c r="O861" s="283"/>
      <c r="P861" s="283"/>
      <c r="Q861" s="283"/>
      <c r="R861" s="283"/>
      <c r="S861" s="283"/>
      <c r="T861" s="283"/>
      <c r="U861" s="283"/>
      <c r="V861" s="283"/>
      <c r="W861" s="283"/>
      <c r="X861" s="283"/>
      <c r="Y861" s="283"/>
      <c r="Z861" s="283"/>
    </row>
    <row r="862" ht="14.25" customHeight="1">
      <c r="A862" s="283"/>
      <c r="B862" s="283"/>
      <c r="C862" s="283"/>
      <c r="D862" s="283"/>
      <c r="E862" s="283"/>
      <c r="F862" s="283"/>
      <c r="G862" s="283"/>
      <c r="H862" s="283"/>
      <c r="I862" s="283"/>
      <c r="J862" s="283"/>
      <c r="K862" s="283"/>
      <c r="L862" s="283"/>
      <c r="M862" s="283"/>
      <c r="N862" s="283"/>
      <c r="O862" s="283"/>
      <c r="P862" s="283"/>
      <c r="Q862" s="283"/>
      <c r="R862" s="283"/>
      <c r="S862" s="283"/>
      <c r="T862" s="283"/>
      <c r="U862" s="283"/>
      <c r="V862" s="283"/>
      <c r="W862" s="283"/>
      <c r="X862" s="283"/>
      <c r="Y862" s="283"/>
      <c r="Z862" s="283"/>
    </row>
    <row r="863" ht="14.25" customHeight="1">
      <c r="A863" s="283"/>
      <c r="B863" s="283"/>
      <c r="C863" s="283"/>
      <c r="D863" s="283"/>
      <c r="E863" s="283"/>
      <c r="F863" s="283"/>
      <c r="G863" s="283"/>
      <c r="H863" s="283"/>
      <c r="I863" s="283"/>
      <c r="J863" s="283"/>
      <c r="K863" s="283"/>
      <c r="L863" s="283"/>
      <c r="M863" s="283"/>
      <c r="N863" s="283"/>
      <c r="O863" s="283"/>
      <c r="P863" s="283"/>
      <c r="Q863" s="283"/>
      <c r="R863" s="283"/>
      <c r="S863" s="283"/>
      <c r="T863" s="283"/>
      <c r="U863" s="283"/>
      <c r="V863" s="283"/>
      <c r="W863" s="283"/>
      <c r="X863" s="283"/>
      <c r="Y863" s="283"/>
      <c r="Z863" s="283"/>
    </row>
    <row r="864" ht="14.25" customHeight="1">
      <c r="A864" s="283"/>
      <c r="B864" s="283"/>
      <c r="C864" s="283"/>
      <c r="D864" s="283"/>
      <c r="E864" s="283"/>
      <c r="F864" s="283"/>
      <c r="G864" s="283"/>
      <c r="H864" s="283"/>
      <c r="I864" s="283"/>
      <c r="J864" s="283"/>
      <c r="K864" s="283"/>
      <c r="L864" s="283"/>
      <c r="M864" s="283"/>
      <c r="N864" s="283"/>
      <c r="O864" s="283"/>
      <c r="P864" s="283"/>
      <c r="Q864" s="283"/>
      <c r="R864" s="283"/>
      <c r="S864" s="283"/>
      <c r="T864" s="283"/>
      <c r="U864" s="283"/>
      <c r="V864" s="283"/>
      <c r="W864" s="283"/>
      <c r="X864" s="283"/>
      <c r="Y864" s="283"/>
      <c r="Z864" s="283"/>
    </row>
    <row r="865" ht="14.25" customHeight="1">
      <c r="A865" s="283"/>
      <c r="B865" s="283"/>
      <c r="C865" s="283"/>
      <c r="D865" s="283"/>
      <c r="E865" s="283"/>
      <c r="F865" s="283"/>
      <c r="G865" s="283"/>
      <c r="H865" s="283"/>
      <c r="I865" s="283"/>
      <c r="J865" s="283"/>
      <c r="K865" s="283"/>
      <c r="L865" s="283"/>
      <c r="M865" s="283"/>
      <c r="N865" s="283"/>
      <c r="O865" s="283"/>
      <c r="P865" s="283"/>
      <c r="Q865" s="283"/>
      <c r="R865" s="283"/>
      <c r="S865" s="283"/>
      <c r="T865" s="283"/>
      <c r="U865" s="283"/>
      <c r="V865" s="283"/>
      <c r="W865" s="283"/>
      <c r="X865" s="283"/>
      <c r="Y865" s="283"/>
      <c r="Z865" s="283"/>
    </row>
    <row r="866" ht="14.25" customHeight="1">
      <c r="A866" s="283"/>
      <c r="B866" s="283"/>
      <c r="C866" s="283"/>
      <c r="D866" s="283"/>
      <c r="E866" s="283"/>
      <c r="F866" s="283"/>
      <c r="G866" s="283"/>
      <c r="H866" s="283"/>
      <c r="I866" s="283"/>
      <c r="J866" s="283"/>
      <c r="K866" s="283"/>
      <c r="L866" s="283"/>
      <c r="M866" s="283"/>
      <c r="N866" s="283"/>
      <c r="O866" s="283"/>
      <c r="P866" s="283"/>
      <c r="Q866" s="283"/>
      <c r="R866" s="283"/>
      <c r="S866" s="283"/>
      <c r="T866" s="283"/>
      <c r="U866" s="283"/>
      <c r="V866" s="283"/>
      <c r="W866" s="283"/>
      <c r="X866" s="283"/>
      <c r="Y866" s="283"/>
      <c r="Z866" s="283"/>
    </row>
    <row r="867" ht="14.25" customHeight="1">
      <c r="A867" s="283"/>
      <c r="B867" s="283"/>
      <c r="C867" s="283"/>
      <c r="D867" s="283"/>
      <c r="E867" s="283"/>
      <c r="F867" s="283"/>
      <c r="G867" s="283"/>
      <c r="H867" s="283"/>
      <c r="I867" s="283"/>
      <c r="J867" s="283"/>
      <c r="K867" s="283"/>
      <c r="L867" s="283"/>
      <c r="M867" s="283"/>
      <c r="N867" s="283"/>
      <c r="O867" s="283"/>
      <c r="P867" s="283"/>
      <c r="Q867" s="283"/>
      <c r="R867" s="283"/>
      <c r="S867" s="283"/>
      <c r="T867" s="283"/>
      <c r="U867" s="283"/>
      <c r="V867" s="283"/>
      <c r="W867" s="283"/>
      <c r="X867" s="283"/>
      <c r="Y867" s="283"/>
      <c r="Z867" s="283"/>
    </row>
    <row r="868" ht="14.25" customHeight="1">
      <c r="A868" s="283"/>
      <c r="B868" s="283"/>
      <c r="C868" s="283"/>
      <c r="D868" s="283"/>
      <c r="E868" s="283"/>
      <c r="F868" s="283"/>
      <c r="G868" s="283"/>
      <c r="H868" s="283"/>
      <c r="I868" s="283"/>
      <c r="J868" s="283"/>
      <c r="K868" s="283"/>
      <c r="L868" s="283"/>
      <c r="M868" s="283"/>
      <c r="N868" s="283"/>
      <c r="O868" s="283"/>
      <c r="P868" s="283"/>
      <c r="Q868" s="283"/>
      <c r="R868" s="283"/>
      <c r="S868" s="283"/>
      <c r="T868" s="283"/>
      <c r="U868" s="283"/>
      <c r="V868" s="283"/>
      <c r="W868" s="283"/>
      <c r="X868" s="283"/>
      <c r="Y868" s="283"/>
      <c r="Z868" s="283"/>
    </row>
    <row r="869" ht="14.25" customHeight="1">
      <c r="A869" s="283"/>
      <c r="B869" s="283"/>
      <c r="C869" s="283"/>
      <c r="D869" s="283"/>
      <c r="E869" s="283"/>
      <c r="F869" s="283"/>
      <c r="G869" s="283"/>
      <c r="H869" s="283"/>
      <c r="I869" s="283"/>
      <c r="J869" s="283"/>
      <c r="K869" s="283"/>
      <c r="L869" s="283"/>
      <c r="M869" s="283"/>
      <c r="N869" s="283"/>
      <c r="O869" s="283"/>
      <c r="P869" s="283"/>
      <c r="Q869" s="283"/>
      <c r="R869" s="283"/>
      <c r="S869" s="283"/>
      <c r="T869" s="283"/>
      <c r="U869" s="283"/>
      <c r="V869" s="283"/>
      <c r="W869" s="283"/>
      <c r="X869" s="283"/>
      <c r="Y869" s="283"/>
      <c r="Z869" s="283"/>
    </row>
    <row r="870" ht="14.25" customHeight="1">
      <c r="A870" s="283"/>
      <c r="B870" s="283"/>
      <c r="C870" s="283"/>
      <c r="D870" s="283"/>
      <c r="E870" s="283"/>
      <c r="F870" s="283"/>
      <c r="G870" s="283"/>
      <c r="H870" s="283"/>
      <c r="I870" s="283"/>
      <c r="J870" s="283"/>
      <c r="K870" s="283"/>
      <c r="L870" s="283"/>
      <c r="M870" s="283"/>
      <c r="N870" s="283"/>
      <c r="O870" s="283"/>
      <c r="P870" s="283"/>
      <c r="Q870" s="283"/>
      <c r="R870" s="283"/>
      <c r="S870" s="283"/>
      <c r="T870" s="283"/>
      <c r="U870" s="283"/>
      <c r="V870" s="283"/>
      <c r="W870" s="283"/>
      <c r="X870" s="283"/>
      <c r="Y870" s="283"/>
      <c r="Z870" s="283"/>
    </row>
    <row r="871" ht="14.25" customHeight="1">
      <c r="A871" s="283"/>
      <c r="B871" s="283"/>
      <c r="C871" s="283"/>
      <c r="D871" s="283"/>
      <c r="E871" s="283"/>
      <c r="F871" s="283"/>
      <c r="G871" s="283"/>
      <c r="H871" s="283"/>
      <c r="I871" s="283"/>
      <c r="J871" s="283"/>
      <c r="K871" s="283"/>
      <c r="L871" s="283"/>
      <c r="M871" s="283"/>
      <c r="N871" s="283"/>
      <c r="O871" s="283"/>
      <c r="P871" s="283"/>
      <c r="Q871" s="283"/>
      <c r="R871" s="283"/>
      <c r="S871" s="283"/>
      <c r="T871" s="283"/>
      <c r="U871" s="283"/>
      <c r="V871" s="283"/>
      <c r="W871" s="283"/>
      <c r="X871" s="283"/>
      <c r="Y871" s="283"/>
      <c r="Z871" s="283"/>
    </row>
    <row r="872" ht="14.25" customHeight="1">
      <c r="A872" s="283"/>
      <c r="B872" s="283"/>
      <c r="C872" s="283"/>
      <c r="D872" s="283"/>
      <c r="E872" s="283"/>
      <c r="F872" s="283"/>
      <c r="G872" s="283"/>
      <c r="H872" s="283"/>
      <c r="I872" s="283"/>
      <c r="J872" s="283"/>
      <c r="K872" s="283"/>
      <c r="L872" s="283"/>
      <c r="M872" s="283"/>
      <c r="N872" s="283"/>
      <c r="O872" s="283"/>
      <c r="P872" s="283"/>
      <c r="Q872" s="283"/>
      <c r="R872" s="283"/>
      <c r="S872" s="283"/>
      <c r="T872" s="283"/>
      <c r="U872" s="283"/>
      <c r="V872" s="283"/>
      <c r="W872" s="283"/>
      <c r="X872" s="283"/>
      <c r="Y872" s="283"/>
      <c r="Z872" s="283"/>
    </row>
    <row r="873" ht="14.25" customHeight="1">
      <c r="A873" s="283"/>
      <c r="B873" s="283"/>
      <c r="C873" s="283"/>
      <c r="D873" s="283"/>
      <c r="E873" s="283"/>
      <c r="F873" s="283"/>
      <c r="G873" s="283"/>
      <c r="H873" s="283"/>
      <c r="I873" s="283"/>
      <c r="J873" s="283"/>
      <c r="K873" s="283"/>
      <c r="L873" s="283"/>
      <c r="M873" s="283"/>
      <c r="N873" s="283"/>
      <c r="O873" s="283"/>
      <c r="P873" s="283"/>
      <c r="Q873" s="283"/>
      <c r="R873" s="283"/>
      <c r="S873" s="283"/>
      <c r="T873" s="283"/>
      <c r="U873" s="283"/>
      <c r="V873" s="283"/>
      <c r="W873" s="283"/>
      <c r="X873" s="283"/>
      <c r="Y873" s="283"/>
      <c r="Z873" s="283"/>
    </row>
    <row r="874" ht="14.25" customHeight="1">
      <c r="A874" s="283"/>
      <c r="B874" s="283"/>
      <c r="C874" s="283"/>
      <c r="D874" s="283"/>
      <c r="E874" s="283"/>
      <c r="F874" s="283"/>
      <c r="G874" s="283"/>
      <c r="H874" s="283"/>
      <c r="I874" s="283"/>
      <c r="J874" s="283"/>
      <c r="K874" s="283"/>
      <c r="L874" s="283"/>
      <c r="M874" s="283"/>
      <c r="N874" s="283"/>
      <c r="O874" s="283"/>
      <c r="P874" s="283"/>
      <c r="Q874" s="283"/>
      <c r="R874" s="283"/>
      <c r="S874" s="283"/>
      <c r="T874" s="283"/>
      <c r="U874" s="283"/>
      <c r="V874" s="283"/>
      <c r="W874" s="283"/>
      <c r="X874" s="283"/>
      <c r="Y874" s="283"/>
      <c r="Z874" s="283"/>
    </row>
    <row r="875" ht="14.25" customHeight="1">
      <c r="A875" s="283"/>
      <c r="B875" s="283"/>
      <c r="C875" s="283"/>
      <c r="D875" s="283"/>
      <c r="E875" s="283"/>
      <c r="F875" s="283"/>
      <c r="G875" s="283"/>
      <c r="H875" s="283"/>
      <c r="I875" s="283"/>
      <c r="J875" s="283"/>
      <c r="K875" s="283"/>
      <c r="L875" s="283"/>
      <c r="M875" s="283"/>
      <c r="N875" s="283"/>
      <c r="O875" s="283"/>
      <c r="P875" s="283"/>
      <c r="Q875" s="283"/>
      <c r="R875" s="283"/>
      <c r="S875" s="283"/>
      <c r="T875" s="283"/>
      <c r="U875" s="283"/>
      <c r="V875" s="283"/>
      <c r="W875" s="283"/>
      <c r="X875" s="283"/>
      <c r="Y875" s="283"/>
      <c r="Z875" s="283"/>
    </row>
    <row r="876" ht="14.25" customHeight="1">
      <c r="A876" s="283"/>
      <c r="B876" s="283"/>
      <c r="C876" s="283"/>
      <c r="D876" s="283"/>
      <c r="E876" s="283"/>
      <c r="F876" s="283"/>
      <c r="G876" s="283"/>
      <c r="H876" s="283"/>
      <c r="I876" s="283"/>
      <c r="J876" s="283"/>
      <c r="K876" s="283"/>
      <c r="L876" s="283"/>
      <c r="M876" s="283"/>
      <c r="N876" s="283"/>
      <c r="O876" s="283"/>
      <c r="P876" s="283"/>
      <c r="Q876" s="283"/>
      <c r="R876" s="283"/>
      <c r="S876" s="283"/>
      <c r="T876" s="283"/>
      <c r="U876" s="283"/>
      <c r="V876" s="283"/>
      <c r="W876" s="283"/>
      <c r="X876" s="283"/>
      <c r="Y876" s="283"/>
      <c r="Z876" s="283"/>
    </row>
    <row r="877" ht="14.25" customHeight="1">
      <c r="A877" s="283"/>
      <c r="B877" s="283"/>
      <c r="C877" s="283"/>
      <c r="D877" s="283"/>
      <c r="E877" s="283"/>
      <c r="F877" s="283"/>
      <c r="G877" s="283"/>
      <c r="H877" s="283"/>
      <c r="I877" s="283"/>
      <c r="J877" s="283"/>
      <c r="K877" s="283"/>
      <c r="L877" s="283"/>
      <c r="M877" s="283"/>
      <c r="N877" s="283"/>
      <c r="O877" s="283"/>
      <c r="P877" s="283"/>
      <c r="Q877" s="283"/>
      <c r="R877" s="283"/>
      <c r="S877" s="283"/>
      <c r="T877" s="283"/>
      <c r="U877" s="283"/>
      <c r="V877" s="283"/>
      <c r="W877" s="283"/>
      <c r="X877" s="283"/>
      <c r="Y877" s="283"/>
      <c r="Z877" s="283"/>
    </row>
    <row r="878" ht="14.25" customHeight="1">
      <c r="A878" s="283"/>
      <c r="B878" s="283"/>
      <c r="C878" s="283"/>
      <c r="D878" s="283"/>
      <c r="E878" s="283"/>
      <c r="F878" s="283"/>
      <c r="G878" s="283"/>
      <c r="H878" s="283"/>
      <c r="I878" s="283"/>
      <c r="J878" s="283"/>
      <c r="K878" s="283"/>
      <c r="L878" s="283"/>
      <c r="M878" s="283"/>
      <c r="N878" s="283"/>
      <c r="O878" s="283"/>
      <c r="P878" s="283"/>
      <c r="Q878" s="283"/>
      <c r="R878" s="283"/>
      <c r="S878" s="283"/>
      <c r="T878" s="283"/>
      <c r="U878" s="283"/>
      <c r="V878" s="283"/>
      <c r="W878" s="283"/>
      <c r="X878" s="283"/>
      <c r="Y878" s="283"/>
      <c r="Z878" s="283"/>
    </row>
    <row r="879" ht="14.25" customHeight="1">
      <c r="A879" s="283"/>
      <c r="B879" s="283"/>
      <c r="C879" s="283"/>
      <c r="D879" s="283"/>
      <c r="E879" s="283"/>
      <c r="F879" s="283"/>
      <c r="G879" s="283"/>
      <c r="H879" s="283"/>
      <c r="I879" s="283"/>
      <c r="J879" s="283"/>
      <c r="K879" s="283"/>
      <c r="L879" s="283"/>
      <c r="M879" s="283"/>
      <c r="N879" s="283"/>
      <c r="O879" s="283"/>
      <c r="P879" s="283"/>
      <c r="Q879" s="283"/>
      <c r="R879" s="283"/>
      <c r="S879" s="283"/>
      <c r="T879" s="283"/>
      <c r="U879" s="283"/>
      <c r="V879" s="283"/>
      <c r="W879" s="283"/>
      <c r="X879" s="283"/>
      <c r="Y879" s="283"/>
      <c r="Z879" s="283"/>
    </row>
    <row r="880" ht="14.25" customHeight="1">
      <c r="A880" s="283"/>
      <c r="B880" s="283"/>
      <c r="C880" s="283"/>
      <c r="D880" s="283"/>
      <c r="E880" s="283"/>
      <c r="F880" s="283"/>
      <c r="G880" s="283"/>
      <c r="H880" s="283"/>
      <c r="I880" s="283"/>
      <c r="J880" s="283"/>
      <c r="K880" s="283"/>
      <c r="L880" s="283"/>
      <c r="M880" s="283"/>
      <c r="N880" s="283"/>
      <c r="O880" s="283"/>
      <c r="P880" s="283"/>
      <c r="Q880" s="283"/>
      <c r="R880" s="283"/>
      <c r="S880" s="283"/>
      <c r="T880" s="283"/>
      <c r="U880" s="283"/>
      <c r="V880" s="283"/>
      <c r="W880" s="283"/>
      <c r="X880" s="283"/>
      <c r="Y880" s="283"/>
      <c r="Z880" s="283"/>
    </row>
    <row r="881" ht="14.25" customHeight="1">
      <c r="A881" s="283"/>
      <c r="B881" s="283"/>
      <c r="C881" s="283"/>
      <c r="D881" s="283"/>
      <c r="E881" s="283"/>
      <c r="F881" s="283"/>
      <c r="G881" s="283"/>
      <c r="H881" s="283"/>
      <c r="I881" s="283"/>
      <c r="J881" s="283"/>
      <c r="K881" s="283"/>
      <c r="L881" s="283"/>
      <c r="M881" s="283"/>
      <c r="N881" s="283"/>
      <c r="O881" s="283"/>
      <c r="P881" s="283"/>
      <c r="Q881" s="283"/>
      <c r="R881" s="283"/>
      <c r="S881" s="283"/>
      <c r="T881" s="283"/>
      <c r="U881" s="283"/>
      <c r="V881" s="283"/>
      <c r="W881" s="283"/>
      <c r="X881" s="283"/>
      <c r="Y881" s="283"/>
      <c r="Z881" s="283"/>
    </row>
    <row r="882" ht="14.25" customHeight="1">
      <c r="A882" s="283"/>
      <c r="B882" s="283"/>
      <c r="C882" s="283"/>
      <c r="D882" s="283"/>
      <c r="E882" s="283"/>
      <c r="F882" s="283"/>
      <c r="G882" s="283"/>
      <c r="H882" s="283"/>
      <c r="I882" s="283"/>
      <c r="J882" s="283"/>
      <c r="K882" s="283"/>
      <c r="L882" s="283"/>
      <c r="M882" s="283"/>
      <c r="N882" s="283"/>
      <c r="O882" s="283"/>
      <c r="P882" s="283"/>
      <c r="Q882" s="283"/>
      <c r="R882" s="283"/>
      <c r="S882" s="283"/>
      <c r="T882" s="283"/>
      <c r="U882" s="283"/>
      <c r="V882" s="283"/>
      <c r="W882" s="283"/>
      <c r="X882" s="283"/>
      <c r="Y882" s="283"/>
      <c r="Z882" s="283"/>
    </row>
    <row r="883" ht="14.25" customHeight="1">
      <c r="A883" s="283"/>
      <c r="B883" s="283"/>
      <c r="C883" s="283"/>
      <c r="D883" s="283"/>
      <c r="E883" s="283"/>
      <c r="F883" s="283"/>
      <c r="G883" s="283"/>
      <c r="H883" s="283"/>
      <c r="I883" s="283"/>
      <c r="J883" s="283"/>
      <c r="K883" s="283"/>
      <c r="L883" s="283"/>
      <c r="M883" s="283"/>
      <c r="N883" s="283"/>
      <c r="O883" s="283"/>
      <c r="P883" s="283"/>
      <c r="Q883" s="283"/>
      <c r="R883" s="283"/>
      <c r="S883" s="283"/>
      <c r="T883" s="283"/>
      <c r="U883" s="283"/>
      <c r="V883" s="283"/>
      <c r="W883" s="283"/>
      <c r="X883" s="283"/>
      <c r="Y883" s="283"/>
      <c r="Z883" s="283"/>
    </row>
    <row r="884" ht="14.25" customHeight="1">
      <c r="A884" s="283"/>
      <c r="B884" s="283"/>
      <c r="C884" s="283"/>
      <c r="D884" s="283"/>
      <c r="E884" s="283"/>
      <c r="F884" s="283"/>
      <c r="G884" s="283"/>
      <c r="H884" s="283"/>
      <c r="I884" s="283"/>
      <c r="J884" s="283"/>
      <c r="K884" s="283"/>
      <c r="L884" s="283"/>
      <c r="M884" s="283"/>
      <c r="N884" s="283"/>
      <c r="O884" s="283"/>
      <c r="P884" s="283"/>
      <c r="Q884" s="283"/>
      <c r="R884" s="283"/>
      <c r="S884" s="283"/>
      <c r="T884" s="283"/>
      <c r="U884" s="283"/>
      <c r="V884" s="283"/>
      <c r="W884" s="283"/>
      <c r="X884" s="283"/>
      <c r="Y884" s="283"/>
      <c r="Z884" s="283"/>
    </row>
    <row r="885" ht="14.25" customHeight="1">
      <c r="A885" s="283"/>
      <c r="B885" s="283"/>
      <c r="C885" s="283"/>
      <c r="D885" s="283"/>
      <c r="E885" s="283"/>
      <c r="F885" s="283"/>
      <c r="G885" s="283"/>
      <c r="H885" s="283"/>
      <c r="I885" s="283"/>
      <c r="J885" s="283"/>
      <c r="K885" s="283"/>
      <c r="L885" s="283"/>
      <c r="M885" s="283"/>
      <c r="N885" s="283"/>
      <c r="O885" s="283"/>
      <c r="P885" s="283"/>
      <c r="Q885" s="283"/>
      <c r="R885" s="283"/>
      <c r="S885" s="283"/>
      <c r="T885" s="283"/>
      <c r="U885" s="283"/>
      <c r="V885" s="283"/>
      <c r="W885" s="283"/>
      <c r="X885" s="283"/>
      <c r="Y885" s="283"/>
      <c r="Z885" s="283"/>
    </row>
    <row r="886" ht="14.25" customHeight="1">
      <c r="A886" s="283"/>
      <c r="B886" s="283"/>
      <c r="C886" s="283"/>
      <c r="D886" s="283"/>
      <c r="E886" s="283"/>
      <c r="F886" s="283"/>
      <c r="G886" s="283"/>
      <c r="H886" s="283"/>
      <c r="I886" s="283"/>
      <c r="J886" s="283"/>
      <c r="K886" s="283"/>
      <c r="L886" s="283"/>
      <c r="M886" s="283"/>
      <c r="N886" s="283"/>
      <c r="O886" s="283"/>
      <c r="P886" s="283"/>
      <c r="Q886" s="283"/>
      <c r="R886" s="283"/>
      <c r="S886" s="283"/>
      <c r="T886" s="283"/>
      <c r="U886" s="283"/>
      <c r="V886" s="283"/>
      <c r="W886" s="283"/>
      <c r="X886" s="283"/>
      <c r="Y886" s="283"/>
      <c r="Z886" s="283"/>
    </row>
    <row r="887" ht="14.25" customHeight="1">
      <c r="A887" s="283"/>
      <c r="B887" s="283"/>
      <c r="C887" s="283"/>
      <c r="D887" s="283"/>
      <c r="E887" s="283"/>
      <c r="F887" s="283"/>
      <c r="G887" s="283"/>
      <c r="H887" s="283"/>
      <c r="I887" s="283"/>
      <c r="J887" s="283"/>
      <c r="K887" s="283"/>
      <c r="L887" s="283"/>
      <c r="M887" s="283"/>
      <c r="N887" s="283"/>
      <c r="O887" s="283"/>
      <c r="P887" s="283"/>
      <c r="Q887" s="283"/>
      <c r="R887" s="283"/>
      <c r="S887" s="283"/>
      <c r="T887" s="283"/>
      <c r="U887" s="283"/>
      <c r="V887" s="283"/>
      <c r="W887" s="283"/>
      <c r="X887" s="283"/>
      <c r="Y887" s="283"/>
      <c r="Z887" s="283"/>
    </row>
    <row r="888" ht="14.25" customHeight="1">
      <c r="A888" s="283"/>
      <c r="B888" s="283"/>
      <c r="C888" s="283"/>
      <c r="D888" s="283"/>
      <c r="E888" s="283"/>
      <c r="F888" s="283"/>
      <c r="G888" s="283"/>
      <c r="H888" s="283"/>
      <c r="I888" s="283"/>
      <c r="J888" s="283"/>
      <c r="K888" s="283"/>
      <c r="L888" s="283"/>
      <c r="M888" s="283"/>
      <c r="N888" s="283"/>
      <c r="O888" s="283"/>
      <c r="P888" s="283"/>
      <c r="Q888" s="283"/>
      <c r="R888" s="283"/>
      <c r="S888" s="283"/>
      <c r="T888" s="283"/>
      <c r="U888" s="283"/>
      <c r="V888" s="283"/>
      <c r="W888" s="283"/>
      <c r="X888" s="283"/>
      <c r="Y888" s="283"/>
      <c r="Z888" s="283"/>
    </row>
    <row r="889" ht="14.25" customHeight="1">
      <c r="A889" s="283"/>
      <c r="B889" s="283"/>
      <c r="C889" s="283"/>
      <c r="D889" s="283"/>
      <c r="E889" s="283"/>
      <c r="F889" s="283"/>
      <c r="G889" s="283"/>
      <c r="H889" s="283"/>
      <c r="I889" s="283"/>
      <c r="J889" s="283"/>
      <c r="K889" s="283"/>
      <c r="L889" s="283"/>
      <c r="M889" s="283"/>
      <c r="N889" s="283"/>
      <c r="O889" s="283"/>
      <c r="P889" s="283"/>
      <c r="Q889" s="283"/>
      <c r="R889" s="283"/>
      <c r="S889" s="283"/>
      <c r="T889" s="283"/>
      <c r="U889" s="283"/>
      <c r="V889" s="283"/>
      <c r="W889" s="283"/>
      <c r="X889" s="283"/>
      <c r="Y889" s="283"/>
      <c r="Z889" s="283"/>
    </row>
    <row r="890" ht="14.25" customHeight="1">
      <c r="A890" s="283"/>
      <c r="B890" s="283"/>
      <c r="C890" s="283"/>
      <c r="D890" s="283"/>
      <c r="E890" s="283"/>
      <c r="F890" s="283"/>
      <c r="G890" s="283"/>
      <c r="H890" s="283"/>
      <c r="I890" s="283"/>
      <c r="J890" s="283"/>
      <c r="K890" s="283"/>
      <c r="L890" s="283"/>
      <c r="M890" s="283"/>
      <c r="N890" s="283"/>
      <c r="O890" s="283"/>
      <c r="P890" s="283"/>
      <c r="Q890" s="283"/>
      <c r="R890" s="283"/>
      <c r="S890" s="283"/>
      <c r="T890" s="283"/>
      <c r="U890" s="283"/>
      <c r="V890" s="283"/>
      <c r="W890" s="283"/>
      <c r="X890" s="283"/>
      <c r="Y890" s="283"/>
      <c r="Z890" s="283"/>
    </row>
    <row r="891" ht="14.25" customHeight="1">
      <c r="A891" s="283"/>
      <c r="B891" s="283"/>
      <c r="C891" s="283"/>
      <c r="D891" s="283"/>
      <c r="E891" s="283"/>
      <c r="F891" s="283"/>
      <c r="G891" s="283"/>
      <c r="H891" s="283"/>
      <c r="I891" s="283"/>
      <c r="J891" s="283"/>
      <c r="K891" s="283"/>
      <c r="L891" s="283"/>
      <c r="M891" s="283"/>
      <c r="N891" s="283"/>
      <c r="O891" s="283"/>
      <c r="P891" s="283"/>
      <c r="Q891" s="283"/>
      <c r="R891" s="283"/>
      <c r="S891" s="283"/>
      <c r="T891" s="283"/>
      <c r="U891" s="283"/>
      <c r="V891" s="283"/>
      <c r="W891" s="283"/>
      <c r="X891" s="283"/>
      <c r="Y891" s="283"/>
      <c r="Z891" s="283"/>
    </row>
    <row r="892" ht="14.25" customHeight="1">
      <c r="A892" s="283"/>
      <c r="B892" s="283"/>
      <c r="C892" s="283"/>
      <c r="D892" s="283"/>
      <c r="E892" s="283"/>
      <c r="F892" s="283"/>
      <c r="G892" s="283"/>
      <c r="H892" s="283"/>
      <c r="I892" s="283"/>
      <c r="J892" s="283"/>
      <c r="K892" s="283"/>
      <c r="L892" s="283"/>
      <c r="M892" s="283"/>
      <c r="N892" s="283"/>
      <c r="O892" s="283"/>
      <c r="P892" s="283"/>
      <c r="Q892" s="283"/>
      <c r="R892" s="283"/>
      <c r="S892" s="283"/>
      <c r="T892" s="283"/>
      <c r="U892" s="283"/>
      <c r="V892" s="283"/>
      <c r="W892" s="283"/>
      <c r="X892" s="283"/>
      <c r="Y892" s="283"/>
      <c r="Z892" s="283"/>
    </row>
    <row r="893" ht="14.25" customHeight="1">
      <c r="A893" s="283"/>
      <c r="B893" s="283"/>
      <c r="C893" s="283"/>
      <c r="D893" s="283"/>
      <c r="E893" s="283"/>
      <c r="F893" s="283"/>
      <c r="G893" s="283"/>
      <c r="H893" s="283"/>
      <c r="I893" s="283"/>
      <c r="J893" s="283"/>
      <c r="K893" s="283"/>
      <c r="L893" s="283"/>
      <c r="M893" s="283"/>
      <c r="N893" s="283"/>
      <c r="O893" s="283"/>
      <c r="P893" s="283"/>
      <c r="Q893" s="283"/>
      <c r="R893" s="283"/>
      <c r="S893" s="283"/>
      <c r="T893" s="283"/>
      <c r="U893" s="283"/>
      <c r="V893" s="283"/>
      <c r="W893" s="283"/>
      <c r="X893" s="283"/>
      <c r="Y893" s="283"/>
      <c r="Z893" s="283"/>
    </row>
    <row r="894" ht="14.25" customHeight="1">
      <c r="A894" s="283"/>
      <c r="B894" s="283"/>
      <c r="C894" s="283"/>
      <c r="D894" s="283"/>
      <c r="E894" s="283"/>
      <c r="F894" s="283"/>
      <c r="G894" s="283"/>
      <c r="H894" s="283"/>
      <c r="I894" s="283"/>
      <c r="J894" s="283"/>
      <c r="K894" s="283"/>
      <c r="L894" s="283"/>
      <c r="M894" s="283"/>
      <c r="N894" s="283"/>
      <c r="O894" s="283"/>
      <c r="P894" s="283"/>
      <c r="Q894" s="283"/>
      <c r="R894" s="283"/>
      <c r="S894" s="283"/>
      <c r="T894" s="283"/>
      <c r="U894" s="283"/>
      <c r="V894" s="283"/>
      <c r="W894" s="283"/>
      <c r="X894" s="283"/>
      <c r="Y894" s="283"/>
      <c r="Z894" s="283"/>
    </row>
    <row r="895" ht="14.25" customHeight="1">
      <c r="A895" s="283"/>
      <c r="B895" s="283"/>
      <c r="C895" s="283"/>
      <c r="D895" s="283"/>
      <c r="E895" s="283"/>
      <c r="F895" s="283"/>
      <c r="G895" s="283"/>
      <c r="H895" s="283"/>
      <c r="I895" s="283"/>
      <c r="J895" s="283"/>
      <c r="K895" s="283"/>
      <c r="L895" s="283"/>
      <c r="M895" s="283"/>
      <c r="N895" s="283"/>
      <c r="O895" s="283"/>
      <c r="P895" s="283"/>
      <c r="Q895" s="283"/>
      <c r="R895" s="283"/>
      <c r="S895" s="283"/>
      <c r="T895" s="283"/>
      <c r="U895" s="283"/>
      <c r="V895" s="283"/>
      <c r="W895" s="283"/>
      <c r="X895" s="283"/>
      <c r="Y895" s="283"/>
      <c r="Z895" s="283"/>
    </row>
    <row r="896" ht="14.25" customHeight="1">
      <c r="A896" s="283"/>
      <c r="B896" s="283"/>
      <c r="C896" s="283"/>
      <c r="D896" s="283"/>
      <c r="E896" s="283"/>
      <c r="F896" s="283"/>
      <c r="G896" s="283"/>
      <c r="H896" s="283"/>
      <c r="I896" s="283"/>
      <c r="J896" s="283"/>
      <c r="K896" s="283"/>
      <c r="L896" s="283"/>
      <c r="M896" s="283"/>
      <c r="N896" s="283"/>
      <c r="O896" s="283"/>
      <c r="P896" s="283"/>
      <c r="Q896" s="283"/>
      <c r="R896" s="283"/>
      <c r="S896" s="283"/>
      <c r="T896" s="283"/>
      <c r="U896" s="283"/>
      <c r="V896" s="283"/>
      <c r="W896" s="283"/>
      <c r="X896" s="283"/>
      <c r="Y896" s="283"/>
      <c r="Z896" s="283"/>
    </row>
    <row r="897" ht="14.25" customHeight="1">
      <c r="A897" s="283"/>
      <c r="B897" s="283"/>
      <c r="C897" s="283"/>
      <c r="D897" s="283"/>
      <c r="E897" s="283"/>
      <c r="F897" s="283"/>
      <c r="G897" s="283"/>
      <c r="H897" s="283"/>
      <c r="I897" s="283"/>
      <c r="J897" s="283"/>
      <c r="K897" s="283"/>
      <c r="L897" s="283"/>
      <c r="M897" s="283"/>
      <c r="N897" s="283"/>
      <c r="O897" s="283"/>
      <c r="P897" s="283"/>
      <c r="Q897" s="283"/>
      <c r="R897" s="283"/>
      <c r="S897" s="283"/>
      <c r="T897" s="283"/>
      <c r="U897" s="283"/>
      <c r="V897" s="283"/>
      <c r="W897" s="283"/>
      <c r="X897" s="283"/>
      <c r="Y897" s="283"/>
      <c r="Z897" s="283"/>
    </row>
    <row r="898" ht="14.25" customHeight="1">
      <c r="A898" s="283"/>
      <c r="B898" s="283"/>
      <c r="C898" s="283"/>
      <c r="D898" s="283"/>
      <c r="E898" s="283"/>
      <c r="F898" s="283"/>
      <c r="G898" s="283"/>
      <c r="H898" s="283"/>
      <c r="I898" s="283"/>
      <c r="J898" s="283"/>
      <c r="K898" s="283"/>
      <c r="L898" s="283"/>
      <c r="M898" s="283"/>
      <c r="N898" s="283"/>
      <c r="O898" s="283"/>
      <c r="P898" s="283"/>
      <c r="Q898" s="283"/>
      <c r="R898" s="283"/>
      <c r="S898" s="283"/>
      <c r="T898" s="283"/>
      <c r="U898" s="283"/>
      <c r="V898" s="283"/>
      <c r="W898" s="283"/>
      <c r="X898" s="283"/>
      <c r="Y898" s="283"/>
      <c r="Z898" s="283"/>
    </row>
    <row r="899" ht="14.25" customHeight="1">
      <c r="A899" s="283"/>
      <c r="B899" s="283"/>
      <c r="C899" s="283"/>
      <c r="D899" s="283"/>
      <c r="E899" s="283"/>
      <c r="F899" s="283"/>
      <c r="G899" s="283"/>
      <c r="H899" s="283"/>
      <c r="I899" s="283"/>
      <c r="J899" s="283"/>
      <c r="K899" s="283"/>
      <c r="L899" s="283"/>
      <c r="M899" s="283"/>
      <c r="N899" s="283"/>
      <c r="O899" s="283"/>
      <c r="P899" s="283"/>
      <c r="Q899" s="283"/>
      <c r="R899" s="283"/>
      <c r="S899" s="283"/>
      <c r="T899" s="283"/>
      <c r="U899" s="283"/>
      <c r="V899" s="283"/>
      <c r="W899" s="283"/>
      <c r="X899" s="283"/>
      <c r="Y899" s="283"/>
      <c r="Z899" s="283"/>
    </row>
    <row r="900" ht="14.25" customHeight="1">
      <c r="A900" s="283"/>
      <c r="B900" s="283"/>
      <c r="C900" s="283"/>
      <c r="D900" s="283"/>
      <c r="E900" s="283"/>
      <c r="F900" s="283"/>
      <c r="G900" s="283"/>
      <c r="H900" s="283"/>
      <c r="I900" s="283"/>
      <c r="J900" s="283"/>
      <c r="K900" s="283"/>
      <c r="L900" s="283"/>
      <c r="M900" s="283"/>
      <c r="N900" s="283"/>
      <c r="O900" s="283"/>
      <c r="P900" s="283"/>
      <c r="Q900" s="283"/>
      <c r="R900" s="283"/>
      <c r="S900" s="283"/>
      <c r="T900" s="283"/>
      <c r="U900" s="283"/>
      <c r="V900" s="283"/>
      <c r="W900" s="283"/>
      <c r="X900" s="283"/>
      <c r="Y900" s="283"/>
      <c r="Z900" s="283"/>
    </row>
    <row r="901" ht="14.25" customHeight="1">
      <c r="A901" s="283"/>
      <c r="B901" s="283"/>
      <c r="C901" s="283"/>
      <c r="D901" s="283"/>
      <c r="E901" s="283"/>
      <c r="F901" s="283"/>
      <c r="G901" s="283"/>
      <c r="H901" s="283"/>
      <c r="I901" s="283"/>
      <c r="J901" s="283"/>
      <c r="K901" s="283"/>
      <c r="L901" s="283"/>
      <c r="M901" s="283"/>
      <c r="N901" s="283"/>
      <c r="O901" s="283"/>
      <c r="P901" s="283"/>
      <c r="Q901" s="283"/>
      <c r="R901" s="283"/>
      <c r="S901" s="283"/>
      <c r="T901" s="283"/>
      <c r="U901" s="283"/>
      <c r="V901" s="283"/>
      <c r="W901" s="283"/>
      <c r="X901" s="283"/>
      <c r="Y901" s="283"/>
      <c r="Z901" s="283"/>
    </row>
    <row r="902" ht="14.25" customHeight="1">
      <c r="A902" s="283"/>
      <c r="B902" s="283"/>
      <c r="C902" s="283"/>
      <c r="D902" s="283"/>
      <c r="E902" s="283"/>
      <c r="F902" s="283"/>
      <c r="G902" s="283"/>
      <c r="H902" s="283"/>
      <c r="I902" s="283"/>
      <c r="J902" s="283"/>
      <c r="K902" s="283"/>
      <c r="L902" s="283"/>
      <c r="M902" s="283"/>
      <c r="N902" s="283"/>
      <c r="O902" s="283"/>
      <c r="P902" s="283"/>
      <c r="Q902" s="283"/>
      <c r="R902" s="283"/>
      <c r="S902" s="283"/>
      <c r="T902" s="283"/>
      <c r="U902" s="283"/>
      <c r="V902" s="283"/>
      <c r="W902" s="283"/>
      <c r="X902" s="283"/>
      <c r="Y902" s="283"/>
      <c r="Z902" s="283"/>
    </row>
    <row r="903" ht="14.25" customHeight="1">
      <c r="A903" s="283"/>
      <c r="B903" s="283"/>
      <c r="C903" s="283"/>
      <c r="D903" s="283"/>
      <c r="E903" s="283"/>
      <c r="F903" s="283"/>
      <c r="G903" s="283"/>
      <c r="H903" s="283"/>
      <c r="I903" s="283"/>
      <c r="J903" s="283"/>
      <c r="K903" s="283"/>
      <c r="L903" s="283"/>
      <c r="M903" s="283"/>
      <c r="N903" s="283"/>
      <c r="O903" s="283"/>
      <c r="P903" s="283"/>
      <c r="Q903" s="283"/>
      <c r="R903" s="283"/>
      <c r="S903" s="283"/>
      <c r="T903" s="283"/>
      <c r="U903" s="283"/>
      <c r="V903" s="283"/>
      <c r="W903" s="283"/>
      <c r="X903" s="283"/>
      <c r="Y903" s="283"/>
      <c r="Z903" s="283"/>
    </row>
    <row r="904" ht="14.25" customHeight="1">
      <c r="A904" s="283"/>
      <c r="B904" s="283"/>
      <c r="C904" s="283"/>
      <c r="D904" s="283"/>
      <c r="E904" s="283"/>
      <c r="F904" s="283"/>
      <c r="G904" s="283"/>
      <c r="H904" s="283"/>
      <c r="I904" s="283"/>
      <c r="J904" s="283"/>
      <c r="K904" s="283"/>
      <c r="L904" s="283"/>
      <c r="M904" s="283"/>
      <c r="N904" s="283"/>
      <c r="O904" s="283"/>
      <c r="P904" s="283"/>
      <c r="Q904" s="283"/>
      <c r="R904" s="283"/>
      <c r="S904" s="283"/>
      <c r="T904" s="283"/>
      <c r="U904" s="283"/>
      <c r="V904" s="283"/>
      <c r="W904" s="283"/>
      <c r="X904" s="283"/>
      <c r="Y904" s="283"/>
      <c r="Z904" s="283"/>
    </row>
    <row r="905" ht="14.25" customHeight="1">
      <c r="A905" s="283"/>
      <c r="B905" s="283"/>
      <c r="C905" s="283"/>
      <c r="D905" s="283"/>
      <c r="E905" s="283"/>
      <c r="F905" s="283"/>
      <c r="G905" s="283"/>
      <c r="H905" s="283"/>
      <c r="I905" s="283"/>
      <c r="J905" s="283"/>
      <c r="K905" s="283"/>
      <c r="L905" s="283"/>
      <c r="M905" s="283"/>
      <c r="N905" s="283"/>
      <c r="O905" s="283"/>
      <c r="P905" s="283"/>
      <c r="Q905" s="283"/>
      <c r="R905" s="283"/>
      <c r="S905" s="283"/>
      <c r="T905" s="283"/>
      <c r="U905" s="283"/>
      <c r="V905" s="283"/>
      <c r="W905" s="283"/>
      <c r="X905" s="283"/>
      <c r="Y905" s="283"/>
      <c r="Z905" s="283"/>
    </row>
    <row r="906" ht="14.25" customHeight="1">
      <c r="A906" s="283"/>
      <c r="B906" s="283"/>
      <c r="C906" s="283"/>
      <c r="D906" s="283"/>
      <c r="E906" s="283"/>
      <c r="F906" s="283"/>
      <c r="G906" s="283"/>
      <c r="H906" s="283"/>
      <c r="I906" s="283"/>
      <c r="J906" s="283"/>
      <c r="K906" s="283"/>
      <c r="L906" s="283"/>
      <c r="M906" s="283"/>
      <c r="N906" s="283"/>
      <c r="O906" s="283"/>
      <c r="P906" s="283"/>
      <c r="Q906" s="283"/>
      <c r="R906" s="283"/>
      <c r="S906" s="283"/>
      <c r="T906" s="283"/>
      <c r="U906" s="283"/>
      <c r="V906" s="283"/>
      <c r="W906" s="283"/>
      <c r="X906" s="283"/>
      <c r="Y906" s="283"/>
      <c r="Z906" s="283"/>
    </row>
    <row r="907" ht="14.25" customHeight="1">
      <c r="A907" s="283"/>
      <c r="B907" s="283"/>
      <c r="C907" s="283"/>
      <c r="D907" s="283"/>
      <c r="E907" s="283"/>
      <c r="F907" s="283"/>
      <c r="G907" s="283"/>
      <c r="H907" s="283"/>
      <c r="I907" s="283"/>
      <c r="J907" s="283"/>
      <c r="K907" s="283"/>
      <c r="L907" s="283"/>
      <c r="M907" s="283"/>
      <c r="N907" s="283"/>
      <c r="O907" s="283"/>
      <c r="P907" s="283"/>
      <c r="Q907" s="283"/>
      <c r="R907" s="283"/>
      <c r="S907" s="283"/>
      <c r="T907" s="283"/>
      <c r="U907" s="283"/>
      <c r="V907" s="283"/>
      <c r="W907" s="283"/>
      <c r="X907" s="283"/>
      <c r="Y907" s="283"/>
      <c r="Z907" s="283"/>
    </row>
    <row r="908" ht="14.25" customHeight="1">
      <c r="A908" s="283"/>
      <c r="B908" s="283"/>
      <c r="C908" s="283"/>
      <c r="D908" s="283"/>
      <c r="E908" s="283"/>
      <c r="F908" s="283"/>
      <c r="G908" s="283"/>
      <c r="H908" s="283"/>
      <c r="I908" s="283"/>
      <c r="J908" s="283"/>
      <c r="K908" s="283"/>
      <c r="L908" s="283"/>
      <c r="M908" s="283"/>
      <c r="N908" s="283"/>
      <c r="O908" s="283"/>
      <c r="P908" s="283"/>
      <c r="Q908" s="283"/>
      <c r="R908" s="283"/>
      <c r="S908" s="283"/>
      <c r="T908" s="283"/>
      <c r="U908" s="283"/>
      <c r="V908" s="283"/>
      <c r="W908" s="283"/>
      <c r="X908" s="283"/>
      <c r="Y908" s="283"/>
      <c r="Z908" s="283"/>
    </row>
    <row r="909" ht="14.25" customHeight="1">
      <c r="A909" s="283"/>
      <c r="B909" s="283"/>
      <c r="C909" s="283"/>
      <c r="D909" s="283"/>
      <c r="E909" s="283"/>
      <c r="F909" s="283"/>
      <c r="G909" s="283"/>
      <c r="H909" s="283"/>
      <c r="I909" s="283"/>
      <c r="J909" s="283"/>
      <c r="K909" s="283"/>
      <c r="L909" s="283"/>
      <c r="M909" s="283"/>
      <c r="N909" s="283"/>
      <c r="O909" s="283"/>
      <c r="P909" s="283"/>
      <c r="Q909" s="283"/>
      <c r="R909" s="283"/>
      <c r="S909" s="283"/>
      <c r="T909" s="283"/>
      <c r="U909" s="283"/>
      <c r="V909" s="283"/>
      <c r="W909" s="283"/>
      <c r="X909" s="283"/>
      <c r="Y909" s="283"/>
      <c r="Z909" s="283"/>
    </row>
    <row r="910" ht="14.25" customHeight="1">
      <c r="A910" s="283"/>
      <c r="B910" s="283"/>
      <c r="C910" s="283"/>
      <c r="D910" s="283"/>
      <c r="E910" s="283"/>
      <c r="F910" s="283"/>
      <c r="G910" s="283"/>
      <c r="H910" s="283"/>
      <c r="I910" s="283"/>
      <c r="J910" s="283"/>
      <c r="K910" s="283"/>
      <c r="L910" s="283"/>
      <c r="M910" s="283"/>
      <c r="N910" s="283"/>
      <c r="O910" s="283"/>
      <c r="P910" s="283"/>
      <c r="Q910" s="283"/>
      <c r="R910" s="283"/>
      <c r="S910" s="283"/>
      <c r="T910" s="283"/>
      <c r="U910" s="283"/>
      <c r="V910" s="283"/>
      <c r="W910" s="283"/>
      <c r="X910" s="283"/>
      <c r="Y910" s="283"/>
      <c r="Z910" s="283"/>
    </row>
    <row r="911" ht="14.25" customHeight="1">
      <c r="A911" s="283"/>
      <c r="B911" s="283"/>
      <c r="C911" s="283"/>
      <c r="D911" s="283"/>
      <c r="E911" s="283"/>
      <c r="F911" s="283"/>
      <c r="G911" s="283"/>
      <c r="H911" s="283"/>
      <c r="I911" s="283"/>
      <c r="J911" s="283"/>
      <c r="K911" s="283"/>
      <c r="L911" s="283"/>
      <c r="M911" s="283"/>
      <c r="N911" s="283"/>
      <c r="O911" s="283"/>
      <c r="P911" s="283"/>
      <c r="Q911" s="283"/>
      <c r="R911" s="283"/>
      <c r="S911" s="283"/>
      <c r="T911" s="283"/>
      <c r="U911" s="283"/>
      <c r="V911" s="283"/>
      <c r="W911" s="283"/>
      <c r="X911" s="283"/>
      <c r="Y911" s="283"/>
      <c r="Z911" s="283"/>
    </row>
    <row r="912" ht="14.25" customHeight="1">
      <c r="A912" s="283"/>
      <c r="B912" s="283"/>
      <c r="C912" s="283"/>
      <c r="D912" s="283"/>
      <c r="E912" s="283"/>
      <c r="F912" s="283"/>
      <c r="G912" s="283"/>
      <c r="H912" s="283"/>
      <c r="I912" s="283"/>
      <c r="J912" s="283"/>
      <c r="K912" s="283"/>
      <c r="L912" s="283"/>
      <c r="M912" s="283"/>
      <c r="N912" s="283"/>
      <c r="O912" s="283"/>
      <c r="P912" s="283"/>
      <c r="Q912" s="283"/>
      <c r="R912" s="283"/>
      <c r="S912" s="283"/>
      <c r="T912" s="283"/>
      <c r="U912" s="283"/>
      <c r="V912" s="283"/>
      <c r="W912" s="283"/>
      <c r="X912" s="283"/>
      <c r="Y912" s="283"/>
      <c r="Z912" s="283"/>
    </row>
    <row r="913" ht="14.25" customHeight="1">
      <c r="A913" s="283"/>
      <c r="B913" s="283"/>
      <c r="C913" s="283"/>
      <c r="D913" s="283"/>
      <c r="E913" s="283"/>
      <c r="F913" s="283"/>
      <c r="G913" s="283"/>
      <c r="H913" s="283"/>
      <c r="I913" s="283"/>
      <c r="J913" s="283"/>
      <c r="K913" s="283"/>
      <c r="L913" s="283"/>
      <c r="M913" s="283"/>
      <c r="N913" s="283"/>
      <c r="O913" s="283"/>
      <c r="P913" s="283"/>
      <c r="Q913" s="283"/>
      <c r="R913" s="283"/>
      <c r="S913" s="283"/>
      <c r="T913" s="283"/>
      <c r="U913" s="283"/>
      <c r="V913" s="283"/>
      <c r="W913" s="283"/>
      <c r="X913" s="283"/>
      <c r="Y913" s="283"/>
      <c r="Z913" s="283"/>
    </row>
    <row r="914" ht="14.25" customHeight="1">
      <c r="A914" s="283"/>
      <c r="B914" s="283"/>
      <c r="C914" s="283"/>
      <c r="D914" s="283"/>
      <c r="E914" s="283"/>
      <c r="F914" s="283"/>
      <c r="G914" s="283"/>
      <c r="H914" s="283"/>
      <c r="I914" s="283"/>
      <c r="J914" s="283"/>
      <c r="K914" s="283"/>
      <c r="L914" s="283"/>
      <c r="M914" s="283"/>
      <c r="N914" s="283"/>
      <c r="O914" s="283"/>
      <c r="P914" s="283"/>
      <c r="Q914" s="283"/>
      <c r="R914" s="283"/>
      <c r="S914" s="283"/>
      <c r="T914" s="283"/>
      <c r="U914" s="283"/>
      <c r="V914" s="283"/>
      <c r="W914" s="283"/>
      <c r="X914" s="283"/>
      <c r="Y914" s="283"/>
      <c r="Z914" s="283"/>
    </row>
    <row r="915" ht="14.25" customHeight="1">
      <c r="A915" s="283"/>
      <c r="B915" s="283"/>
      <c r="C915" s="283"/>
      <c r="D915" s="283"/>
      <c r="E915" s="283"/>
      <c r="F915" s="283"/>
      <c r="G915" s="283"/>
      <c r="H915" s="283"/>
      <c r="I915" s="283"/>
      <c r="J915" s="283"/>
      <c r="K915" s="283"/>
      <c r="L915" s="283"/>
      <c r="M915" s="283"/>
      <c r="N915" s="283"/>
      <c r="O915" s="283"/>
      <c r="P915" s="283"/>
      <c r="Q915" s="283"/>
      <c r="R915" s="283"/>
      <c r="S915" s="283"/>
      <c r="T915" s="283"/>
      <c r="U915" s="283"/>
      <c r="V915" s="283"/>
      <c r="W915" s="283"/>
      <c r="X915" s="283"/>
      <c r="Y915" s="283"/>
      <c r="Z915" s="283"/>
    </row>
    <row r="916" ht="14.25" customHeight="1">
      <c r="A916" s="283"/>
      <c r="B916" s="283"/>
      <c r="C916" s="283"/>
      <c r="D916" s="283"/>
      <c r="E916" s="283"/>
      <c r="F916" s="283"/>
      <c r="G916" s="283"/>
      <c r="H916" s="283"/>
      <c r="I916" s="283"/>
      <c r="J916" s="283"/>
      <c r="K916" s="283"/>
      <c r="L916" s="283"/>
      <c r="M916" s="283"/>
      <c r="N916" s="283"/>
      <c r="O916" s="283"/>
      <c r="P916" s="283"/>
      <c r="Q916" s="283"/>
      <c r="R916" s="283"/>
      <c r="S916" s="283"/>
      <c r="T916" s="283"/>
      <c r="U916" s="283"/>
      <c r="V916" s="283"/>
      <c r="W916" s="283"/>
      <c r="X916" s="283"/>
      <c r="Y916" s="283"/>
      <c r="Z916" s="283"/>
    </row>
    <row r="917" ht="14.25" customHeight="1">
      <c r="A917" s="283"/>
      <c r="B917" s="283"/>
      <c r="C917" s="283"/>
      <c r="D917" s="283"/>
      <c r="E917" s="283"/>
      <c r="F917" s="283"/>
      <c r="G917" s="283"/>
      <c r="H917" s="283"/>
      <c r="I917" s="283"/>
      <c r="J917" s="283"/>
      <c r="K917" s="283"/>
      <c r="L917" s="283"/>
      <c r="M917" s="283"/>
      <c r="N917" s="283"/>
      <c r="O917" s="283"/>
      <c r="P917" s="283"/>
      <c r="Q917" s="283"/>
      <c r="R917" s="283"/>
      <c r="S917" s="283"/>
      <c r="T917" s="283"/>
      <c r="U917" s="283"/>
      <c r="V917" s="283"/>
      <c r="W917" s="283"/>
      <c r="X917" s="283"/>
      <c r="Y917" s="283"/>
      <c r="Z917" s="283"/>
    </row>
    <row r="918" ht="14.25" customHeight="1">
      <c r="A918" s="283"/>
      <c r="B918" s="283"/>
      <c r="C918" s="283"/>
      <c r="D918" s="283"/>
      <c r="E918" s="283"/>
      <c r="F918" s="283"/>
      <c r="G918" s="283"/>
      <c r="H918" s="283"/>
      <c r="I918" s="283"/>
      <c r="J918" s="283"/>
      <c r="K918" s="283"/>
      <c r="L918" s="283"/>
      <c r="M918" s="283"/>
      <c r="N918" s="283"/>
      <c r="O918" s="283"/>
      <c r="P918" s="283"/>
      <c r="Q918" s="283"/>
      <c r="R918" s="283"/>
      <c r="S918" s="283"/>
      <c r="T918" s="283"/>
      <c r="U918" s="283"/>
      <c r="V918" s="283"/>
      <c r="W918" s="283"/>
      <c r="X918" s="283"/>
      <c r="Y918" s="283"/>
      <c r="Z918" s="283"/>
    </row>
    <row r="919" ht="14.25" customHeight="1">
      <c r="A919" s="283"/>
      <c r="B919" s="283"/>
      <c r="C919" s="283"/>
      <c r="D919" s="283"/>
      <c r="E919" s="283"/>
      <c r="F919" s="283"/>
      <c r="G919" s="283"/>
      <c r="H919" s="283"/>
      <c r="I919" s="283"/>
      <c r="J919" s="283"/>
      <c r="K919" s="283"/>
      <c r="L919" s="283"/>
      <c r="M919" s="283"/>
      <c r="N919" s="283"/>
      <c r="O919" s="283"/>
      <c r="P919" s="283"/>
      <c r="Q919" s="283"/>
      <c r="R919" s="283"/>
      <c r="S919" s="283"/>
      <c r="T919" s="283"/>
      <c r="U919" s="283"/>
      <c r="V919" s="283"/>
      <c r="W919" s="283"/>
      <c r="X919" s="283"/>
      <c r="Y919" s="283"/>
      <c r="Z919" s="283"/>
    </row>
    <row r="920" ht="14.25" customHeight="1">
      <c r="A920" s="283"/>
      <c r="B920" s="283"/>
      <c r="C920" s="283"/>
      <c r="D920" s="283"/>
      <c r="E920" s="283"/>
      <c r="F920" s="283"/>
      <c r="G920" s="283"/>
      <c r="H920" s="283"/>
      <c r="I920" s="283"/>
      <c r="J920" s="283"/>
      <c r="K920" s="283"/>
      <c r="L920" s="283"/>
      <c r="M920" s="283"/>
      <c r="N920" s="283"/>
      <c r="O920" s="283"/>
      <c r="P920" s="283"/>
      <c r="Q920" s="283"/>
      <c r="R920" s="283"/>
      <c r="S920" s="283"/>
      <c r="T920" s="283"/>
      <c r="U920" s="283"/>
      <c r="V920" s="283"/>
      <c r="W920" s="283"/>
      <c r="X920" s="283"/>
      <c r="Y920" s="283"/>
      <c r="Z920" s="283"/>
    </row>
    <row r="921" ht="14.25" customHeight="1">
      <c r="A921" s="283"/>
      <c r="B921" s="283"/>
      <c r="C921" s="283"/>
      <c r="D921" s="283"/>
      <c r="E921" s="283"/>
      <c r="F921" s="283"/>
      <c r="G921" s="283"/>
      <c r="H921" s="283"/>
      <c r="I921" s="283"/>
      <c r="J921" s="283"/>
      <c r="K921" s="283"/>
      <c r="L921" s="283"/>
      <c r="M921" s="283"/>
      <c r="N921" s="283"/>
      <c r="O921" s="283"/>
      <c r="P921" s="283"/>
      <c r="Q921" s="283"/>
      <c r="R921" s="283"/>
      <c r="S921" s="283"/>
      <c r="T921" s="283"/>
      <c r="U921" s="283"/>
      <c r="V921" s="283"/>
      <c r="W921" s="283"/>
      <c r="X921" s="283"/>
      <c r="Y921" s="283"/>
      <c r="Z921" s="283"/>
    </row>
    <row r="922" ht="14.25" customHeight="1">
      <c r="A922" s="283"/>
      <c r="B922" s="283"/>
      <c r="C922" s="283"/>
      <c r="D922" s="283"/>
      <c r="E922" s="283"/>
      <c r="F922" s="283"/>
      <c r="G922" s="283"/>
      <c r="H922" s="283"/>
      <c r="I922" s="283"/>
      <c r="J922" s="283"/>
      <c r="K922" s="283"/>
      <c r="L922" s="283"/>
      <c r="M922" s="283"/>
      <c r="N922" s="283"/>
      <c r="O922" s="283"/>
      <c r="P922" s="283"/>
      <c r="Q922" s="283"/>
      <c r="R922" s="283"/>
      <c r="S922" s="283"/>
      <c r="T922" s="283"/>
      <c r="U922" s="283"/>
      <c r="V922" s="283"/>
      <c r="W922" s="283"/>
      <c r="X922" s="283"/>
      <c r="Y922" s="283"/>
      <c r="Z922" s="283"/>
    </row>
    <row r="923" ht="14.25" customHeight="1">
      <c r="A923" s="283"/>
      <c r="B923" s="283"/>
      <c r="C923" s="283"/>
      <c r="D923" s="283"/>
      <c r="E923" s="283"/>
      <c r="F923" s="283"/>
      <c r="G923" s="283"/>
      <c r="H923" s="283"/>
      <c r="I923" s="283"/>
      <c r="J923" s="283"/>
      <c r="K923" s="283"/>
      <c r="L923" s="283"/>
      <c r="M923" s="283"/>
      <c r="N923" s="283"/>
      <c r="O923" s="283"/>
      <c r="P923" s="283"/>
      <c r="Q923" s="283"/>
      <c r="R923" s="283"/>
      <c r="S923" s="283"/>
      <c r="T923" s="283"/>
      <c r="U923" s="283"/>
      <c r="V923" s="283"/>
      <c r="W923" s="283"/>
      <c r="X923" s="283"/>
      <c r="Y923" s="283"/>
      <c r="Z923" s="283"/>
    </row>
    <row r="924" ht="14.25" customHeight="1">
      <c r="A924" s="283"/>
      <c r="B924" s="283"/>
      <c r="C924" s="283"/>
      <c r="D924" s="283"/>
      <c r="E924" s="283"/>
      <c r="F924" s="283"/>
      <c r="G924" s="283"/>
      <c r="H924" s="283"/>
      <c r="I924" s="283"/>
      <c r="J924" s="283"/>
      <c r="K924" s="283"/>
      <c r="L924" s="283"/>
      <c r="M924" s="283"/>
      <c r="N924" s="283"/>
      <c r="O924" s="283"/>
      <c r="P924" s="283"/>
      <c r="Q924" s="283"/>
      <c r="R924" s="283"/>
      <c r="S924" s="283"/>
      <c r="T924" s="283"/>
      <c r="U924" s="283"/>
      <c r="V924" s="283"/>
      <c r="W924" s="283"/>
      <c r="X924" s="283"/>
      <c r="Y924" s="283"/>
      <c r="Z924" s="283"/>
    </row>
    <row r="925" ht="14.25" customHeight="1">
      <c r="A925" s="283"/>
      <c r="B925" s="283"/>
      <c r="C925" s="283"/>
      <c r="D925" s="283"/>
      <c r="E925" s="283"/>
      <c r="F925" s="283"/>
      <c r="G925" s="283"/>
      <c r="H925" s="283"/>
      <c r="I925" s="283"/>
      <c r="J925" s="283"/>
      <c r="K925" s="283"/>
      <c r="L925" s="283"/>
      <c r="M925" s="283"/>
      <c r="N925" s="283"/>
      <c r="O925" s="283"/>
      <c r="P925" s="283"/>
      <c r="Q925" s="283"/>
      <c r="R925" s="283"/>
      <c r="S925" s="283"/>
      <c r="T925" s="283"/>
      <c r="U925" s="283"/>
      <c r="V925" s="283"/>
      <c r="W925" s="283"/>
      <c r="X925" s="283"/>
      <c r="Y925" s="283"/>
      <c r="Z925" s="283"/>
    </row>
    <row r="926" ht="14.25" customHeight="1">
      <c r="A926" s="283"/>
      <c r="B926" s="283"/>
      <c r="C926" s="283"/>
      <c r="D926" s="283"/>
      <c r="E926" s="283"/>
      <c r="F926" s="283"/>
      <c r="G926" s="283"/>
      <c r="H926" s="283"/>
      <c r="I926" s="283"/>
      <c r="J926" s="283"/>
      <c r="K926" s="283"/>
      <c r="L926" s="283"/>
      <c r="M926" s="283"/>
      <c r="N926" s="283"/>
      <c r="O926" s="283"/>
      <c r="P926" s="283"/>
      <c r="Q926" s="283"/>
      <c r="R926" s="283"/>
      <c r="S926" s="283"/>
      <c r="T926" s="283"/>
      <c r="U926" s="283"/>
      <c r="V926" s="283"/>
      <c r="W926" s="283"/>
      <c r="X926" s="283"/>
      <c r="Y926" s="283"/>
      <c r="Z926" s="283"/>
    </row>
    <row r="927" ht="14.25" customHeight="1">
      <c r="A927" s="283"/>
      <c r="B927" s="283"/>
      <c r="C927" s="283"/>
      <c r="D927" s="283"/>
      <c r="E927" s="283"/>
      <c r="F927" s="283"/>
      <c r="G927" s="283"/>
      <c r="H927" s="283"/>
      <c r="I927" s="283"/>
      <c r="J927" s="283"/>
      <c r="K927" s="283"/>
      <c r="L927" s="283"/>
      <c r="M927" s="283"/>
      <c r="N927" s="283"/>
      <c r="O927" s="283"/>
      <c r="P927" s="283"/>
      <c r="Q927" s="283"/>
      <c r="R927" s="283"/>
      <c r="S927" s="283"/>
      <c r="T927" s="283"/>
      <c r="U927" s="283"/>
      <c r="V927" s="283"/>
      <c r="W927" s="283"/>
      <c r="X927" s="283"/>
      <c r="Y927" s="283"/>
      <c r="Z927" s="283"/>
    </row>
    <row r="928" ht="14.25" customHeight="1">
      <c r="A928" s="283"/>
      <c r="B928" s="283"/>
      <c r="C928" s="283"/>
      <c r="D928" s="283"/>
      <c r="E928" s="283"/>
      <c r="F928" s="283"/>
      <c r="G928" s="283"/>
      <c r="H928" s="283"/>
      <c r="I928" s="283"/>
      <c r="J928" s="283"/>
      <c r="K928" s="283"/>
      <c r="L928" s="283"/>
      <c r="M928" s="283"/>
      <c r="N928" s="283"/>
      <c r="O928" s="283"/>
      <c r="P928" s="283"/>
      <c r="Q928" s="283"/>
      <c r="R928" s="283"/>
      <c r="S928" s="283"/>
      <c r="T928" s="283"/>
      <c r="U928" s="283"/>
      <c r="V928" s="283"/>
      <c r="W928" s="283"/>
      <c r="X928" s="283"/>
      <c r="Y928" s="283"/>
      <c r="Z928" s="283"/>
    </row>
    <row r="929" ht="14.25" customHeight="1">
      <c r="A929" s="283"/>
      <c r="B929" s="283"/>
      <c r="C929" s="283"/>
      <c r="D929" s="283"/>
      <c r="E929" s="283"/>
      <c r="F929" s="283"/>
      <c r="G929" s="283"/>
      <c r="H929" s="283"/>
      <c r="I929" s="283"/>
      <c r="J929" s="283"/>
      <c r="K929" s="283"/>
      <c r="L929" s="283"/>
      <c r="M929" s="283"/>
      <c r="N929" s="283"/>
      <c r="O929" s="283"/>
      <c r="P929" s="283"/>
      <c r="Q929" s="283"/>
      <c r="R929" s="283"/>
      <c r="S929" s="283"/>
      <c r="T929" s="283"/>
      <c r="U929" s="283"/>
      <c r="V929" s="283"/>
      <c r="W929" s="283"/>
      <c r="X929" s="283"/>
      <c r="Y929" s="283"/>
      <c r="Z929" s="283"/>
    </row>
    <row r="930" ht="14.25" customHeight="1">
      <c r="A930" s="283"/>
      <c r="B930" s="283"/>
      <c r="C930" s="283"/>
      <c r="D930" s="283"/>
      <c r="E930" s="283"/>
      <c r="F930" s="283"/>
      <c r="G930" s="283"/>
      <c r="H930" s="283"/>
      <c r="I930" s="283"/>
      <c r="J930" s="283"/>
      <c r="K930" s="283"/>
      <c r="L930" s="283"/>
      <c r="M930" s="283"/>
      <c r="N930" s="283"/>
      <c r="O930" s="283"/>
      <c r="P930" s="283"/>
      <c r="Q930" s="283"/>
      <c r="R930" s="283"/>
      <c r="S930" s="283"/>
      <c r="T930" s="283"/>
      <c r="U930" s="283"/>
      <c r="V930" s="283"/>
      <c r="W930" s="283"/>
      <c r="X930" s="283"/>
      <c r="Y930" s="283"/>
      <c r="Z930" s="283"/>
    </row>
    <row r="931" ht="14.25" customHeight="1">
      <c r="A931" s="283"/>
      <c r="B931" s="283"/>
      <c r="C931" s="283"/>
      <c r="D931" s="283"/>
      <c r="E931" s="283"/>
      <c r="F931" s="283"/>
      <c r="G931" s="283"/>
      <c r="H931" s="283"/>
      <c r="I931" s="283"/>
      <c r="J931" s="283"/>
      <c r="K931" s="283"/>
      <c r="L931" s="283"/>
      <c r="M931" s="283"/>
      <c r="N931" s="283"/>
      <c r="O931" s="283"/>
      <c r="P931" s="283"/>
      <c r="Q931" s="283"/>
      <c r="R931" s="283"/>
      <c r="S931" s="283"/>
      <c r="T931" s="283"/>
      <c r="U931" s="283"/>
      <c r="V931" s="283"/>
      <c r="W931" s="283"/>
      <c r="X931" s="283"/>
      <c r="Y931" s="283"/>
      <c r="Z931" s="283"/>
    </row>
    <row r="932" ht="14.25" customHeight="1">
      <c r="A932" s="283"/>
      <c r="B932" s="283"/>
      <c r="C932" s="283"/>
      <c r="D932" s="283"/>
      <c r="E932" s="283"/>
      <c r="F932" s="283"/>
      <c r="G932" s="283"/>
      <c r="H932" s="283"/>
      <c r="I932" s="283"/>
      <c r="J932" s="283"/>
      <c r="K932" s="283"/>
      <c r="L932" s="283"/>
      <c r="M932" s="283"/>
      <c r="N932" s="283"/>
      <c r="O932" s="283"/>
      <c r="P932" s="283"/>
      <c r="Q932" s="283"/>
      <c r="R932" s="283"/>
      <c r="S932" s="283"/>
      <c r="T932" s="283"/>
      <c r="U932" s="283"/>
      <c r="V932" s="283"/>
      <c r="W932" s="283"/>
      <c r="X932" s="283"/>
      <c r="Y932" s="283"/>
      <c r="Z932" s="283"/>
    </row>
    <row r="933" ht="14.25" customHeight="1">
      <c r="A933" s="283"/>
      <c r="B933" s="283"/>
      <c r="C933" s="283"/>
      <c r="D933" s="283"/>
      <c r="E933" s="283"/>
      <c r="F933" s="283"/>
      <c r="G933" s="283"/>
      <c r="H933" s="283"/>
      <c r="I933" s="283"/>
      <c r="J933" s="283"/>
      <c r="K933" s="283"/>
      <c r="L933" s="283"/>
      <c r="M933" s="283"/>
      <c r="N933" s="283"/>
      <c r="O933" s="283"/>
      <c r="P933" s="283"/>
      <c r="Q933" s="283"/>
      <c r="R933" s="283"/>
      <c r="S933" s="283"/>
      <c r="T933" s="283"/>
      <c r="U933" s="283"/>
      <c r="V933" s="283"/>
      <c r="W933" s="283"/>
      <c r="X933" s="283"/>
      <c r="Y933" s="283"/>
      <c r="Z933" s="283"/>
    </row>
    <row r="934" ht="14.25" customHeight="1">
      <c r="A934" s="283"/>
      <c r="B934" s="283"/>
      <c r="C934" s="283"/>
      <c r="D934" s="283"/>
      <c r="E934" s="283"/>
      <c r="F934" s="283"/>
      <c r="G934" s="283"/>
      <c r="H934" s="283"/>
      <c r="I934" s="283"/>
      <c r="J934" s="283"/>
      <c r="K934" s="283"/>
      <c r="L934" s="283"/>
      <c r="M934" s="283"/>
      <c r="N934" s="283"/>
      <c r="O934" s="283"/>
      <c r="P934" s="283"/>
      <c r="Q934" s="283"/>
      <c r="R934" s="283"/>
      <c r="S934" s="283"/>
      <c r="T934" s="283"/>
      <c r="U934" s="283"/>
      <c r="V934" s="283"/>
      <c r="W934" s="283"/>
      <c r="X934" s="283"/>
      <c r="Y934" s="283"/>
      <c r="Z934" s="283"/>
    </row>
    <row r="935" ht="14.25" customHeight="1">
      <c r="A935" s="283"/>
      <c r="B935" s="283"/>
      <c r="C935" s="283"/>
      <c r="D935" s="283"/>
      <c r="E935" s="283"/>
      <c r="F935" s="283"/>
      <c r="G935" s="283"/>
      <c r="H935" s="283"/>
      <c r="I935" s="283"/>
      <c r="J935" s="283"/>
      <c r="K935" s="283"/>
      <c r="L935" s="283"/>
      <c r="M935" s="283"/>
      <c r="N935" s="283"/>
      <c r="O935" s="283"/>
      <c r="P935" s="283"/>
      <c r="Q935" s="283"/>
      <c r="R935" s="283"/>
      <c r="S935" s="283"/>
      <c r="T935" s="283"/>
      <c r="U935" s="283"/>
      <c r="V935" s="283"/>
      <c r="W935" s="283"/>
      <c r="X935" s="283"/>
      <c r="Y935" s="283"/>
      <c r="Z935" s="283"/>
    </row>
    <row r="936" ht="14.25" customHeight="1">
      <c r="A936" s="283"/>
      <c r="B936" s="283"/>
      <c r="C936" s="283"/>
      <c r="D936" s="283"/>
      <c r="E936" s="283"/>
      <c r="F936" s="283"/>
      <c r="G936" s="283"/>
      <c r="H936" s="283"/>
      <c r="I936" s="283"/>
      <c r="J936" s="283"/>
      <c r="K936" s="283"/>
      <c r="L936" s="283"/>
      <c r="M936" s="283"/>
      <c r="N936" s="283"/>
      <c r="O936" s="283"/>
      <c r="P936" s="283"/>
      <c r="Q936" s="283"/>
      <c r="R936" s="283"/>
      <c r="S936" s="283"/>
      <c r="T936" s="283"/>
      <c r="U936" s="283"/>
      <c r="V936" s="283"/>
      <c r="W936" s="283"/>
      <c r="X936" s="283"/>
      <c r="Y936" s="283"/>
      <c r="Z936" s="283"/>
    </row>
    <row r="937" ht="14.25" customHeight="1">
      <c r="A937" s="283"/>
      <c r="B937" s="283"/>
      <c r="C937" s="283"/>
      <c r="D937" s="283"/>
      <c r="E937" s="283"/>
      <c r="F937" s="283"/>
      <c r="G937" s="283"/>
      <c r="H937" s="283"/>
      <c r="I937" s="283"/>
      <c r="J937" s="283"/>
      <c r="K937" s="283"/>
      <c r="L937" s="283"/>
      <c r="M937" s="283"/>
      <c r="N937" s="283"/>
      <c r="O937" s="283"/>
      <c r="P937" s="283"/>
      <c r="Q937" s="283"/>
      <c r="R937" s="283"/>
      <c r="S937" s="283"/>
      <c r="T937" s="283"/>
      <c r="U937" s="283"/>
      <c r="V937" s="283"/>
      <c r="W937" s="283"/>
      <c r="X937" s="283"/>
      <c r="Y937" s="283"/>
      <c r="Z937" s="283"/>
    </row>
    <row r="938" ht="14.25" customHeight="1">
      <c r="A938" s="283"/>
      <c r="B938" s="283"/>
      <c r="C938" s="283"/>
      <c r="D938" s="283"/>
      <c r="E938" s="283"/>
      <c r="F938" s="283"/>
      <c r="G938" s="283"/>
      <c r="H938" s="283"/>
      <c r="I938" s="283"/>
      <c r="J938" s="283"/>
      <c r="K938" s="283"/>
      <c r="L938" s="283"/>
      <c r="M938" s="283"/>
      <c r="N938" s="283"/>
      <c r="O938" s="283"/>
      <c r="P938" s="283"/>
      <c r="Q938" s="283"/>
      <c r="R938" s="283"/>
      <c r="S938" s="283"/>
      <c r="T938" s="283"/>
      <c r="U938" s="283"/>
      <c r="V938" s="283"/>
      <c r="W938" s="283"/>
      <c r="X938" s="283"/>
      <c r="Y938" s="283"/>
      <c r="Z938" s="283"/>
    </row>
    <row r="939" ht="14.25" customHeight="1">
      <c r="A939" s="283"/>
      <c r="B939" s="283"/>
      <c r="C939" s="283"/>
      <c r="D939" s="283"/>
      <c r="E939" s="283"/>
      <c r="F939" s="283"/>
      <c r="G939" s="283"/>
      <c r="H939" s="283"/>
      <c r="I939" s="283"/>
      <c r="J939" s="283"/>
      <c r="K939" s="283"/>
      <c r="L939" s="283"/>
      <c r="M939" s="283"/>
      <c r="N939" s="283"/>
      <c r="O939" s="283"/>
      <c r="P939" s="283"/>
      <c r="Q939" s="283"/>
      <c r="R939" s="283"/>
      <c r="S939" s="283"/>
      <c r="T939" s="283"/>
      <c r="U939" s="283"/>
      <c r="V939" s="283"/>
      <c r="W939" s="283"/>
      <c r="X939" s="283"/>
      <c r="Y939" s="283"/>
      <c r="Z939" s="283"/>
    </row>
    <row r="940" ht="14.25" customHeight="1">
      <c r="A940" s="283"/>
      <c r="B940" s="283"/>
      <c r="C940" s="283"/>
      <c r="D940" s="283"/>
      <c r="E940" s="283"/>
      <c r="F940" s="283"/>
      <c r="G940" s="283"/>
      <c r="H940" s="283"/>
      <c r="I940" s="283"/>
      <c r="J940" s="283"/>
      <c r="K940" s="283"/>
      <c r="L940" s="283"/>
      <c r="M940" s="283"/>
      <c r="N940" s="283"/>
      <c r="O940" s="283"/>
      <c r="P940" s="283"/>
      <c r="Q940" s="283"/>
      <c r="R940" s="283"/>
      <c r="S940" s="283"/>
      <c r="T940" s="283"/>
      <c r="U940" s="283"/>
      <c r="V940" s="283"/>
      <c r="W940" s="283"/>
      <c r="X940" s="283"/>
      <c r="Y940" s="283"/>
      <c r="Z940" s="283"/>
    </row>
    <row r="941" ht="14.25" customHeight="1">
      <c r="A941" s="283"/>
      <c r="B941" s="283"/>
      <c r="C941" s="283"/>
      <c r="D941" s="283"/>
      <c r="E941" s="283"/>
      <c r="F941" s="283"/>
      <c r="G941" s="283"/>
      <c r="H941" s="283"/>
      <c r="I941" s="283"/>
      <c r="J941" s="283"/>
      <c r="K941" s="283"/>
      <c r="L941" s="283"/>
      <c r="M941" s="283"/>
      <c r="N941" s="283"/>
      <c r="O941" s="283"/>
      <c r="P941" s="283"/>
      <c r="Q941" s="283"/>
      <c r="R941" s="283"/>
      <c r="S941" s="283"/>
      <c r="T941" s="283"/>
      <c r="U941" s="283"/>
      <c r="V941" s="283"/>
      <c r="W941" s="283"/>
      <c r="X941" s="283"/>
      <c r="Y941" s="283"/>
      <c r="Z941" s="283"/>
    </row>
    <row r="942" ht="14.25" customHeight="1">
      <c r="A942" s="283"/>
      <c r="B942" s="283"/>
      <c r="C942" s="283"/>
      <c r="D942" s="283"/>
      <c r="E942" s="283"/>
      <c r="F942" s="283"/>
      <c r="G942" s="283"/>
      <c r="H942" s="283"/>
      <c r="I942" s="283"/>
      <c r="J942" s="283"/>
      <c r="K942" s="283"/>
      <c r="L942" s="283"/>
      <c r="M942" s="283"/>
      <c r="N942" s="283"/>
      <c r="O942" s="283"/>
      <c r="P942" s="283"/>
      <c r="Q942" s="283"/>
      <c r="R942" s="283"/>
      <c r="S942" s="283"/>
      <c r="T942" s="283"/>
      <c r="U942" s="283"/>
      <c r="V942" s="283"/>
      <c r="W942" s="283"/>
      <c r="X942" s="283"/>
      <c r="Y942" s="283"/>
      <c r="Z942" s="283"/>
    </row>
    <row r="943" ht="14.25" customHeight="1">
      <c r="A943" s="283"/>
      <c r="B943" s="283"/>
      <c r="C943" s="283"/>
      <c r="D943" s="283"/>
      <c r="E943" s="283"/>
      <c r="F943" s="283"/>
      <c r="G943" s="283"/>
      <c r="H943" s="283"/>
      <c r="I943" s="283"/>
      <c r="J943" s="283"/>
      <c r="K943" s="283"/>
      <c r="L943" s="283"/>
      <c r="M943" s="283"/>
      <c r="N943" s="283"/>
      <c r="O943" s="283"/>
      <c r="P943" s="283"/>
      <c r="Q943" s="283"/>
      <c r="R943" s="283"/>
      <c r="S943" s="283"/>
      <c r="T943" s="283"/>
      <c r="U943" s="283"/>
      <c r="V943" s="283"/>
      <c r="W943" s="283"/>
      <c r="X943" s="283"/>
      <c r="Y943" s="283"/>
      <c r="Z943" s="283"/>
    </row>
    <row r="944" ht="14.25" customHeight="1">
      <c r="A944" s="283"/>
      <c r="B944" s="283"/>
      <c r="C944" s="283"/>
      <c r="D944" s="283"/>
      <c r="E944" s="283"/>
      <c r="F944" s="283"/>
      <c r="G944" s="283"/>
      <c r="H944" s="283"/>
      <c r="I944" s="283"/>
      <c r="J944" s="283"/>
      <c r="K944" s="283"/>
      <c r="L944" s="283"/>
      <c r="M944" s="283"/>
      <c r="N944" s="283"/>
      <c r="O944" s="283"/>
      <c r="P944" s="283"/>
      <c r="Q944" s="283"/>
      <c r="R944" s="283"/>
      <c r="S944" s="283"/>
      <c r="T944" s="283"/>
      <c r="U944" s="283"/>
      <c r="V944" s="283"/>
      <c r="W944" s="283"/>
      <c r="X944" s="283"/>
      <c r="Y944" s="283"/>
      <c r="Z944" s="283"/>
    </row>
    <row r="945" ht="14.25" customHeight="1">
      <c r="A945" s="283"/>
      <c r="B945" s="283"/>
      <c r="C945" s="283"/>
      <c r="D945" s="283"/>
      <c r="E945" s="283"/>
      <c r="F945" s="283"/>
      <c r="G945" s="283"/>
      <c r="H945" s="283"/>
      <c r="I945" s="283"/>
      <c r="J945" s="283"/>
      <c r="K945" s="283"/>
      <c r="L945" s="283"/>
      <c r="M945" s="283"/>
      <c r="N945" s="283"/>
      <c r="O945" s="283"/>
      <c r="P945" s="283"/>
      <c r="Q945" s="283"/>
      <c r="R945" s="283"/>
      <c r="S945" s="283"/>
      <c r="T945" s="283"/>
      <c r="U945" s="283"/>
      <c r="V945" s="283"/>
      <c r="W945" s="283"/>
      <c r="X945" s="283"/>
      <c r="Y945" s="283"/>
      <c r="Z945" s="283"/>
    </row>
    <row r="946" ht="14.25" customHeight="1">
      <c r="A946" s="283"/>
      <c r="B946" s="283"/>
      <c r="C946" s="283"/>
      <c r="D946" s="283"/>
      <c r="E946" s="283"/>
      <c r="F946" s="283"/>
      <c r="G946" s="283"/>
      <c r="H946" s="283"/>
      <c r="I946" s="283"/>
      <c r="J946" s="283"/>
      <c r="K946" s="283"/>
      <c r="L946" s="283"/>
      <c r="M946" s="283"/>
      <c r="N946" s="283"/>
      <c r="O946" s="283"/>
      <c r="P946" s="283"/>
      <c r="Q946" s="283"/>
      <c r="R946" s="283"/>
      <c r="S946" s="283"/>
      <c r="T946" s="283"/>
      <c r="U946" s="283"/>
      <c r="V946" s="283"/>
      <c r="W946" s="283"/>
      <c r="X946" s="283"/>
      <c r="Y946" s="283"/>
      <c r="Z946" s="283"/>
    </row>
    <row r="947" ht="14.25" customHeight="1">
      <c r="A947" s="283"/>
      <c r="B947" s="283"/>
      <c r="C947" s="283"/>
      <c r="D947" s="283"/>
      <c r="E947" s="283"/>
      <c r="F947" s="283"/>
      <c r="G947" s="283"/>
      <c r="H947" s="283"/>
      <c r="I947" s="283"/>
      <c r="J947" s="283"/>
      <c r="K947" s="283"/>
      <c r="L947" s="283"/>
      <c r="M947" s="283"/>
      <c r="N947" s="283"/>
      <c r="O947" s="283"/>
      <c r="P947" s="283"/>
      <c r="Q947" s="283"/>
      <c r="R947" s="283"/>
      <c r="S947" s="283"/>
      <c r="T947" s="283"/>
      <c r="U947" s="283"/>
      <c r="V947" s="283"/>
      <c r="W947" s="283"/>
      <c r="X947" s="283"/>
      <c r="Y947" s="283"/>
      <c r="Z947" s="283"/>
    </row>
    <row r="948" ht="14.25" customHeight="1">
      <c r="A948" s="283"/>
      <c r="B948" s="283"/>
      <c r="C948" s="283"/>
      <c r="D948" s="283"/>
      <c r="E948" s="283"/>
      <c r="F948" s="283"/>
      <c r="G948" s="283"/>
      <c r="H948" s="283"/>
      <c r="I948" s="283"/>
      <c r="J948" s="283"/>
      <c r="K948" s="283"/>
      <c r="L948" s="283"/>
      <c r="M948" s="283"/>
      <c r="N948" s="283"/>
      <c r="O948" s="283"/>
      <c r="P948" s="283"/>
      <c r="Q948" s="283"/>
      <c r="R948" s="283"/>
      <c r="S948" s="283"/>
      <c r="T948" s="283"/>
      <c r="U948" s="283"/>
      <c r="V948" s="283"/>
      <c r="W948" s="283"/>
      <c r="X948" s="283"/>
      <c r="Y948" s="283"/>
      <c r="Z948" s="283"/>
    </row>
    <row r="949" ht="14.25" customHeight="1">
      <c r="A949" s="283"/>
      <c r="B949" s="283"/>
      <c r="C949" s="283"/>
      <c r="D949" s="283"/>
      <c r="E949" s="283"/>
      <c r="F949" s="283"/>
      <c r="G949" s="283"/>
      <c r="H949" s="283"/>
      <c r="I949" s="283"/>
      <c r="J949" s="283"/>
      <c r="K949" s="283"/>
      <c r="L949" s="283"/>
      <c r="M949" s="283"/>
      <c r="N949" s="283"/>
      <c r="O949" s="283"/>
      <c r="P949" s="283"/>
      <c r="Q949" s="283"/>
      <c r="R949" s="283"/>
      <c r="S949" s="283"/>
      <c r="T949" s="283"/>
      <c r="U949" s="283"/>
      <c r="V949" s="283"/>
      <c r="W949" s="283"/>
      <c r="X949" s="283"/>
      <c r="Y949" s="283"/>
      <c r="Z949" s="283"/>
    </row>
    <row r="950" ht="14.25" customHeight="1">
      <c r="A950" s="283"/>
      <c r="B950" s="283"/>
      <c r="C950" s="283"/>
      <c r="D950" s="283"/>
      <c r="E950" s="283"/>
      <c r="F950" s="283"/>
      <c r="G950" s="283"/>
      <c r="H950" s="283"/>
      <c r="I950" s="283"/>
      <c r="J950" s="283"/>
      <c r="K950" s="283"/>
      <c r="L950" s="283"/>
      <c r="M950" s="283"/>
      <c r="N950" s="283"/>
      <c r="O950" s="283"/>
      <c r="P950" s="283"/>
      <c r="Q950" s="283"/>
      <c r="R950" s="283"/>
      <c r="S950" s="283"/>
      <c r="T950" s="283"/>
      <c r="U950" s="283"/>
      <c r="V950" s="283"/>
      <c r="W950" s="283"/>
      <c r="X950" s="283"/>
      <c r="Y950" s="283"/>
      <c r="Z950" s="283"/>
    </row>
    <row r="951" ht="14.25" customHeight="1">
      <c r="A951" s="283"/>
      <c r="B951" s="283"/>
      <c r="C951" s="283"/>
      <c r="D951" s="283"/>
      <c r="E951" s="283"/>
      <c r="F951" s="283"/>
      <c r="G951" s="283"/>
      <c r="H951" s="283"/>
      <c r="I951" s="283"/>
      <c r="J951" s="283"/>
      <c r="K951" s="283"/>
      <c r="L951" s="283"/>
      <c r="M951" s="283"/>
      <c r="N951" s="283"/>
      <c r="O951" s="283"/>
      <c r="P951" s="283"/>
      <c r="Q951" s="283"/>
      <c r="R951" s="283"/>
      <c r="S951" s="283"/>
      <c r="T951" s="283"/>
      <c r="U951" s="283"/>
      <c r="V951" s="283"/>
      <c r="W951" s="283"/>
      <c r="X951" s="283"/>
      <c r="Y951" s="283"/>
      <c r="Z951" s="283"/>
    </row>
    <row r="952" ht="14.25" customHeight="1">
      <c r="A952" s="283"/>
      <c r="B952" s="283"/>
      <c r="C952" s="283"/>
      <c r="D952" s="283"/>
      <c r="E952" s="283"/>
      <c r="F952" s="283"/>
      <c r="G952" s="283"/>
      <c r="H952" s="283"/>
      <c r="I952" s="283"/>
      <c r="J952" s="283"/>
      <c r="K952" s="283"/>
      <c r="L952" s="283"/>
      <c r="M952" s="283"/>
      <c r="N952" s="283"/>
      <c r="O952" s="283"/>
      <c r="P952" s="283"/>
      <c r="Q952" s="283"/>
      <c r="R952" s="283"/>
      <c r="S952" s="283"/>
      <c r="T952" s="283"/>
      <c r="U952" s="283"/>
      <c r="V952" s="283"/>
      <c r="W952" s="283"/>
      <c r="X952" s="283"/>
      <c r="Y952" s="283"/>
      <c r="Z952" s="283"/>
    </row>
    <row r="953" ht="14.25" customHeight="1">
      <c r="A953" s="283"/>
      <c r="B953" s="283"/>
      <c r="C953" s="283"/>
      <c r="D953" s="283"/>
      <c r="E953" s="283"/>
      <c r="F953" s="283"/>
      <c r="G953" s="283"/>
      <c r="H953" s="283"/>
      <c r="I953" s="283"/>
      <c r="J953" s="283"/>
      <c r="K953" s="283"/>
      <c r="L953" s="283"/>
      <c r="M953" s="283"/>
      <c r="N953" s="283"/>
      <c r="O953" s="283"/>
      <c r="P953" s="283"/>
      <c r="Q953" s="283"/>
      <c r="R953" s="283"/>
      <c r="S953" s="283"/>
      <c r="T953" s="283"/>
      <c r="U953" s="283"/>
      <c r="V953" s="283"/>
      <c r="W953" s="283"/>
      <c r="X953" s="283"/>
      <c r="Y953" s="283"/>
      <c r="Z953" s="283"/>
    </row>
    <row r="954" ht="14.25" customHeight="1">
      <c r="A954" s="283"/>
      <c r="B954" s="283"/>
      <c r="C954" s="283"/>
      <c r="D954" s="283"/>
      <c r="E954" s="283"/>
      <c r="F954" s="283"/>
      <c r="G954" s="283"/>
      <c r="H954" s="283"/>
      <c r="I954" s="283"/>
      <c r="J954" s="283"/>
      <c r="K954" s="283"/>
      <c r="L954" s="283"/>
      <c r="M954" s="283"/>
      <c r="N954" s="283"/>
      <c r="O954" s="283"/>
      <c r="P954" s="283"/>
      <c r="Q954" s="283"/>
      <c r="R954" s="283"/>
      <c r="S954" s="283"/>
      <c r="T954" s="283"/>
      <c r="U954" s="283"/>
      <c r="V954" s="283"/>
      <c r="W954" s="283"/>
      <c r="X954" s="283"/>
      <c r="Y954" s="283"/>
      <c r="Z954" s="283"/>
    </row>
    <row r="955" ht="14.25" customHeight="1">
      <c r="A955" s="283"/>
      <c r="B955" s="283"/>
      <c r="C955" s="283"/>
      <c r="D955" s="283"/>
      <c r="E955" s="283"/>
      <c r="F955" s="283"/>
      <c r="G955" s="283"/>
      <c r="H955" s="283"/>
      <c r="I955" s="283"/>
      <c r="J955" s="283"/>
      <c r="K955" s="283"/>
      <c r="L955" s="283"/>
      <c r="M955" s="283"/>
      <c r="N955" s="283"/>
      <c r="O955" s="283"/>
      <c r="P955" s="283"/>
      <c r="Q955" s="283"/>
      <c r="R955" s="283"/>
      <c r="S955" s="283"/>
      <c r="T955" s="283"/>
      <c r="U955" s="283"/>
      <c r="V955" s="283"/>
      <c r="W955" s="283"/>
      <c r="X955" s="283"/>
      <c r="Y955" s="283"/>
      <c r="Z955" s="283"/>
    </row>
    <row r="956" ht="14.25" customHeight="1">
      <c r="A956" s="283"/>
      <c r="B956" s="283"/>
      <c r="C956" s="283"/>
      <c r="D956" s="283"/>
      <c r="E956" s="283"/>
      <c r="F956" s="283"/>
      <c r="G956" s="283"/>
      <c r="H956" s="283"/>
      <c r="I956" s="283"/>
      <c r="J956" s="283"/>
      <c r="K956" s="283"/>
      <c r="L956" s="283"/>
      <c r="M956" s="283"/>
      <c r="N956" s="283"/>
      <c r="O956" s="283"/>
      <c r="P956" s="283"/>
      <c r="Q956" s="283"/>
      <c r="R956" s="283"/>
      <c r="S956" s="283"/>
      <c r="T956" s="283"/>
      <c r="U956" s="283"/>
      <c r="V956" s="283"/>
      <c r="W956" s="283"/>
      <c r="X956" s="283"/>
      <c r="Y956" s="283"/>
      <c r="Z956" s="283"/>
    </row>
    <row r="957" ht="14.25" customHeight="1">
      <c r="A957" s="283"/>
      <c r="B957" s="283"/>
      <c r="C957" s="283"/>
      <c r="D957" s="283"/>
      <c r="E957" s="283"/>
      <c r="F957" s="283"/>
      <c r="G957" s="283"/>
      <c r="H957" s="283"/>
      <c r="I957" s="283"/>
      <c r="J957" s="283"/>
      <c r="K957" s="283"/>
      <c r="L957" s="283"/>
      <c r="M957" s="283"/>
      <c r="N957" s="283"/>
      <c r="O957" s="283"/>
      <c r="P957" s="283"/>
      <c r="Q957" s="283"/>
      <c r="R957" s="283"/>
      <c r="S957" s="283"/>
      <c r="T957" s="283"/>
      <c r="U957" s="283"/>
      <c r="V957" s="283"/>
      <c r="W957" s="283"/>
      <c r="X957" s="283"/>
      <c r="Y957" s="283"/>
      <c r="Z957" s="283"/>
    </row>
    <row r="958" ht="14.25" customHeight="1">
      <c r="A958" s="283"/>
      <c r="B958" s="283"/>
      <c r="C958" s="283"/>
      <c r="D958" s="283"/>
      <c r="E958" s="283"/>
      <c r="F958" s="283"/>
      <c r="G958" s="283"/>
      <c r="H958" s="283"/>
      <c r="I958" s="283"/>
      <c r="J958" s="283"/>
      <c r="K958" s="283"/>
      <c r="L958" s="283"/>
      <c r="M958" s="283"/>
      <c r="N958" s="283"/>
      <c r="O958" s="283"/>
      <c r="P958" s="283"/>
      <c r="Q958" s="283"/>
      <c r="R958" s="283"/>
      <c r="S958" s="283"/>
      <c r="T958" s="283"/>
      <c r="U958" s="283"/>
      <c r="V958" s="283"/>
      <c r="W958" s="283"/>
      <c r="X958" s="283"/>
      <c r="Y958" s="283"/>
      <c r="Z958" s="283"/>
    </row>
    <row r="959" ht="14.25" customHeight="1">
      <c r="A959" s="283"/>
      <c r="B959" s="283"/>
      <c r="C959" s="283"/>
      <c r="D959" s="283"/>
      <c r="E959" s="283"/>
      <c r="F959" s="283"/>
      <c r="G959" s="283"/>
      <c r="H959" s="283"/>
      <c r="I959" s="283"/>
      <c r="J959" s="283"/>
      <c r="K959" s="283"/>
      <c r="L959" s="283"/>
      <c r="M959" s="283"/>
      <c r="N959" s="283"/>
      <c r="O959" s="283"/>
      <c r="P959" s="283"/>
      <c r="Q959" s="283"/>
      <c r="R959" s="283"/>
      <c r="S959" s="283"/>
      <c r="T959" s="283"/>
      <c r="U959" s="283"/>
      <c r="V959" s="283"/>
      <c r="W959" s="283"/>
      <c r="X959" s="283"/>
      <c r="Y959" s="283"/>
      <c r="Z959" s="283"/>
    </row>
    <row r="960" ht="14.25" customHeight="1">
      <c r="A960" s="283"/>
      <c r="B960" s="283"/>
      <c r="C960" s="283"/>
      <c r="D960" s="283"/>
      <c r="E960" s="283"/>
      <c r="F960" s="283"/>
      <c r="G960" s="283"/>
      <c r="H960" s="283"/>
      <c r="I960" s="283"/>
      <c r="J960" s="283"/>
      <c r="K960" s="283"/>
      <c r="L960" s="283"/>
      <c r="M960" s="283"/>
      <c r="N960" s="283"/>
      <c r="O960" s="283"/>
      <c r="P960" s="283"/>
      <c r="Q960" s="283"/>
      <c r="R960" s="283"/>
      <c r="S960" s="283"/>
      <c r="T960" s="283"/>
      <c r="U960" s="283"/>
      <c r="V960" s="283"/>
      <c r="W960" s="283"/>
      <c r="X960" s="283"/>
      <c r="Y960" s="283"/>
      <c r="Z960" s="283"/>
    </row>
    <row r="961" ht="14.25" customHeight="1">
      <c r="A961" s="283"/>
      <c r="B961" s="283"/>
      <c r="C961" s="283"/>
      <c r="D961" s="283"/>
      <c r="E961" s="283"/>
      <c r="F961" s="283"/>
      <c r="G961" s="283"/>
      <c r="H961" s="283"/>
      <c r="I961" s="283"/>
      <c r="J961" s="283"/>
      <c r="K961" s="283"/>
      <c r="L961" s="283"/>
      <c r="M961" s="283"/>
      <c r="N961" s="283"/>
      <c r="O961" s="283"/>
      <c r="P961" s="283"/>
      <c r="Q961" s="283"/>
      <c r="R961" s="283"/>
      <c r="S961" s="283"/>
      <c r="T961" s="283"/>
      <c r="U961" s="283"/>
      <c r="V961" s="283"/>
      <c r="W961" s="283"/>
      <c r="X961" s="283"/>
      <c r="Y961" s="283"/>
      <c r="Z961" s="283"/>
    </row>
    <row r="962" ht="14.25" customHeight="1">
      <c r="A962" s="283"/>
      <c r="B962" s="283"/>
      <c r="C962" s="283"/>
      <c r="D962" s="283"/>
      <c r="E962" s="283"/>
      <c r="F962" s="283"/>
      <c r="G962" s="283"/>
      <c r="H962" s="283"/>
      <c r="I962" s="283"/>
      <c r="J962" s="283"/>
      <c r="K962" s="283"/>
      <c r="L962" s="283"/>
      <c r="M962" s="283"/>
      <c r="N962" s="283"/>
      <c r="O962" s="283"/>
      <c r="P962" s="283"/>
      <c r="Q962" s="283"/>
      <c r="R962" s="283"/>
      <c r="S962" s="283"/>
      <c r="T962" s="283"/>
      <c r="U962" s="283"/>
      <c r="V962" s="283"/>
      <c r="W962" s="283"/>
      <c r="X962" s="283"/>
      <c r="Y962" s="283"/>
      <c r="Z962" s="283"/>
    </row>
    <row r="963" ht="14.25" customHeight="1">
      <c r="A963" s="283"/>
      <c r="B963" s="283"/>
      <c r="C963" s="283"/>
      <c r="D963" s="283"/>
      <c r="E963" s="283"/>
      <c r="F963" s="283"/>
      <c r="G963" s="283"/>
      <c r="H963" s="283"/>
      <c r="I963" s="283"/>
      <c r="J963" s="283"/>
      <c r="K963" s="283"/>
      <c r="L963" s="283"/>
      <c r="M963" s="283"/>
      <c r="N963" s="283"/>
      <c r="O963" s="283"/>
      <c r="P963" s="283"/>
      <c r="Q963" s="283"/>
      <c r="R963" s="283"/>
      <c r="S963" s="283"/>
      <c r="T963" s="283"/>
      <c r="U963" s="283"/>
      <c r="V963" s="283"/>
      <c r="W963" s="283"/>
      <c r="X963" s="283"/>
      <c r="Y963" s="283"/>
      <c r="Z963" s="283"/>
    </row>
    <row r="964" ht="14.25" customHeight="1">
      <c r="A964" s="283"/>
      <c r="B964" s="283"/>
      <c r="C964" s="283"/>
      <c r="D964" s="283"/>
      <c r="E964" s="283"/>
      <c r="F964" s="283"/>
      <c r="G964" s="283"/>
      <c r="H964" s="283"/>
      <c r="I964" s="283"/>
      <c r="J964" s="283"/>
      <c r="K964" s="283"/>
      <c r="L964" s="283"/>
      <c r="M964" s="283"/>
      <c r="N964" s="283"/>
      <c r="O964" s="283"/>
      <c r="P964" s="283"/>
      <c r="Q964" s="283"/>
      <c r="R964" s="283"/>
      <c r="S964" s="283"/>
      <c r="T964" s="283"/>
      <c r="U964" s="283"/>
      <c r="V964" s="283"/>
      <c r="W964" s="283"/>
      <c r="X964" s="283"/>
      <c r="Y964" s="283"/>
      <c r="Z964" s="283"/>
    </row>
    <row r="965" ht="14.25" customHeight="1">
      <c r="A965" s="283"/>
      <c r="B965" s="283"/>
      <c r="C965" s="283"/>
      <c r="D965" s="283"/>
      <c r="E965" s="283"/>
      <c r="F965" s="283"/>
      <c r="G965" s="283"/>
      <c r="H965" s="283"/>
      <c r="I965" s="283"/>
      <c r="J965" s="283"/>
      <c r="K965" s="283"/>
      <c r="L965" s="283"/>
      <c r="M965" s="283"/>
      <c r="N965" s="283"/>
      <c r="O965" s="283"/>
      <c r="P965" s="283"/>
      <c r="Q965" s="283"/>
      <c r="R965" s="283"/>
      <c r="S965" s="283"/>
      <c r="T965" s="283"/>
      <c r="U965" s="283"/>
      <c r="V965" s="283"/>
      <c r="W965" s="283"/>
      <c r="X965" s="283"/>
      <c r="Y965" s="283"/>
      <c r="Z965" s="283"/>
    </row>
    <row r="966" ht="14.25" customHeight="1">
      <c r="A966" s="283"/>
      <c r="B966" s="283"/>
      <c r="C966" s="283"/>
      <c r="D966" s="283"/>
      <c r="E966" s="283"/>
      <c r="F966" s="283"/>
      <c r="G966" s="283"/>
      <c r="H966" s="283"/>
      <c r="I966" s="283"/>
      <c r="J966" s="283"/>
      <c r="K966" s="283"/>
      <c r="L966" s="283"/>
      <c r="M966" s="283"/>
      <c r="N966" s="283"/>
      <c r="O966" s="283"/>
      <c r="P966" s="283"/>
      <c r="Q966" s="283"/>
      <c r="R966" s="283"/>
      <c r="S966" s="283"/>
      <c r="T966" s="283"/>
      <c r="U966" s="283"/>
      <c r="V966" s="283"/>
      <c r="W966" s="283"/>
      <c r="X966" s="283"/>
      <c r="Y966" s="283"/>
      <c r="Z966" s="283"/>
    </row>
    <row r="967" ht="14.25" customHeight="1">
      <c r="A967" s="283"/>
      <c r="B967" s="283"/>
      <c r="C967" s="283"/>
      <c r="D967" s="283"/>
      <c r="E967" s="283"/>
      <c r="F967" s="283"/>
      <c r="G967" s="283"/>
      <c r="H967" s="283"/>
      <c r="I967" s="283"/>
      <c r="J967" s="283"/>
      <c r="K967" s="283"/>
      <c r="L967" s="283"/>
      <c r="M967" s="283"/>
      <c r="N967" s="283"/>
      <c r="O967" s="283"/>
      <c r="P967" s="283"/>
      <c r="Q967" s="283"/>
      <c r="R967" s="283"/>
      <c r="S967" s="283"/>
      <c r="T967" s="283"/>
      <c r="U967" s="283"/>
      <c r="V967" s="283"/>
      <c r="W967" s="283"/>
      <c r="X967" s="283"/>
      <c r="Y967" s="283"/>
      <c r="Z967" s="283"/>
    </row>
    <row r="968" ht="14.25" customHeight="1">
      <c r="A968" s="283"/>
      <c r="B968" s="283"/>
      <c r="C968" s="283"/>
      <c r="D968" s="283"/>
      <c r="E968" s="283"/>
      <c r="F968" s="283"/>
      <c r="G968" s="283"/>
      <c r="H968" s="283"/>
      <c r="I968" s="283"/>
      <c r="J968" s="283"/>
      <c r="K968" s="283"/>
      <c r="L968" s="283"/>
      <c r="M968" s="283"/>
      <c r="N968" s="283"/>
      <c r="O968" s="283"/>
      <c r="P968" s="283"/>
      <c r="Q968" s="283"/>
      <c r="R968" s="283"/>
      <c r="S968" s="283"/>
      <c r="T968" s="283"/>
      <c r="U968" s="283"/>
      <c r="V968" s="283"/>
      <c r="W968" s="283"/>
      <c r="X968" s="283"/>
      <c r="Y968" s="283"/>
      <c r="Z968" s="283"/>
    </row>
    <row r="969" ht="14.25" customHeight="1">
      <c r="A969" s="283"/>
      <c r="B969" s="283"/>
      <c r="C969" s="283"/>
      <c r="D969" s="283"/>
      <c r="E969" s="283"/>
      <c r="F969" s="283"/>
      <c r="G969" s="283"/>
      <c r="H969" s="283"/>
      <c r="I969" s="283"/>
      <c r="J969" s="283"/>
      <c r="K969" s="283"/>
      <c r="L969" s="283"/>
      <c r="M969" s="283"/>
      <c r="N969" s="283"/>
      <c r="O969" s="283"/>
      <c r="P969" s="283"/>
      <c r="Q969" s="283"/>
      <c r="R969" s="283"/>
      <c r="S969" s="283"/>
      <c r="T969" s="283"/>
      <c r="U969" s="283"/>
      <c r="V969" s="283"/>
      <c r="W969" s="283"/>
      <c r="X969" s="283"/>
      <c r="Y969" s="283"/>
      <c r="Z969" s="283"/>
    </row>
    <row r="970" ht="14.25" customHeight="1">
      <c r="A970" s="283"/>
      <c r="B970" s="283"/>
      <c r="C970" s="283"/>
      <c r="D970" s="283"/>
      <c r="E970" s="283"/>
      <c r="F970" s="283"/>
      <c r="G970" s="283"/>
      <c r="H970" s="283"/>
      <c r="I970" s="283"/>
      <c r="J970" s="283"/>
      <c r="K970" s="283"/>
      <c r="L970" s="283"/>
      <c r="M970" s="283"/>
      <c r="N970" s="283"/>
      <c r="O970" s="283"/>
      <c r="P970" s="283"/>
      <c r="Q970" s="283"/>
      <c r="R970" s="283"/>
      <c r="S970" s="283"/>
      <c r="T970" s="283"/>
      <c r="U970" s="283"/>
      <c r="V970" s="283"/>
      <c r="W970" s="283"/>
      <c r="X970" s="283"/>
      <c r="Y970" s="283"/>
      <c r="Z970" s="283"/>
    </row>
    <row r="971" ht="14.25" customHeight="1">
      <c r="A971" s="283"/>
      <c r="B971" s="283"/>
      <c r="C971" s="283"/>
      <c r="D971" s="283"/>
      <c r="E971" s="283"/>
      <c r="F971" s="283"/>
      <c r="G971" s="283"/>
      <c r="H971" s="283"/>
      <c r="I971" s="283"/>
      <c r="J971" s="283"/>
      <c r="K971" s="283"/>
      <c r="L971" s="283"/>
      <c r="M971" s="283"/>
      <c r="N971" s="283"/>
      <c r="O971" s="283"/>
      <c r="P971" s="283"/>
      <c r="Q971" s="283"/>
      <c r="R971" s="283"/>
      <c r="S971" s="283"/>
      <c r="T971" s="283"/>
      <c r="U971" s="283"/>
      <c r="V971" s="283"/>
      <c r="W971" s="283"/>
      <c r="X971" s="283"/>
      <c r="Y971" s="283"/>
      <c r="Z971" s="283"/>
    </row>
    <row r="972" ht="14.25" customHeight="1">
      <c r="A972" s="283"/>
      <c r="B972" s="283"/>
      <c r="C972" s="283"/>
      <c r="D972" s="283"/>
      <c r="E972" s="283"/>
      <c r="F972" s="283"/>
      <c r="G972" s="283"/>
      <c r="H972" s="283"/>
      <c r="I972" s="283"/>
      <c r="J972" s="283"/>
      <c r="K972" s="283"/>
      <c r="L972" s="283"/>
      <c r="M972" s="283"/>
      <c r="N972" s="283"/>
      <c r="O972" s="283"/>
      <c r="P972" s="283"/>
      <c r="Q972" s="283"/>
      <c r="R972" s="283"/>
      <c r="S972" s="283"/>
      <c r="T972" s="283"/>
      <c r="U972" s="283"/>
      <c r="V972" s="283"/>
      <c r="W972" s="283"/>
      <c r="X972" s="283"/>
      <c r="Y972" s="283"/>
      <c r="Z972" s="283"/>
    </row>
    <row r="973" ht="14.25" customHeight="1">
      <c r="A973" s="283"/>
      <c r="B973" s="283"/>
      <c r="C973" s="283"/>
      <c r="D973" s="283"/>
      <c r="E973" s="283"/>
      <c r="F973" s="283"/>
      <c r="G973" s="283"/>
      <c r="H973" s="283"/>
      <c r="I973" s="283"/>
      <c r="J973" s="283"/>
      <c r="K973" s="283"/>
      <c r="L973" s="283"/>
      <c r="M973" s="283"/>
      <c r="N973" s="283"/>
      <c r="O973" s="283"/>
      <c r="P973" s="283"/>
      <c r="Q973" s="283"/>
      <c r="R973" s="283"/>
      <c r="S973" s="283"/>
      <c r="T973" s="283"/>
      <c r="U973" s="283"/>
      <c r="V973" s="283"/>
      <c r="W973" s="283"/>
      <c r="X973" s="283"/>
      <c r="Y973" s="283"/>
      <c r="Z973" s="283"/>
    </row>
    <row r="974" ht="14.25" customHeight="1">
      <c r="A974" s="283"/>
      <c r="B974" s="283"/>
      <c r="C974" s="283"/>
      <c r="D974" s="283"/>
      <c r="E974" s="283"/>
      <c r="F974" s="283"/>
      <c r="G974" s="283"/>
      <c r="H974" s="283"/>
      <c r="I974" s="283"/>
      <c r="J974" s="283"/>
      <c r="K974" s="283"/>
      <c r="L974" s="283"/>
      <c r="M974" s="283"/>
      <c r="N974" s="283"/>
      <c r="O974" s="283"/>
      <c r="P974" s="283"/>
      <c r="Q974" s="283"/>
      <c r="R974" s="283"/>
      <c r="S974" s="283"/>
      <c r="T974" s="283"/>
      <c r="U974" s="283"/>
      <c r="V974" s="283"/>
      <c r="W974" s="283"/>
      <c r="X974" s="283"/>
      <c r="Y974" s="283"/>
      <c r="Z974" s="283"/>
    </row>
    <row r="975" ht="14.25" customHeight="1">
      <c r="A975" s="283"/>
      <c r="B975" s="283"/>
      <c r="C975" s="283"/>
      <c r="D975" s="283"/>
      <c r="E975" s="283"/>
      <c r="F975" s="283"/>
      <c r="G975" s="283"/>
      <c r="H975" s="283"/>
      <c r="I975" s="283"/>
      <c r="J975" s="283"/>
      <c r="K975" s="283"/>
      <c r="L975" s="283"/>
      <c r="M975" s="283"/>
      <c r="N975" s="283"/>
      <c r="O975" s="283"/>
      <c r="P975" s="283"/>
      <c r="Q975" s="283"/>
      <c r="R975" s="283"/>
      <c r="S975" s="283"/>
      <c r="T975" s="283"/>
      <c r="U975" s="283"/>
      <c r="V975" s="283"/>
      <c r="W975" s="283"/>
      <c r="X975" s="283"/>
      <c r="Y975" s="283"/>
      <c r="Z975" s="283"/>
    </row>
    <row r="976" ht="14.25" customHeight="1">
      <c r="A976" s="283"/>
      <c r="B976" s="283"/>
      <c r="C976" s="283"/>
      <c r="D976" s="283"/>
      <c r="E976" s="283"/>
      <c r="F976" s="283"/>
      <c r="G976" s="283"/>
      <c r="H976" s="283"/>
      <c r="I976" s="283"/>
      <c r="J976" s="283"/>
      <c r="K976" s="283"/>
      <c r="L976" s="283"/>
      <c r="M976" s="283"/>
      <c r="N976" s="283"/>
      <c r="O976" s="283"/>
      <c r="P976" s="283"/>
      <c r="Q976" s="283"/>
      <c r="R976" s="283"/>
      <c r="S976" s="283"/>
      <c r="T976" s="283"/>
      <c r="U976" s="283"/>
      <c r="V976" s="283"/>
      <c r="W976" s="283"/>
      <c r="X976" s="283"/>
      <c r="Y976" s="283"/>
      <c r="Z976" s="283"/>
    </row>
    <row r="977" ht="14.25" customHeight="1">
      <c r="A977" s="283"/>
      <c r="B977" s="283"/>
      <c r="C977" s="283"/>
      <c r="D977" s="283"/>
      <c r="E977" s="283"/>
      <c r="F977" s="283"/>
      <c r="G977" s="283"/>
      <c r="H977" s="283"/>
      <c r="I977" s="283"/>
      <c r="J977" s="283"/>
      <c r="K977" s="283"/>
      <c r="L977" s="283"/>
      <c r="M977" s="283"/>
      <c r="N977" s="283"/>
      <c r="O977" s="283"/>
      <c r="P977" s="283"/>
      <c r="Q977" s="283"/>
      <c r="R977" s="283"/>
      <c r="S977" s="283"/>
      <c r="T977" s="283"/>
      <c r="U977" s="283"/>
      <c r="V977" s="283"/>
      <c r="W977" s="283"/>
      <c r="X977" s="283"/>
      <c r="Y977" s="283"/>
      <c r="Z977" s="283"/>
    </row>
    <row r="978" ht="14.25" customHeight="1">
      <c r="A978" s="283"/>
      <c r="B978" s="283"/>
      <c r="C978" s="283"/>
      <c r="D978" s="283"/>
      <c r="E978" s="283"/>
      <c r="F978" s="283"/>
      <c r="G978" s="283"/>
      <c r="H978" s="283"/>
      <c r="I978" s="283"/>
      <c r="J978" s="283"/>
      <c r="K978" s="283"/>
      <c r="L978" s="283"/>
      <c r="M978" s="283"/>
      <c r="N978" s="283"/>
      <c r="O978" s="283"/>
      <c r="P978" s="283"/>
      <c r="Q978" s="283"/>
      <c r="R978" s="283"/>
      <c r="S978" s="283"/>
      <c r="T978" s="283"/>
      <c r="U978" s="283"/>
      <c r="V978" s="283"/>
      <c r="W978" s="283"/>
      <c r="X978" s="283"/>
      <c r="Y978" s="283"/>
      <c r="Z978" s="283"/>
    </row>
    <row r="979" ht="14.25" customHeight="1">
      <c r="A979" s="283"/>
      <c r="B979" s="283"/>
      <c r="C979" s="283"/>
      <c r="D979" s="283"/>
      <c r="E979" s="283"/>
      <c r="F979" s="283"/>
      <c r="G979" s="283"/>
      <c r="H979" s="283"/>
      <c r="I979" s="283"/>
      <c r="J979" s="283"/>
      <c r="K979" s="283"/>
      <c r="L979" s="283"/>
      <c r="M979" s="283"/>
      <c r="N979" s="283"/>
      <c r="O979" s="283"/>
      <c r="P979" s="283"/>
      <c r="Q979" s="283"/>
      <c r="R979" s="283"/>
      <c r="S979" s="283"/>
      <c r="T979" s="283"/>
      <c r="U979" s="283"/>
      <c r="V979" s="283"/>
      <c r="W979" s="283"/>
      <c r="X979" s="283"/>
      <c r="Y979" s="283"/>
      <c r="Z979" s="283"/>
    </row>
    <row r="980" ht="14.25" customHeight="1">
      <c r="A980" s="283"/>
      <c r="B980" s="283"/>
      <c r="C980" s="283"/>
      <c r="D980" s="283"/>
      <c r="E980" s="283"/>
      <c r="F980" s="283"/>
      <c r="G980" s="283"/>
      <c r="H980" s="283"/>
      <c r="I980" s="283"/>
      <c r="J980" s="283"/>
      <c r="K980" s="283"/>
      <c r="L980" s="283"/>
      <c r="M980" s="283"/>
      <c r="N980" s="283"/>
      <c r="O980" s="283"/>
      <c r="P980" s="283"/>
      <c r="Q980" s="283"/>
      <c r="R980" s="283"/>
      <c r="S980" s="283"/>
      <c r="T980" s="283"/>
      <c r="U980" s="283"/>
      <c r="V980" s="283"/>
      <c r="W980" s="283"/>
      <c r="X980" s="283"/>
      <c r="Y980" s="283"/>
      <c r="Z980" s="283"/>
    </row>
    <row r="981" ht="14.25" customHeight="1">
      <c r="A981" s="283"/>
      <c r="B981" s="283"/>
      <c r="C981" s="283"/>
      <c r="D981" s="283"/>
      <c r="E981" s="283"/>
      <c r="F981" s="283"/>
      <c r="G981" s="283"/>
      <c r="H981" s="283"/>
      <c r="I981" s="283"/>
      <c r="J981" s="283"/>
      <c r="K981" s="283"/>
      <c r="L981" s="283"/>
      <c r="M981" s="283"/>
      <c r="N981" s="283"/>
      <c r="O981" s="283"/>
      <c r="P981" s="283"/>
      <c r="Q981" s="283"/>
      <c r="R981" s="283"/>
      <c r="S981" s="283"/>
      <c r="T981" s="283"/>
      <c r="U981" s="283"/>
      <c r="V981" s="283"/>
      <c r="W981" s="283"/>
      <c r="X981" s="283"/>
      <c r="Y981" s="283"/>
      <c r="Z981" s="283"/>
    </row>
    <row r="982" ht="14.25" customHeight="1">
      <c r="A982" s="283"/>
      <c r="B982" s="283"/>
      <c r="C982" s="283"/>
      <c r="D982" s="283"/>
      <c r="E982" s="283"/>
      <c r="F982" s="283"/>
      <c r="G982" s="283"/>
      <c r="H982" s="283"/>
      <c r="I982" s="283"/>
      <c r="J982" s="283"/>
      <c r="K982" s="283"/>
      <c r="L982" s="283"/>
      <c r="M982" s="283"/>
      <c r="N982" s="283"/>
      <c r="O982" s="283"/>
      <c r="P982" s="283"/>
      <c r="Q982" s="283"/>
      <c r="R982" s="283"/>
      <c r="S982" s="283"/>
      <c r="T982" s="283"/>
      <c r="U982" s="283"/>
      <c r="V982" s="283"/>
      <c r="W982" s="283"/>
      <c r="X982" s="283"/>
      <c r="Y982" s="283"/>
      <c r="Z982" s="283"/>
    </row>
    <row r="983" ht="14.25" customHeight="1">
      <c r="A983" s="283"/>
      <c r="B983" s="283"/>
      <c r="C983" s="283"/>
      <c r="D983" s="283"/>
      <c r="E983" s="283"/>
      <c r="F983" s="283"/>
      <c r="G983" s="283"/>
      <c r="H983" s="283"/>
      <c r="I983" s="283"/>
      <c r="J983" s="283"/>
      <c r="K983" s="283"/>
      <c r="L983" s="283"/>
      <c r="M983" s="283"/>
      <c r="N983" s="283"/>
      <c r="O983" s="283"/>
      <c r="P983" s="283"/>
      <c r="Q983" s="283"/>
      <c r="R983" s="283"/>
      <c r="S983" s="283"/>
      <c r="T983" s="283"/>
      <c r="U983" s="283"/>
      <c r="V983" s="283"/>
      <c r="W983" s="283"/>
      <c r="X983" s="283"/>
      <c r="Y983" s="283"/>
      <c r="Z983" s="283"/>
    </row>
    <row r="984" ht="14.25" customHeight="1">
      <c r="A984" s="283"/>
      <c r="B984" s="283"/>
      <c r="C984" s="283"/>
      <c r="D984" s="283"/>
      <c r="E984" s="283"/>
      <c r="F984" s="283"/>
      <c r="G984" s="283"/>
      <c r="H984" s="283"/>
      <c r="I984" s="283"/>
      <c r="J984" s="283"/>
      <c r="K984" s="283"/>
      <c r="L984" s="283"/>
      <c r="M984" s="283"/>
      <c r="N984" s="283"/>
      <c r="O984" s="283"/>
      <c r="P984" s="283"/>
      <c r="Q984" s="283"/>
      <c r="R984" s="283"/>
      <c r="S984" s="283"/>
      <c r="T984" s="283"/>
      <c r="U984" s="283"/>
      <c r="V984" s="283"/>
      <c r="W984" s="283"/>
      <c r="X984" s="283"/>
      <c r="Y984" s="283"/>
      <c r="Z984" s="283"/>
    </row>
    <row r="985" ht="14.25" customHeight="1">
      <c r="A985" s="283"/>
      <c r="B985" s="283"/>
      <c r="C985" s="283"/>
      <c r="D985" s="283"/>
      <c r="E985" s="283"/>
      <c r="F985" s="283"/>
      <c r="G985" s="283"/>
      <c r="H985" s="283"/>
      <c r="I985" s="283"/>
      <c r="J985" s="283"/>
      <c r="K985" s="283"/>
      <c r="L985" s="283"/>
      <c r="M985" s="283"/>
      <c r="N985" s="283"/>
      <c r="O985" s="283"/>
      <c r="P985" s="283"/>
      <c r="Q985" s="283"/>
      <c r="R985" s="283"/>
      <c r="S985" s="283"/>
      <c r="T985" s="283"/>
      <c r="U985" s="283"/>
      <c r="V985" s="283"/>
      <c r="W985" s="283"/>
      <c r="X985" s="283"/>
      <c r="Y985" s="283"/>
      <c r="Z985" s="283"/>
    </row>
    <row r="986" ht="14.25" customHeight="1">
      <c r="A986" s="283"/>
      <c r="B986" s="283"/>
      <c r="C986" s="283"/>
      <c r="D986" s="283"/>
      <c r="E986" s="283"/>
      <c r="F986" s="283"/>
      <c r="G986" s="283"/>
      <c r="H986" s="283"/>
      <c r="I986" s="283"/>
      <c r="J986" s="283"/>
      <c r="K986" s="283"/>
      <c r="L986" s="283"/>
      <c r="M986" s="283"/>
      <c r="N986" s="283"/>
      <c r="O986" s="283"/>
      <c r="P986" s="283"/>
      <c r="Q986" s="283"/>
      <c r="R986" s="283"/>
      <c r="S986" s="283"/>
      <c r="T986" s="283"/>
      <c r="U986" s="283"/>
      <c r="V986" s="283"/>
      <c r="W986" s="283"/>
      <c r="X986" s="283"/>
      <c r="Y986" s="283"/>
      <c r="Z986" s="283"/>
    </row>
    <row r="987" ht="14.25" customHeight="1">
      <c r="A987" s="283"/>
      <c r="B987" s="283"/>
      <c r="C987" s="283"/>
      <c r="D987" s="283"/>
      <c r="E987" s="283"/>
      <c r="F987" s="283"/>
      <c r="G987" s="283"/>
      <c r="H987" s="283"/>
      <c r="I987" s="283"/>
      <c r="J987" s="283"/>
      <c r="K987" s="283"/>
      <c r="L987" s="283"/>
      <c r="M987" s="283"/>
      <c r="N987" s="283"/>
      <c r="O987" s="283"/>
      <c r="P987" s="283"/>
      <c r="Q987" s="283"/>
      <c r="R987" s="283"/>
      <c r="S987" s="283"/>
      <c r="T987" s="283"/>
      <c r="U987" s="283"/>
      <c r="V987" s="283"/>
      <c r="W987" s="283"/>
      <c r="X987" s="283"/>
      <c r="Y987" s="283"/>
      <c r="Z987" s="283"/>
    </row>
    <row r="988" ht="14.25" customHeight="1">
      <c r="A988" s="283"/>
      <c r="B988" s="283"/>
      <c r="C988" s="283"/>
      <c r="D988" s="283"/>
      <c r="E988" s="283"/>
      <c r="F988" s="283"/>
      <c r="G988" s="283"/>
      <c r="H988" s="283"/>
      <c r="I988" s="283"/>
      <c r="J988" s="283"/>
      <c r="K988" s="283"/>
      <c r="L988" s="283"/>
      <c r="M988" s="283"/>
      <c r="N988" s="283"/>
      <c r="O988" s="283"/>
      <c r="P988" s="283"/>
      <c r="Q988" s="283"/>
      <c r="R988" s="283"/>
      <c r="S988" s="283"/>
      <c r="T988" s="283"/>
      <c r="U988" s="283"/>
      <c r="V988" s="283"/>
      <c r="W988" s="283"/>
      <c r="X988" s="283"/>
      <c r="Y988" s="283"/>
      <c r="Z988" s="283"/>
    </row>
    <row r="989" ht="14.25" customHeight="1">
      <c r="A989" s="283"/>
      <c r="B989" s="283"/>
      <c r="C989" s="283"/>
      <c r="D989" s="283"/>
      <c r="E989" s="283"/>
      <c r="F989" s="283"/>
      <c r="G989" s="283"/>
      <c r="H989" s="283"/>
      <c r="I989" s="283"/>
      <c r="J989" s="283"/>
      <c r="K989" s="283"/>
      <c r="L989" s="283"/>
      <c r="M989" s="283"/>
      <c r="N989" s="283"/>
      <c r="O989" s="283"/>
      <c r="P989" s="283"/>
      <c r="Q989" s="283"/>
      <c r="R989" s="283"/>
      <c r="S989" s="283"/>
      <c r="T989" s="283"/>
      <c r="U989" s="283"/>
      <c r="V989" s="283"/>
      <c r="W989" s="283"/>
      <c r="X989" s="283"/>
      <c r="Y989" s="283"/>
      <c r="Z989" s="283"/>
    </row>
    <row r="990" ht="14.25" customHeight="1">
      <c r="A990" s="283"/>
      <c r="B990" s="283"/>
      <c r="C990" s="283"/>
      <c r="D990" s="283"/>
      <c r="E990" s="283"/>
      <c r="F990" s="283"/>
      <c r="G990" s="283"/>
      <c r="H990" s="283"/>
      <c r="I990" s="283"/>
      <c r="J990" s="283"/>
      <c r="K990" s="283"/>
      <c r="L990" s="283"/>
      <c r="M990" s="283"/>
      <c r="N990" s="283"/>
      <c r="O990" s="283"/>
      <c r="P990" s="283"/>
      <c r="Q990" s="283"/>
      <c r="R990" s="283"/>
      <c r="S990" s="283"/>
      <c r="T990" s="283"/>
      <c r="U990" s="283"/>
      <c r="V990" s="283"/>
      <c r="W990" s="283"/>
      <c r="X990" s="283"/>
      <c r="Y990" s="283"/>
      <c r="Z990" s="283"/>
    </row>
    <row r="991" ht="14.25" customHeight="1">
      <c r="A991" s="283"/>
      <c r="B991" s="283"/>
      <c r="C991" s="283"/>
      <c r="D991" s="283"/>
      <c r="E991" s="283"/>
      <c r="F991" s="283"/>
      <c r="G991" s="283"/>
      <c r="H991" s="283"/>
      <c r="I991" s="283"/>
      <c r="J991" s="283"/>
      <c r="K991" s="283"/>
      <c r="L991" s="283"/>
      <c r="M991" s="283"/>
      <c r="N991" s="283"/>
      <c r="O991" s="283"/>
      <c r="P991" s="283"/>
      <c r="Q991" s="283"/>
      <c r="R991" s="283"/>
      <c r="S991" s="283"/>
      <c r="T991" s="283"/>
      <c r="U991" s="283"/>
      <c r="V991" s="283"/>
      <c r="W991" s="283"/>
      <c r="X991" s="283"/>
      <c r="Y991" s="283"/>
      <c r="Z991" s="283"/>
    </row>
    <row r="992" ht="14.25" customHeight="1">
      <c r="A992" s="283"/>
      <c r="B992" s="283"/>
      <c r="C992" s="283"/>
      <c r="D992" s="283"/>
      <c r="E992" s="283"/>
      <c r="F992" s="283"/>
      <c r="G992" s="283"/>
      <c r="H992" s="283"/>
      <c r="I992" s="283"/>
      <c r="J992" s="283"/>
      <c r="K992" s="283"/>
      <c r="L992" s="283"/>
      <c r="M992" s="283"/>
      <c r="N992" s="283"/>
      <c r="O992" s="283"/>
      <c r="P992" s="283"/>
      <c r="Q992" s="283"/>
      <c r="R992" s="283"/>
      <c r="S992" s="283"/>
      <c r="T992" s="283"/>
      <c r="U992" s="283"/>
      <c r="V992" s="283"/>
      <c r="W992" s="283"/>
      <c r="X992" s="283"/>
      <c r="Y992" s="283"/>
      <c r="Z992" s="283"/>
    </row>
    <row r="993" ht="14.25" customHeight="1">
      <c r="A993" s="283"/>
      <c r="B993" s="283"/>
      <c r="C993" s="283"/>
      <c r="D993" s="283"/>
      <c r="E993" s="283"/>
      <c r="F993" s="283"/>
      <c r="G993" s="283"/>
      <c r="H993" s="283"/>
      <c r="I993" s="283"/>
      <c r="J993" s="283"/>
      <c r="K993" s="283"/>
      <c r="L993" s="283"/>
      <c r="M993" s="283"/>
      <c r="N993" s="283"/>
      <c r="O993" s="283"/>
      <c r="P993" s="283"/>
      <c r="Q993" s="283"/>
      <c r="R993" s="283"/>
      <c r="S993" s="283"/>
      <c r="T993" s="283"/>
      <c r="U993" s="283"/>
      <c r="V993" s="283"/>
      <c r="W993" s="283"/>
      <c r="X993" s="283"/>
      <c r="Y993" s="283"/>
      <c r="Z993" s="283"/>
    </row>
    <row r="994" ht="14.25" customHeight="1">
      <c r="A994" s="283"/>
      <c r="B994" s="283"/>
      <c r="C994" s="283"/>
      <c r="D994" s="283"/>
      <c r="E994" s="283"/>
      <c r="F994" s="283"/>
      <c r="G994" s="283"/>
      <c r="H994" s="283"/>
      <c r="I994" s="283"/>
      <c r="J994" s="283"/>
      <c r="K994" s="283"/>
      <c r="L994" s="283"/>
      <c r="M994" s="283"/>
      <c r="N994" s="283"/>
      <c r="O994" s="283"/>
      <c r="P994" s="283"/>
      <c r="Q994" s="283"/>
      <c r="R994" s="283"/>
      <c r="S994" s="283"/>
      <c r="T994" s="283"/>
      <c r="U994" s="283"/>
      <c r="V994" s="283"/>
      <c r="W994" s="283"/>
      <c r="X994" s="283"/>
      <c r="Y994" s="283"/>
      <c r="Z994" s="283"/>
    </row>
    <row r="995" ht="14.25" customHeight="1">
      <c r="A995" s="283"/>
      <c r="B995" s="283"/>
      <c r="C995" s="283"/>
      <c r="D995" s="283"/>
      <c r="E995" s="283"/>
      <c r="F995" s="283"/>
      <c r="G995" s="283"/>
      <c r="H995" s="283"/>
      <c r="I995" s="283"/>
      <c r="J995" s="283"/>
      <c r="K995" s="283"/>
      <c r="L995" s="283"/>
      <c r="M995" s="283"/>
      <c r="N995" s="283"/>
      <c r="O995" s="283"/>
      <c r="P995" s="283"/>
      <c r="Q995" s="283"/>
      <c r="R995" s="283"/>
      <c r="S995" s="283"/>
      <c r="T995" s="283"/>
      <c r="U995" s="283"/>
      <c r="V995" s="283"/>
      <c r="W995" s="283"/>
      <c r="X995" s="283"/>
      <c r="Y995" s="283"/>
      <c r="Z995" s="283"/>
    </row>
    <row r="996" ht="14.25" customHeight="1">
      <c r="A996" s="283"/>
      <c r="B996" s="283"/>
      <c r="C996" s="283"/>
      <c r="D996" s="283"/>
      <c r="E996" s="283"/>
      <c r="F996" s="283"/>
      <c r="G996" s="283"/>
      <c r="H996" s="283"/>
      <c r="I996" s="283"/>
      <c r="J996" s="283"/>
      <c r="K996" s="283"/>
      <c r="L996" s="283"/>
      <c r="M996" s="283"/>
      <c r="N996" s="283"/>
      <c r="O996" s="283"/>
      <c r="P996" s="283"/>
      <c r="Q996" s="283"/>
      <c r="R996" s="283"/>
      <c r="S996" s="283"/>
      <c r="T996" s="283"/>
      <c r="U996" s="283"/>
      <c r="V996" s="283"/>
      <c r="W996" s="283"/>
      <c r="X996" s="283"/>
      <c r="Y996" s="283"/>
      <c r="Z996" s="283"/>
    </row>
    <row r="997" ht="14.25" customHeight="1">
      <c r="A997" s="283"/>
      <c r="B997" s="283"/>
      <c r="C997" s="283"/>
      <c r="D997" s="283"/>
      <c r="E997" s="283"/>
      <c r="F997" s="283"/>
      <c r="G997" s="283"/>
      <c r="H997" s="283"/>
      <c r="I997" s="283"/>
      <c r="J997" s="283"/>
      <c r="K997" s="283"/>
      <c r="L997" s="283"/>
      <c r="M997" s="283"/>
      <c r="N997" s="283"/>
      <c r="O997" s="283"/>
      <c r="P997" s="283"/>
      <c r="Q997" s="283"/>
      <c r="R997" s="283"/>
      <c r="S997" s="283"/>
      <c r="T997" s="283"/>
      <c r="U997" s="283"/>
      <c r="V997" s="283"/>
      <c r="W997" s="283"/>
      <c r="X997" s="283"/>
      <c r="Y997" s="283"/>
      <c r="Z997" s="283"/>
    </row>
    <row r="998" ht="14.25" customHeight="1">
      <c r="A998" s="283"/>
      <c r="B998" s="283"/>
      <c r="C998" s="283"/>
      <c r="D998" s="283"/>
      <c r="E998" s="283"/>
      <c r="F998" s="283"/>
      <c r="G998" s="283"/>
      <c r="H998" s="283"/>
      <c r="I998" s="283"/>
      <c r="J998" s="283"/>
      <c r="K998" s="283"/>
      <c r="L998" s="283"/>
      <c r="M998" s="283"/>
      <c r="N998" s="283"/>
      <c r="O998" s="283"/>
      <c r="P998" s="283"/>
      <c r="Q998" s="283"/>
      <c r="R998" s="283"/>
      <c r="S998" s="283"/>
      <c r="T998" s="283"/>
      <c r="U998" s="283"/>
      <c r="V998" s="283"/>
      <c r="W998" s="283"/>
      <c r="X998" s="283"/>
      <c r="Y998" s="283"/>
      <c r="Z998" s="283"/>
    </row>
    <row r="999" ht="14.25" customHeight="1">
      <c r="A999" s="283"/>
      <c r="B999" s="283"/>
      <c r="C999" s="283"/>
      <c r="D999" s="283"/>
      <c r="E999" s="283"/>
      <c r="F999" s="283"/>
      <c r="G999" s="283"/>
      <c r="H999" s="283"/>
      <c r="I999" s="283"/>
      <c r="J999" s="283"/>
      <c r="K999" s="283"/>
      <c r="L999" s="283"/>
      <c r="M999" s="283"/>
      <c r="N999" s="283"/>
      <c r="O999" s="283"/>
      <c r="P999" s="283"/>
      <c r="Q999" s="283"/>
      <c r="R999" s="283"/>
      <c r="S999" s="283"/>
      <c r="T999" s="283"/>
      <c r="U999" s="283"/>
      <c r="V999" s="283"/>
      <c r="W999" s="283"/>
      <c r="X999" s="283"/>
      <c r="Y999" s="283"/>
      <c r="Z999" s="283"/>
    </row>
    <row r="1000" ht="14.25" customHeight="1">
      <c r="A1000" s="283"/>
      <c r="B1000" s="283"/>
      <c r="C1000" s="283"/>
      <c r="D1000" s="283"/>
      <c r="E1000" s="283"/>
      <c r="F1000" s="283"/>
      <c r="G1000" s="283"/>
      <c r="H1000" s="283"/>
      <c r="I1000" s="283"/>
      <c r="J1000" s="283"/>
      <c r="K1000" s="283"/>
      <c r="L1000" s="283"/>
      <c r="M1000" s="283"/>
      <c r="N1000" s="283"/>
      <c r="O1000" s="283"/>
      <c r="P1000" s="283"/>
      <c r="Q1000" s="283"/>
      <c r="R1000" s="283"/>
      <c r="S1000" s="283"/>
      <c r="T1000" s="283"/>
      <c r="U1000" s="283"/>
      <c r="V1000" s="283"/>
      <c r="W1000" s="283"/>
      <c r="X1000" s="283"/>
      <c r="Y1000" s="283"/>
      <c r="Z1000" s="283"/>
    </row>
    <row r="1001" ht="14.25" customHeight="1">
      <c r="A1001" s="283"/>
      <c r="B1001" s="283"/>
      <c r="C1001" s="283"/>
      <c r="D1001" s="283"/>
      <c r="E1001" s="283"/>
      <c r="F1001" s="283"/>
      <c r="G1001" s="283"/>
      <c r="H1001" s="283"/>
      <c r="I1001" s="283"/>
      <c r="J1001" s="283"/>
      <c r="K1001" s="283"/>
      <c r="L1001" s="283"/>
      <c r="M1001" s="283"/>
      <c r="N1001" s="283"/>
      <c r="O1001" s="283"/>
      <c r="P1001" s="283"/>
      <c r="Q1001" s="283"/>
      <c r="R1001" s="283"/>
      <c r="S1001" s="283"/>
      <c r="T1001" s="283"/>
      <c r="U1001" s="283"/>
      <c r="V1001" s="283"/>
      <c r="W1001" s="283"/>
      <c r="X1001" s="283"/>
      <c r="Y1001" s="283"/>
      <c r="Z1001" s="283"/>
    </row>
  </sheetData>
  <mergeCells count="9">
    <mergeCell ref="C13:C14"/>
    <mergeCell ref="C11:C12"/>
    <mergeCell ref="B24:B26"/>
    <mergeCell ref="B28:B29"/>
    <mergeCell ref="C15:C16"/>
    <mergeCell ref="B20:B23"/>
    <mergeCell ref="B7:B19"/>
    <mergeCell ref="B3:B6"/>
    <mergeCell ref="D2:K2"/>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
    <col customWidth="1" min="2" max="2" width="46.43"/>
    <col customWidth="1" min="5" max="5" width="9.29"/>
    <col customWidth="1" min="6" max="6" width="2.86"/>
    <col customWidth="1" min="7" max="7" width="46.43"/>
  </cols>
  <sheetData>
    <row r="1">
      <c r="B1" s="2" t="s">
        <v>8173</v>
      </c>
      <c r="G1" s="2" t="s">
        <v>8174</v>
      </c>
    </row>
    <row r="2">
      <c r="A2" s="307" t="s">
        <v>7170</v>
      </c>
      <c r="B2" s="307" t="s">
        <v>7175</v>
      </c>
      <c r="C2" s="307" t="s">
        <v>8175</v>
      </c>
      <c r="D2" s="307" t="s">
        <v>8176</v>
      </c>
      <c r="F2" s="307" t="s">
        <v>7170</v>
      </c>
      <c r="G2" s="307" t="s">
        <v>7175</v>
      </c>
      <c r="H2" s="307" t="s">
        <v>8175</v>
      </c>
      <c r="I2" s="307" t="s">
        <v>8176</v>
      </c>
    </row>
    <row r="3">
      <c r="A3" s="308">
        <v>1.0</v>
      </c>
      <c r="B3" s="240" t="s">
        <v>8177</v>
      </c>
      <c r="C3" s="241"/>
      <c r="D3" s="241"/>
      <c r="F3" s="308">
        <v>1.0</v>
      </c>
      <c r="G3" s="240" t="s">
        <v>8178</v>
      </c>
      <c r="H3" s="241"/>
      <c r="I3" s="241"/>
    </row>
    <row r="4">
      <c r="A4" s="308">
        <v>2.0</v>
      </c>
      <c r="B4" s="240" t="s">
        <v>8179</v>
      </c>
      <c r="C4" s="241"/>
      <c r="D4" s="241"/>
      <c r="F4" s="308">
        <v>2.0</v>
      </c>
      <c r="G4" s="240" t="s">
        <v>8180</v>
      </c>
      <c r="H4" s="241"/>
      <c r="I4" s="241"/>
    </row>
    <row r="5">
      <c r="A5" s="308">
        <v>3.0</v>
      </c>
      <c r="B5" s="240" t="s">
        <v>8181</v>
      </c>
      <c r="C5" s="241"/>
      <c r="D5" s="241"/>
      <c r="F5" s="308">
        <v>3.0</v>
      </c>
      <c r="G5" s="240" t="s">
        <v>8182</v>
      </c>
      <c r="H5" s="241"/>
      <c r="I5" s="241"/>
    </row>
    <row r="6">
      <c r="A6" s="308">
        <v>4.0</v>
      </c>
      <c r="B6" s="240" t="s">
        <v>8183</v>
      </c>
      <c r="C6" s="241"/>
      <c r="D6" s="241"/>
      <c r="F6" s="308">
        <v>4.0</v>
      </c>
      <c r="G6" s="240" t="s">
        <v>8184</v>
      </c>
      <c r="H6" s="241"/>
      <c r="I6" s="241"/>
    </row>
    <row r="7">
      <c r="A7" s="308">
        <v>5.0</v>
      </c>
      <c r="B7" s="240" t="s">
        <v>8185</v>
      </c>
      <c r="C7" s="241"/>
      <c r="D7" s="241"/>
      <c r="F7" s="308">
        <v>5.0</v>
      </c>
      <c r="G7" s="240" t="s">
        <v>8186</v>
      </c>
      <c r="H7" s="241"/>
      <c r="I7" s="241"/>
    </row>
    <row r="8">
      <c r="A8" s="308">
        <v>6.0</v>
      </c>
      <c r="B8" s="240" t="s">
        <v>8187</v>
      </c>
      <c r="C8" s="241"/>
      <c r="D8" s="241"/>
      <c r="F8" s="308">
        <v>6.0</v>
      </c>
      <c r="G8" s="240" t="s">
        <v>8188</v>
      </c>
      <c r="H8" s="241"/>
      <c r="I8" s="241"/>
    </row>
    <row r="9">
      <c r="A9" s="308">
        <v>7.0</v>
      </c>
      <c r="B9" s="240"/>
      <c r="C9" s="241"/>
      <c r="D9" s="241"/>
      <c r="F9" s="308">
        <v>7.0</v>
      </c>
      <c r="G9" s="240" t="s">
        <v>8189</v>
      </c>
      <c r="H9" s="241"/>
      <c r="I9" s="241"/>
    </row>
    <row r="13">
      <c r="B13" s="2" t="s">
        <v>8190</v>
      </c>
      <c r="G13" s="2" t="s">
        <v>8191</v>
      </c>
    </row>
    <row r="14">
      <c r="A14" s="307" t="s">
        <v>7170</v>
      </c>
      <c r="B14" s="307" t="s">
        <v>7175</v>
      </c>
      <c r="C14" s="307" t="s">
        <v>8175</v>
      </c>
      <c r="D14" s="307" t="s">
        <v>8176</v>
      </c>
      <c r="F14" s="307" t="s">
        <v>7170</v>
      </c>
      <c r="G14" s="307" t="s">
        <v>7175</v>
      </c>
      <c r="H14" s="307" t="s">
        <v>8175</v>
      </c>
      <c r="I14" s="307" t="s">
        <v>8176</v>
      </c>
    </row>
    <row r="15">
      <c r="A15" s="308">
        <v>1.0</v>
      </c>
      <c r="B15" s="240"/>
      <c r="C15" s="241"/>
      <c r="D15" s="241"/>
      <c r="F15" s="308">
        <v>1.0</v>
      </c>
      <c r="G15" s="240" t="s">
        <v>8192</v>
      </c>
      <c r="H15" s="241"/>
      <c r="I15" s="241"/>
    </row>
    <row r="16">
      <c r="A16" s="308">
        <v>2.0</v>
      </c>
      <c r="B16" s="240"/>
      <c r="C16" s="241"/>
      <c r="D16" s="241"/>
      <c r="F16" s="308">
        <v>2.0</v>
      </c>
      <c r="G16" s="240" t="s">
        <v>8193</v>
      </c>
      <c r="H16" s="241"/>
      <c r="I16" s="241"/>
    </row>
    <row r="17">
      <c r="A17" s="308">
        <v>3.0</v>
      </c>
      <c r="B17" s="240"/>
      <c r="C17" s="241"/>
      <c r="D17" s="241"/>
      <c r="F17" s="308">
        <v>3.0</v>
      </c>
      <c r="G17" s="240" t="s">
        <v>8194</v>
      </c>
      <c r="H17" s="241"/>
      <c r="I17" s="241"/>
    </row>
    <row r="18">
      <c r="A18" s="308">
        <v>4.0</v>
      </c>
      <c r="B18" s="240"/>
      <c r="C18" s="241"/>
      <c r="D18" s="241"/>
      <c r="F18" s="308">
        <v>4.0</v>
      </c>
      <c r="G18" s="240" t="s">
        <v>8195</v>
      </c>
      <c r="H18" s="241"/>
      <c r="I18" s="241"/>
    </row>
    <row r="19">
      <c r="A19" s="308">
        <v>5.0</v>
      </c>
      <c r="B19" s="240"/>
      <c r="C19" s="241"/>
      <c r="D19" s="241"/>
      <c r="F19" s="308">
        <v>5.0</v>
      </c>
      <c r="G19" s="240" t="s">
        <v>8196</v>
      </c>
      <c r="H19" s="241"/>
      <c r="I19" s="241"/>
    </row>
    <row r="20">
      <c r="A20" s="308">
        <v>6.0</v>
      </c>
      <c r="B20" s="240"/>
      <c r="C20" s="241"/>
      <c r="D20" s="241"/>
      <c r="F20" s="308">
        <v>6.0</v>
      </c>
      <c r="G20" s="240" t="s">
        <v>8197</v>
      </c>
      <c r="H20" s="241"/>
      <c r="I20" s="241"/>
    </row>
    <row r="21">
      <c r="A21" s="308">
        <v>7.0</v>
      </c>
      <c r="B21" s="240"/>
      <c r="C21" s="241"/>
      <c r="D21" s="241"/>
      <c r="F21" s="308">
        <v>7.0</v>
      </c>
      <c r="G21" s="240" t="s">
        <v>8198</v>
      </c>
      <c r="H21" s="241"/>
      <c r="I21" s="241"/>
    </row>
    <row r="22">
      <c r="F22" s="308">
        <v>8.0</v>
      </c>
      <c r="G22" s="240" t="s">
        <v>8188</v>
      </c>
      <c r="H22" s="241"/>
      <c r="I22" s="241"/>
    </row>
    <row r="23">
      <c r="F23" s="308">
        <v>9.0</v>
      </c>
      <c r="G23" s="240" t="s">
        <v>8189</v>
      </c>
      <c r="H23" s="241"/>
      <c r="I23" s="241"/>
    </row>
    <row r="24">
      <c r="B24" s="2"/>
      <c r="G24" s="2"/>
    </row>
    <row r="25">
      <c r="B25" s="2" t="s">
        <v>8200</v>
      </c>
      <c r="G25" s="2" t="s">
        <v>8201</v>
      </c>
    </row>
    <row r="26">
      <c r="A26" s="307" t="s">
        <v>7170</v>
      </c>
      <c r="B26" s="307" t="s">
        <v>7175</v>
      </c>
      <c r="C26" s="307" t="s">
        <v>8175</v>
      </c>
      <c r="D26" s="307" t="s">
        <v>8176</v>
      </c>
      <c r="F26" s="307" t="s">
        <v>7170</v>
      </c>
      <c r="G26" s="307" t="s">
        <v>7175</v>
      </c>
      <c r="H26" s="307" t="s">
        <v>8175</v>
      </c>
      <c r="I26" s="307" t="s">
        <v>8176</v>
      </c>
    </row>
    <row r="27">
      <c r="A27" s="308">
        <v>1.0</v>
      </c>
      <c r="B27" s="240" t="s">
        <v>8202</v>
      </c>
      <c r="C27" s="241"/>
      <c r="D27" s="241"/>
      <c r="F27" s="308">
        <v>1.0</v>
      </c>
      <c r="G27" s="240" t="s">
        <v>8203</v>
      </c>
      <c r="H27" s="241"/>
      <c r="I27" s="241"/>
    </row>
    <row r="28">
      <c r="A28" s="308">
        <v>2.0</v>
      </c>
      <c r="B28" s="240" t="s">
        <v>8204</v>
      </c>
      <c r="C28" s="241"/>
      <c r="D28" s="241"/>
      <c r="F28" s="308">
        <v>2.0</v>
      </c>
      <c r="G28" s="240" t="s">
        <v>8205</v>
      </c>
      <c r="H28" s="241"/>
      <c r="I28" s="241"/>
    </row>
    <row r="29">
      <c r="A29" s="308">
        <v>3.0</v>
      </c>
      <c r="B29" s="240" t="s">
        <v>8206</v>
      </c>
      <c r="C29" s="241"/>
      <c r="D29" s="241"/>
      <c r="F29" s="308">
        <v>3.0</v>
      </c>
      <c r="G29" s="240" t="s">
        <v>8207</v>
      </c>
      <c r="H29" s="241"/>
      <c r="I29" s="241"/>
    </row>
    <row r="30">
      <c r="A30" s="308">
        <v>4.0</v>
      </c>
      <c r="B30" s="240" t="s">
        <v>8208</v>
      </c>
      <c r="C30" s="241"/>
      <c r="D30" s="241"/>
      <c r="F30" s="308">
        <v>4.0</v>
      </c>
      <c r="G30" s="240" t="s">
        <v>8209</v>
      </c>
      <c r="H30" s="241"/>
      <c r="I30" s="241"/>
    </row>
    <row r="31">
      <c r="A31" s="308">
        <v>5.0</v>
      </c>
      <c r="B31" s="240" t="s">
        <v>8210</v>
      </c>
      <c r="C31" s="241"/>
      <c r="D31" s="241"/>
      <c r="F31" s="308">
        <v>5.0</v>
      </c>
      <c r="G31" s="240" t="s">
        <v>8211</v>
      </c>
      <c r="H31" s="241"/>
      <c r="I31" s="241"/>
    </row>
    <row r="32">
      <c r="A32" s="308">
        <v>6.0</v>
      </c>
      <c r="B32" s="240" t="s">
        <v>8212</v>
      </c>
      <c r="C32" s="241"/>
      <c r="D32" s="241"/>
      <c r="F32" s="308">
        <v>6.0</v>
      </c>
      <c r="G32" s="240" t="s">
        <v>8188</v>
      </c>
      <c r="H32" s="241"/>
      <c r="I32" s="241"/>
    </row>
    <row r="33">
      <c r="A33" s="308">
        <v>7.0</v>
      </c>
      <c r="B33" s="240" t="s">
        <v>8213</v>
      </c>
      <c r="C33" s="241"/>
      <c r="D33" s="241"/>
      <c r="F33" s="308">
        <v>7.0</v>
      </c>
      <c r="G33" s="240" t="s">
        <v>8189</v>
      </c>
      <c r="H33" s="241"/>
      <c r="I33" s="241"/>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57"/>
    <col customWidth="1" min="2" max="2" width="27.71"/>
    <col customWidth="1" min="3" max="3" width="41.0"/>
    <col customWidth="1" min="4" max="4" width="36.71"/>
  </cols>
  <sheetData>
    <row r="1">
      <c r="A1" s="309" t="s">
        <v>7471</v>
      </c>
      <c r="B1" s="309" t="s">
        <v>8218</v>
      </c>
      <c r="C1" s="309" t="s">
        <v>8219</v>
      </c>
      <c r="D1" s="309" t="s">
        <v>8220</v>
      </c>
    </row>
    <row r="2">
      <c r="A2" s="310" t="s">
        <v>8221</v>
      </c>
      <c r="B2" s="311" t="s">
        <v>122</v>
      </c>
      <c r="C2" s="310" t="s">
        <v>8223</v>
      </c>
      <c r="D2" s="310" t="s">
        <v>8224</v>
      </c>
    </row>
    <row r="3">
      <c r="A3" s="310" t="s">
        <v>2596</v>
      </c>
      <c r="B3" s="311" t="s">
        <v>122</v>
      </c>
      <c r="C3" s="310" t="s">
        <v>8230</v>
      </c>
      <c r="D3" s="240" t="s">
        <v>8231</v>
      </c>
    </row>
    <row r="4">
      <c r="A4" s="310" t="s">
        <v>8232</v>
      </c>
      <c r="B4" s="310" t="s">
        <v>8234</v>
      </c>
      <c r="C4" s="310" t="s">
        <v>8236</v>
      </c>
      <c r="D4" s="310" t="s">
        <v>8224</v>
      </c>
    </row>
    <row r="5">
      <c r="A5" s="310" t="s">
        <v>8237</v>
      </c>
      <c r="B5" s="311" t="s">
        <v>1400</v>
      </c>
      <c r="C5" s="310" t="s">
        <v>8239</v>
      </c>
      <c r="D5" s="310" t="s">
        <v>8224</v>
      </c>
    </row>
    <row r="6">
      <c r="A6" s="310" t="s">
        <v>160</v>
      </c>
      <c r="B6" s="310" t="s">
        <v>8243</v>
      </c>
      <c r="C6" s="315" t="s">
        <v>8246</v>
      </c>
      <c r="D6" s="310" t="s">
        <v>8224</v>
      </c>
    </row>
    <row r="7">
      <c r="A7" s="310" t="s">
        <v>176</v>
      </c>
      <c r="B7" s="310" t="s">
        <v>8253</v>
      </c>
      <c r="C7" s="315" t="s">
        <v>8259</v>
      </c>
      <c r="D7" s="310" t="s">
        <v>8224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3"/>
    <col customWidth="1" min="2" max="2" width="81.43"/>
  </cols>
  <sheetData>
    <row r="1">
      <c r="A1" s="312" t="s">
        <v>8222</v>
      </c>
      <c r="B1" s="312" t="s">
        <v>8225</v>
      </c>
      <c r="C1" s="312" t="s">
        <v>8226</v>
      </c>
      <c r="D1" s="312" t="s">
        <v>8227</v>
      </c>
      <c r="E1" s="312" t="s">
        <v>1746</v>
      </c>
      <c r="F1" s="312" t="s">
        <v>7214</v>
      </c>
      <c r="G1" s="312" t="s">
        <v>8228</v>
      </c>
      <c r="H1" s="312" t="s">
        <v>8229</v>
      </c>
      <c r="I1" s="313"/>
      <c r="J1" s="313"/>
      <c r="K1" s="313"/>
      <c r="L1" s="313"/>
      <c r="M1" s="313"/>
      <c r="N1" s="313"/>
      <c r="O1" s="313"/>
      <c r="P1" s="313"/>
      <c r="Q1" s="313"/>
      <c r="R1" s="313"/>
      <c r="S1" s="313"/>
      <c r="T1" s="313"/>
      <c r="U1" s="313"/>
      <c r="V1" s="313"/>
      <c r="W1" s="313"/>
      <c r="X1" s="313"/>
      <c r="Y1" s="313"/>
      <c r="Z1" s="313"/>
    </row>
    <row r="2">
      <c r="A2" s="196">
        <v>1.0</v>
      </c>
      <c r="B2" s="49" t="s">
        <v>8233</v>
      </c>
      <c r="C2" s="314" t="s">
        <v>8061</v>
      </c>
      <c r="D2" s="49" t="s">
        <v>8235</v>
      </c>
      <c r="E2" s="49" t="s">
        <v>8235</v>
      </c>
      <c r="F2" s="49" t="s">
        <v>277</v>
      </c>
      <c r="G2" s="50">
        <v>43189.0</v>
      </c>
      <c r="H2" s="49" t="s">
        <v>7250</v>
      </c>
    </row>
    <row r="3">
      <c r="A3" s="196">
        <v>2.0</v>
      </c>
      <c r="B3" s="49" t="s">
        <v>8238</v>
      </c>
      <c r="C3" s="49" t="s">
        <v>7245</v>
      </c>
      <c r="D3" s="49" t="s">
        <v>8235</v>
      </c>
      <c r="E3" s="49" t="s">
        <v>7136</v>
      </c>
      <c r="F3" s="49" t="s">
        <v>277</v>
      </c>
      <c r="G3" s="50">
        <v>43189.0</v>
      </c>
      <c r="H3" s="49" t="s">
        <v>7250</v>
      </c>
    </row>
    <row r="4">
      <c r="A4" s="196">
        <v>3.0</v>
      </c>
      <c r="B4" s="116" t="s">
        <v>8240</v>
      </c>
      <c r="C4" s="116" t="s">
        <v>8241</v>
      </c>
      <c r="D4" s="116" t="s">
        <v>8235</v>
      </c>
      <c r="E4" s="116" t="s">
        <v>7136</v>
      </c>
      <c r="F4" s="116" t="s">
        <v>86</v>
      </c>
      <c r="G4" s="117">
        <v>43220.0</v>
      </c>
      <c r="H4" s="116" t="s">
        <v>7226</v>
      </c>
    </row>
    <row r="5">
      <c r="A5" s="196">
        <v>4.0</v>
      </c>
      <c r="B5" s="116" t="s">
        <v>8242</v>
      </c>
      <c r="C5" s="116" t="s">
        <v>8241</v>
      </c>
      <c r="D5" s="116" t="s">
        <v>8235</v>
      </c>
      <c r="E5" s="116" t="s">
        <v>8235</v>
      </c>
      <c r="F5" s="116" t="s">
        <v>86</v>
      </c>
      <c r="G5" s="117">
        <v>43189.0</v>
      </c>
      <c r="H5" s="116" t="s">
        <v>7226</v>
      </c>
    </row>
    <row r="6">
      <c r="A6" s="196">
        <v>5.0</v>
      </c>
      <c r="B6" s="49" t="s">
        <v>8244</v>
      </c>
      <c r="C6" s="49" t="s">
        <v>7245</v>
      </c>
      <c r="D6" s="49" t="s">
        <v>8235</v>
      </c>
      <c r="E6" s="49" t="s">
        <v>7136</v>
      </c>
      <c r="F6" s="49" t="s">
        <v>277</v>
      </c>
      <c r="G6" s="50">
        <v>43189.0</v>
      </c>
      <c r="H6" s="49" t="s">
        <v>7250</v>
      </c>
    </row>
    <row r="7">
      <c r="A7" s="196">
        <v>6.0</v>
      </c>
      <c r="B7" s="49" t="s">
        <v>8245</v>
      </c>
      <c r="C7" s="49" t="s">
        <v>7245</v>
      </c>
      <c r="D7" s="49" t="s">
        <v>8235</v>
      </c>
      <c r="E7" s="49" t="s">
        <v>8235</v>
      </c>
      <c r="F7" s="49" t="s">
        <v>86</v>
      </c>
      <c r="G7" s="50">
        <v>43168.0</v>
      </c>
      <c r="H7" s="49" t="s">
        <v>7264</v>
      </c>
    </row>
    <row r="8">
      <c r="A8" s="196">
        <v>7.0</v>
      </c>
      <c r="B8" s="49" t="s">
        <v>8247</v>
      </c>
      <c r="C8" s="49" t="s">
        <v>605</v>
      </c>
      <c r="D8" s="49" t="s">
        <v>8235</v>
      </c>
      <c r="E8" s="49" t="s">
        <v>8235</v>
      </c>
      <c r="F8" s="49" t="s">
        <v>86</v>
      </c>
      <c r="G8" s="50">
        <v>43189.0</v>
      </c>
      <c r="H8" s="49" t="s">
        <v>7226</v>
      </c>
    </row>
    <row r="9">
      <c r="A9" s="196">
        <v>8.0</v>
      </c>
      <c r="B9" s="49" t="s">
        <v>8248</v>
      </c>
      <c r="C9" s="49" t="s">
        <v>8249</v>
      </c>
      <c r="D9" s="49" t="s">
        <v>8235</v>
      </c>
      <c r="E9" s="49" t="s">
        <v>8235</v>
      </c>
      <c r="F9" s="49" t="s">
        <v>277</v>
      </c>
      <c r="G9" s="50">
        <v>43160.0</v>
      </c>
      <c r="H9" s="49" t="s">
        <v>7264</v>
      </c>
    </row>
    <row r="10">
      <c r="A10" s="196">
        <v>9.0</v>
      </c>
      <c r="B10" s="49" t="s">
        <v>8250</v>
      </c>
      <c r="C10" s="49" t="s">
        <v>7245</v>
      </c>
      <c r="D10" s="49" t="s">
        <v>8235</v>
      </c>
      <c r="E10" s="49" t="s">
        <v>7136</v>
      </c>
      <c r="F10" s="49" t="s">
        <v>277</v>
      </c>
      <c r="G10" s="50">
        <v>43189.0</v>
      </c>
      <c r="H10" s="49" t="s">
        <v>8251</v>
      </c>
    </row>
    <row r="11">
      <c r="A11" s="196">
        <v>10.0</v>
      </c>
      <c r="B11" s="49" t="s">
        <v>8252</v>
      </c>
      <c r="C11" s="49" t="s">
        <v>8249</v>
      </c>
      <c r="D11" s="49" t="s">
        <v>8235</v>
      </c>
      <c r="E11" s="49" t="s">
        <v>8235</v>
      </c>
      <c r="F11" s="49" t="s">
        <v>139</v>
      </c>
      <c r="G11" s="50">
        <v>43160.0</v>
      </c>
      <c r="H11" s="49" t="s">
        <v>7264</v>
      </c>
    </row>
    <row r="12">
      <c r="A12" s="196">
        <v>11.0</v>
      </c>
      <c r="B12" s="49" t="s">
        <v>8254</v>
      </c>
      <c r="C12" s="49" t="s">
        <v>8061</v>
      </c>
      <c r="D12" s="49" t="s">
        <v>8235</v>
      </c>
      <c r="E12" s="49" t="s">
        <v>8235</v>
      </c>
      <c r="F12" s="49" t="s">
        <v>86</v>
      </c>
      <c r="G12" s="50">
        <v>43164.0</v>
      </c>
      <c r="H12" s="49" t="s">
        <v>8255</v>
      </c>
    </row>
    <row r="13">
      <c r="A13" s="196">
        <v>12.0</v>
      </c>
      <c r="B13" s="49" t="s">
        <v>8256</v>
      </c>
      <c r="C13" s="49" t="s">
        <v>7245</v>
      </c>
      <c r="D13" s="49" t="s">
        <v>7136</v>
      </c>
      <c r="E13" s="49" t="s">
        <v>7136</v>
      </c>
      <c r="F13" s="49" t="s">
        <v>86</v>
      </c>
      <c r="G13" s="50">
        <v>43220.0</v>
      </c>
      <c r="H13" s="49" t="s">
        <v>8255</v>
      </c>
    </row>
    <row r="14">
      <c r="A14" s="196">
        <v>13.0</v>
      </c>
      <c r="B14" s="49" t="s">
        <v>8257</v>
      </c>
      <c r="C14" s="49" t="s">
        <v>7245</v>
      </c>
      <c r="D14" s="49" t="s">
        <v>8258</v>
      </c>
      <c r="E14" s="49" t="s">
        <v>8258</v>
      </c>
      <c r="F14" s="49" t="s">
        <v>86</v>
      </c>
      <c r="G14" s="50">
        <v>43250.0</v>
      </c>
      <c r="H14" s="49" t="s">
        <v>7264</v>
      </c>
    </row>
    <row r="15">
      <c r="A15" s="196">
        <v>14.0</v>
      </c>
      <c r="B15" s="49" t="s">
        <v>8260</v>
      </c>
      <c r="C15" s="49" t="s">
        <v>7245</v>
      </c>
      <c r="D15" s="49" t="s">
        <v>8258</v>
      </c>
      <c r="E15" s="49" t="s">
        <v>8258</v>
      </c>
      <c r="F15" s="49" t="s">
        <v>86</v>
      </c>
      <c r="G15" s="50">
        <v>43281.0</v>
      </c>
      <c r="H15" s="49" t="s">
        <v>8251</v>
      </c>
    </row>
    <row r="16">
      <c r="A16" s="196">
        <v>15.0</v>
      </c>
      <c r="B16" s="49" t="s">
        <v>8261</v>
      </c>
      <c r="C16" s="49" t="s">
        <v>8262</v>
      </c>
      <c r="D16" s="49" t="s">
        <v>8235</v>
      </c>
      <c r="E16" s="49" t="s">
        <v>8235</v>
      </c>
      <c r="F16" s="49" t="s">
        <v>139</v>
      </c>
      <c r="G16" s="50">
        <v>43168.0</v>
      </c>
      <c r="H16" s="49" t="s">
        <v>8251</v>
      </c>
    </row>
    <row r="17">
      <c r="A17" s="196">
        <v>16.0</v>
      </c>
      <c r="B17" s="49" t="s">
        <v>8263</v>
      </c>
      <c r="C17" s="49" t="s">
        <v>8262</v>
      </c>
      <c r="D17" s="49" t="s">
        <v>8235</v>
      </c>
      <c r="E17" s="49" t="s">
        <v>8235</v>
      </c>
      <c r="F17" s="49" t="s">
        <v>139</v>
      </c>
      <c r="G17" s="50">
        <v>43175.0</v>
      </c>
      <c r="H17" s="49" t="s">
        <v>8251</v>
      </c>
    </row>
    <row r="18">
      <c r="A18" s="196">
        <v>17.0</v>
      </c>
      <c r="B18" s="49" t="s">
        <v>8264</v>
      </c>
      <c r="C18" s="49" t="s">
        <v>8249</v>
      </c>
      <c r="D18" s="49" t="s">
        <v>8235</v>
      </c>
      <c r="E18" s="49" t="s">
        <v>8235</v>
      </c>
      <c r="F18" s="49" t="s">
        <v>139</v>
      </c>
      <c r="G18" s="50">
        <v>43160.0</v>
      </c>
      <c r="H18" s="49" t="s">
        <v>7264</v>
      </c>
    </row>
    <row r="19">
      <c r="A19" s="196">
        <v>18.0</v>
      </c>
      <c r="B19" s="49" t="s">
        <v>8265</v>
      </c>
      <c r="C19" s="49" t="s">
        <v>605</v>
      </c>
      <c r="D19" s="49" t="s">
        <v>8235</v>
      </c>
      <c r="E19" s="49" t="s">
        <v>8235</v>
      </c>
      <c r="F19" s="49" t="s">
        <v>139</v>
      </c>
      <c r="G19" s="50">
        <v>43161.0</v>
      </c>
      <c r="H19" s="49" t="s">
        <v>7264</v>
      </c>
    </row>
    <row r="20">
      <c r="A20" s="196">
        <v>19.0</v>
      </c>
      <c r="B20" s="49" t="s">
        <v>8266</v>
      </c>
      <c r="C20" s="49" t="s">
        <v>605</v>
      </c>
      <c r="D20" s="49" t="s">
        <v>8235</v>
      </c>
      <c r="E20" s="49" t="s">
        <v>8235</v>
      </c>
      <c r="F20" s="49" t="s">
        <v>139</v>
      </c>
      <c r="G20" s="50">
        <v>43164.0</v>
      </c>
      <c r="H20" s="49" t="s">
        <v>7264</v>
      </c>
    </row>
    <row r="21">
      <c r="A21" s="196">
        <v>20.0</v>
      </c>
      <c r="B21" s="49" t="s">
        <v>1520</v>
      </c>
      <c r="C21" s="49" t="s">
        <v>605</v>
      </c>
      <c r="D21" s="49" t="s">
        <v>7136</v>
      </c>
      <c r="E21" s="49" t="s">
        <v>7136</v>
      </c>
      <c r="F21" s="49" t="s">
        <v>86</v>
      </c>
      <c r="G21" s="50">
        <v>43220.0</v>
      </c>
      <c r="H21" s="49" t="s">
        <v>8251</v>
      </c>
    </row>
    <row r="22">
      <c r="A22" s="316">
        <v>21.0</v>
      </c>
      <c r="B22" s="116" t="s">
        <v>8267</v>
      </c>
      <c r="C22" s="116" t="s">
        <v>8241</v>
      </c>
      <c r="D22" s="116" t="s">
        <v>8235</v>
      </c>
      <c r="E22" s="116" t="s">
        <v>8258</v>
      </c>
      <c r="F22" s="116" t="s">
        <v>86</v>
      </c>
      <c r="G22" s="117">
        <v>43281.0</v>
      </c>
      <c r="H22" s="116" t="s">
        <v>7226</v>
      </c>
    </row>
    <row r="23">
      <c r="A23" s="316">
        <v>22.0</v>
      </c>
      <c r="B23" s="116" t="s">
        <v>8268</v>
      </c>
      <c r="C23" s="116" t="s">
        <v>8241</v>
      </c>
      <c r="D23" s="116" t="s">
        <v>8235</v>
      </c>
      <c r="E23" s="116" t="s">
        <v>8258</v>
      </c>
      <c r="F23" s="116" t="s">
        <v>86</v>
      </c>
      <c r="G23" s="117">
        <v>43281.0</v>
      </c>
      <c r="H23" s="116" t="s">
        <v>7264</v>
      </c>
    </row>
    <row r="24">
      <c r="A24" s="196">
        <v>23.0</v>
      </c>
      <c r="B24" s="49" t="s">
        <v>8269</v>
      </c>
      <c r="C24" s="49" t="s">
        <v>8262</v>
      </c>
      <c r="D24" s="49" t="s">
        <v>8235</v>
      </c>
      <c r="E24" s="49" t="s">
        <v>8235</v>
      </c>
      <c r="F24" s="49" t="s">
        <v>139</v>
      </c>
      <c r="G24" s="50">
        <v>43182.0</v>
      </c>
      <c r="H24" s="49" t="s">
        <v>8251</v>
      </c>
    </row>
    <row r="25">
      <c r="A25" s="196">
        <v>24.0</v>
      </c>
      <c r="B25" s="2" t="s">
        <v>8270</v>
      </c>
      <c r="C25" s="49" t="s">
        <v>8249</v>
      </c>
      <c r="D25" s="49" t="s">
        <v>8235</v>
      </c>
      <c r="E25" s="49" t="s">
        <v>8235</v>
      </c>
      <c r="F25" s="49" t="s">
        <v>139</v>
      </c>
      <c r="G25" s="50">
        <v>43189.0</v>
      </c>
      <c r="H25" s="49" t="s">
        <v>7264</v>
      </c>
    </row>
    <row r="26">
      <c r="A26" s="2">
        <v>25.0</v>
      </c>
      <c r="B26" s="2" t="s">
        <v>6027</v>
      </c>
      <c r="C26" s="49" t="s">
        <v>605</v>
      </c>
      <c r="D26" s="49" t="s">
        <v>8235</v>
      </c>
      <c r="E26" s="49" t="s">
        <v>8235</v>
      </c>
      <c r="F26" s="49" t="s">
        <v>86</v>
      </c>
      <c r="G26" s="50">
        <v>43266.0</v>
      </c>
      <c r="H26" s="49" t="s">
        <v>8255</v>
      </c>
    </row>
    <row r="27">
      <c r="A27" s="2">
        <v>27.0</v>
      </c>
      <c r="B27" s="2" t="s">
        <v>8271</v>
      </c>
      <c r="C27" s="49" t="s">
        <v>605</v>
      </c>
      <c r="D27" s="49" t="s">
        <v>7136</v>
      </c>
      <c r="E27" s="49" t="s">
        <v>7136</v>
      </c>
      <c r="F27" s="49" t="s">
        <v>86</v>
      </c>
      <c r="G27" s="50">
        <v>43273.0</v>
      </c>
      <c r="H27" s="49" t="s">
        <v>7264</v>
      </c>
    </row>
    <row r="28">
      <c r="A28" s="2">
        <v>28.0</v>
      </c>
      <c r="B28" s="49" t="s">
        <v>8272</v>
      </c>
      <c r="C28" s="49" t="s">
        <v>605</v>
      </c>
      <c r="D28" s="49" t="s">
        <v>8235</v>
      </c>
      <c r="E28" s="49" t="s">
        <v>8235</v>
      </c>
      <c r="F28" s="49" t="s">
        <v>86</v>
      </c>
      <c r="G28" s="50">
        <v>43238.0</v>
      </c>
      <c r="H28" s="49" t="s">
        <v>7264</v>
      </c>
    </row>
    <row r="29">
      <c r="A29" s="2">
        <v>29.0</v>
      </c>
      <c r="B29" s="49" t="s">
        <v>8273</v>
      </c>
      <c r="C29" s="49" t="s">
        <v>605</v>
      </c>
      <c r="D29" s="49" t="s">
        <v>8235</v>
      </c>
      <c r="E29" s="49" t="s">
        <v>8235</v>
      </c>
      <c r="F29" s="49" t="s">
        <v>86</v>
      </c>
      <c r="G29" s="50">
        <v>43238.0</v>
      </c>
      <c r="H29" s="49" t="s">
        <v>7264</v>
      </c>
    </row>
    <row r="30">
      <c r="A30" s="2">
        <v>30.0</v>
      </c>
      <c r="B30" s="49" t="s">
        <v>8274</v>
      </c>
      <c r="C30" s="49" t="s">
        <v>605</v>
      </c>
      <c r="D30" s="49" t="s">
        <v>8235</v>
      </c>
      <c r="E30" s="49" t="s">
        <v>8235</v>
      </c>
      <c r="F30" s="49" t="s">
        <v>86</v>
      </c>
      <c r="G30" s="50">
        <v>43238.0</v>
      </c>
      <c r="H30" s="49" t="s">
        <v>7264</v>
      </c>
    </row>
    <row r="31">
      <c r="A31" s="2">
        <v>31.0</v>
      </c>
      <c r="B31" s="49" t="s">
        <v>8275</v>
      </c>
      <c r="C31" s="49" t="s">
        <v>605</v>
      </c>
      <c r="D31" s="49" t="s">
        <v>8235</v>
      </c>
      <c r="E31" s="49" t="s">
        <v>8235</v>
      </c>
      <c r="F31" s="49" t="s">
        <v>86</v>
      </c>
      <c r="G31" s="50">
        <v>43238.0</v>
      </c>
      <c r="H31" s="49" t="s">
        <v>7264</v>
      </c>
    </row>
    <row r="32">
      <c r="A32" s="2">
        <v>32.0</v>
      </c>
      <c r="B32" s="49" t="s">
        <v>8276</v>
      </c>
      <c r="C32" s="49" t="s">
        <v>605</v>
      </c>
      <c r="D32" s="49" t="s">
        <v>8235</v>
      </c>
      <c r="E32" s="49" t="s">
        <v>8235</v>
      </c>
      <c r="F32" s="49" t="s">
        <v>86</v>
      </c>
      <c r="G32" s="50">
        <v>43238.0</v>
      </c>
      <c r="H32" s="49" t="s">
        <v>7264</v>
      </c>
    </row>
    <row r="33">
      <c r="A33" s="2">
        <v>33.0</v>
      </c>
      <c r="B33" s="49" t="s">
        <v>8277</v>
      </c>
      <c r="C33" s="49" t="s">
        <v>605</v>
      </c>
      <c r="D33" s="49" t="s">
        <v>8235</v>
      </c>
      <c r="E33" s="49" t="s">
        <v>8235</v>
      </c>
      <c r="F33" s="49" t="s">
        <v>139</v>
      </c>
      <c r="G33" s="50">
        <v>43238.0</v>
      </c>
      <c r="H33" s="49" t="s">
        <v>7264</v>
      </c>
    </row>
    <row r="34">
      <c r="A34" s="2">
        <v>34.0</v>
      </c>
      <c r="B34" s="49" t="s">
        <v>8278</v>
      </c>
      <c r="C34" s="49" t="s">
        <v>605</v>
      </c>
      <c r="D34" s="49" t="s">
        <v>8235</v>
      </c>
      <c r="E34" s="49" t="s">
        <v>8235</v>
      </c>
      <c r="F34" s="49" t="s">
        <v>139</v>
      </c>
      <c r="G34" s="50">
        <v>43238.0</v>
      </c>
      <c r="H34" s="49" t="s">
        <v>7264</v>
      </c>
    </row>
  </sheetData>
  <autoFilter ref="$A$1:$Z$34"/>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29.57"/>
    <col customWidth="1" min="3" max="3" width="95.86"/>
  </cols>
  <sheetData>
    <row r="1">
      <c r="A1" s="2" t="s">
        <v>8279</v>
      </c>
      <c r="B1" s="317"/>
      <c r="C1" s="317"/>
    </row>
    <row r="2">
      <c r="A2" s="318" t="s">
        <v>8280</v>
      </c>
      <c r="B2" s="319" t="s">
        <v>8281</v>
      </c>
      <c r="C2" s="319" t="s">
        <v>8282</v>
      </c>
      <c r="D2" s="319" t="s">
        <v>8283</v>
      </c>
    </row>
    <row r="3">
      <c r="A3" s="320" t="s">
        <v>8284</v>
      </c>
      <c r="B3" s="321" t="s">
        <v>8285</v>
      </c>
      <c r="C3" s="321" t="s">
        <v>8286</v>
      </c>
    </row>
    <row r="4">
      <c r="A4" s="320" t="s">
        <v>8287</v>
      </c>
      <c r="B4" s="321" t="s">
        <v>8288</v>
      </c>
      <c r="C4" s="321" t="s">
        <v>8289</v>
      </c>
    </row>
    <row r="5">
      <c r="A5" s="320" t="s">
        <v>8290</v>
      </c>
      <c r="B5" s="321" t="s">
        <v>8291</v>
      </c>
      <c r="C5" s="321" t="s">
        <v>8292</v>
      </c>
      <c r="D5" s="2" t="s">
        <v>8293</v>
      </c>
    </row>
    <row r="6">
      <c r="A6" s="320" t="s">
        <v>8294</v>
      </c>
      <c r="B6" s="321" t="s">
        <v>8295</v>
      </c>
      <c r="C6" s="321" t="s">
        <v>8296</v>
      </c>
      <c r="D6" s="2" t="s">
        <v>8293</v>
      </c>
    </row>
    <row r="7">
      <c r="A7" s="320" t="s">
        <v>8297</v>
      </c>
      <c r="B7" s="321" t="s">
        <v>8298</v>
      </c>
      <c r="C7" s="322"/>
      <c r="D7" s="2" t="s">
        <v>8293</v>
      </c>
    </row>
    <row r="8">
      <c r="A8" s="320" t="s">
        <v>8299</v>
      </c>
      <c r="B8" s="321" t="s">
        <v>8300</v>
      </c>
      <c r="C8" s="321" t="s">
        <v>8301</v>
      </c>
      <c r="D8" s="2" t="s">
        <v>8293</v>
      </c>
    </row>
    <row r="9">
      <c r="A9" s="320" t="s">
        <v>8302</v>
      </c>
      <c r="B9" s="321" t="s">
        <v>8303</v>
      </c>
      <c r="C9" s="322"/>
      <c r="D9" s="2" t="s">
        <v>8304</v>
      </c>
    </row>
    <row r="10">
      <c r="A10" s="320" t="s">
        <v>8305</v>
      </c>
      <c r="B10" s="321" t="s">
        <v>8306</v>
      </c>
      <c r="C10" s="322"/>
      <c r="D10" s="2" t="s">
        <v>8304</v>
      </c>
    </row>
    <row r="11">
      <c r="A11" s="320" t="s">
        <v>8307</v>
      </c>
      <c r="B11" s="321" t="s">
        <v>8308</v>
      </c>
      <c r="C11" s="322"/>
      <c r="D11" s="2" t="s">
        <v>8304</v>
      </c>
    </row>
    <row r="12">
      <c r="A12" s="320" t="s">
        <v>8309</v>
      </c>
      <c r="B12" s="321" t="s">
        <v>8310</v>
      </c>
      <c r="C12" s="321" t="s">
        <v>8311</v>
      </c>
      <c r="D12" s="2" t="s">
        <v>8309</v>
      </c>
    </row>
    <row r="13">
      <c r="A13" s="320" t="s">
        <v>8312</v>
      </c>
      <c r="B13" s="321" t="s">
        <v>8313</v>
      </c>
      <c r="C13" s="321" t="s">
        <v>8314</v>
      </c>
      <c r="D13" s="2" t="s">
        <v>8315</v>
      </c>
    </row>
    <row r="14">
      <c r="A14" s="320" t="s">
        <v>8316</v>
      </c>
      <c r="B14" s="321" t="s">
        <v>8317</v>
      </c>
      <c r="C14" s="321" t="s">
        <v>8318</v>
      </c>
      <c r="D14" s="2" t="s">
        <v>8319</v>
      </c>
      <c r="E14" s="2" t="s">
        <v>8320</v>
      </c>
    </row>
    <row r="15">
      <c r="A15" s="320" t="s">
        <v>8321</v>
      </c>
      <c r="B15" s="321" t="s">
        <v>8322</v>
      </c>
      <c r="C15" s="321" t="s">
        <v>8323</v>
      </c>
      <c r="D15" s="2" t="s">
        <v>8315</v>
      </c>
      <c r="E15" s="2" t="s">
        <v>8324</v>
      </c>
    </row>
    <row r="16">
      <c r="A16" s="320" t="s">
        <v>8325</v>
      </c>
      <c r="C16" s="321" t="s">
        <v>8326</v>
      </c>
      <c r="D16" s="2" t="s">
        <v>8319</v>
      </c>
    </row>
    <row r="17">
      <c r="A17" s="320" t="s">
        <v>8327</v>
      </c>
      <c r="B17" s="321" t="s">
        <v>8328</v>
      </c>
      <c r="C17" s="321" t="s">
        <v>8329</v>
      </c>
      <c r="D17" s="2" t="s">
        <v>8319</v>
      </c>
    </row>
    <row r="18">
      <c r="A18" s="2" t="s">
        <v>8330</v>
      </c>
    </row>
    <row r="19">
      <c r="A19" s="318" t="s">
        <v>8280</v>
      </c>
      <c r="B19" s="319" t="s">
        <v>8281</v>
      </c>
      <c r="C19" s="319" t="s">
        <v>8282</v>
      </c>
      <c r="D19" s="319" t="s">
        <v>8283</v>
      </c>
    </row>
    <row r="20">
      <c r="A20" s="320" t="s">
        <v>8284</v>
      </c>
      <c r="B20" s="321" t="s">
        <v>8285</v>
      </c>
      <c r="C20" s="321" t="s">
        <v>8286</v>
      </c>
    </row>
    <row r="21">
      <c r="A21" s="320" t="s">
        <v>8287</v>
      </c>
      <c r="B21" s="321" t="s">
        <v>8288</v>
      </c>
      <c r="C21" s="321" t="s">
        <v>8289</v>
      </c>
    </row>
    <row r="22">
      <c r="A22" s="320" t="s">
        <v>8290</v>
      </c>
      <c r="B22" s="321" t="s">
        <v>8291</v>
      </c>
      <c r="C22" s="321" t="s">
        <v>8292</v>
      </c>
      <c r="D22" s="2" t="s">
        <v>8293</v>
      </c>
    </row>
    <row r="23">
      <c r="A23" s="320" t="s">
        <v>8297</v>
      </c>
      <c r="B23" s="321" t="s">
        <v>8298</v>
      </c>
      <c r="C23" s="322"/>
      <c r="D23" s="2" t="s">
        <v>8293</v>
      </c>
    </row>
    <row r="24">
      <c r="A24" s="320" t="s">
        <v>8299</v>
      </c>
      <c r="B24" s="321" t="s">
        <v>8300</v>
      </c>
      <c r="C24" s="321" t="s">
        <v>8301</v>
      </c>
      <c r="D24" s="2" t="s">
        <v>8293</v>
      </c>
    </row>
    <row r="25">
      <c r="A25" s="320" t="s">
        <v>8331</v>
      </c>
      <c r="B25" s="321" t="s">
        <v>8306</v>
      </c>
      <c r="C25" s="322"/>
      <c r="D25" s="2" t="s">
        <v>8304</v>
      </c>
    </row>
    <row r="26">
      <c r="A26" s="320" t="s">
        <v>8332</v>
      </c>
      <c r="B26" s="321" t="s">
        <v>8333</v>
      </c>
      <c r="C26" s="322"/>
      <c r="D26" s="2"/>
    </row>
    <row r="27">
      <c r="A27" s="320" t="s">
        <v>8312</v>
      </c>
      <c r="B27" s="321" t="s">
        <v>8313</v>
      </c>
      <c r="C27" s="321" t="s">
        <v>8314</v>
      </c>
      <c r="D27" s="2" t="s">
        <v>8293</v>
      </c>
    </row>
    <row r="28">
      <c r="A28" s="320" t="s">
        <v>8316</v>
      </c>
      <c r="B28" s="321" t="s">
        <v>8317</v>
      </c>
      <c r="C28" s="321" t="s">
        <v>8318</v>
      </c>
      <c r="D28" s="2" t="s">
        <v>8315</v>
      </c>
    </row>
    <row r="29">
      <c r="A29" s="320" t="s">
        <v>8321</v>
      </c>
      <c r="B29" s="321" t="s">
        <v>8334</v>
      </c>
      <c r="C29" s="321" t="s">
        <v>8323</v>
      </c>
      <c r="D29" s="2" t="s">
        <v>8315</v>
      </c>
    </row>
    <row r="30">
      <c r="A30" s="320" t="s">
        <v>8335</v>
      </c>
      <c r="B30" s="321" t="s">
        <v>8336</v>
      </c>
      <c r="C30" s="322"/>
      <c r="D30" s="2" t="s">
        <v>8293</v>
      </c>
    </row>
    <row r="31">
      <c r="A31" s="320" t="s">
        <v>8337</v>
      </c>
      <c r="B31" s="323"/>
      <c r="C31" s="321" t="s">
        <v>8338</v>
      </c>
    </row>
    <row r="32">
      <c r="A32" s="320" t="s">
        <v>8339</v>
      </c>
      <c r="B32" s="324" t="s">
        <v>8340</v>
      </c>
      <c r="C32" s="322"/>
      <c r="D32" s="2" t="s">
        <v>8319</v>
      </c>
    </row>
    <row r="33">
      <c r="A33" s="320" t="s">
        <v>8341</v>
      </c>
      <c r="B33" s="324" t="s">
        <v>8342</v>
      </c>
      <c r="C33" s="322"/>
      <c r="D33" s="2" t="s">
        <v>8319</v>
      </c>
    </row>
    <row r="34">
      <c r="A34" s="320" t="s">
        <v>8309</v>
      </c>
      <c r="B34" s="321" t="s">
        <v>8310</v>
      </c>
      <c r="C34" s="321" t="s">
        <v>8311</v>
      </c>
      <c r="D34" s="2" t="s">
        <v>8309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57"/>
    <col customWidth="1" min="2" max="2" width="109.14"/>
    <col customWidth="1" min="3" max="3" width="11.29"/>
    <col customWidth="1" min="4" max="4" width="11.0"/>
    <col customWidth="1" min="5" max="5" width="11.43"/>
    <col customWidth="1" min="6" max="6" width="10.29"/>
    <col customWidth="1" min="7" max="7" width="12.29"/>
    <col customWidth="1" min="8" max="8" width="14.71"/>
    <col customWidth="1" min="9" max="9" width="12.86"/>
    <col customWidth="1" min="10" max="10" width="14.57"/>
  </cols>
  <sheetData>
    <row r="1">
      <c r="A1" s="4" t="s">
        <v>8</v>
      </c>
      <c r="B1" s="5" t="s">
        <v>9</v>
      </c>
      <c r="C1" s="6"/>
      <c r="D1" s="6"/>
      <c r="E1" s="6"/>
      <c r="F1" s="6"/>
      <c r="G1" s="6"/>
      <c r="H1" s="6"/>
      <c r="I1" s="7" t="s">
        <v>10</v>
      </c>
      <c r="J1" s="8">
        <v>43333.74493055556</v>
      </c>
      <c r="K1" s="9"/>
      <c r="L1" s="9"/>
      <c r="M1" s="9"/>
      <c r="N1" s="9"/>
      <c r="O1" s="9"/>
      <c r="P1" s="9"/>
      <c r="Q1" s="9"/>
      <c r="R1" s="9"/>
      <c r="S1" s="9"/>
      <c r="T1" s="9"/>
      <c r="U1" s="9"/>
      <c r="V1" s="9"/>
      <c r="W1" s="9"/>
      <c r="X1" s="9"/>
      <c r="Y1" s="9"/>
      <c r="Z1" s="9"/>
    </row>
    <row r="2">
      <c r="A2" s="11" t="s">
        <v>18</v>
      </c>
      <c r="B2" s="12" t="s">
        <v>34</v>
      </c>
      <c r="C2" s="12" t="s">
        <v>45</v>
      </c>
      <c r="D2" s="12" t="s">
        <v>46</v>
      </c>
      <c r="E2" s="12" t="s">
        <v>48</v>
      </c>
      <c r="F2" s="12" t="s">
        <v>49</v>
      </c>
      <c r="G2" s="12" t="s">
        <v>50</v>
      </c>
      <c r="H2" s="12" t="s">
        <v>51</v>
      </c>
      <c r="I2" s="12" t="s">
        <v>53</v>
      </c>
      <c r="J2" s="12" t="s">
        <v>54</v>
      </c>
      <c r="K2" s="9"/>
      <c r="L2" s="9"/>
      <c r="M2" s="9"/>
      <c r="N2" s="9"/>
      <c r="O2" s="9"/>
      <c r="P2" s="9"/>
      <c r="Q2" s="9"/>
      <c r="R2" s="9"/>
      <c r="S2" s="9"/>
      <c r="T2" s="9"/>
      <c r="U2" s="9"/>
      <c r="V2" s="9"/>
      <c r="W2" s="9"/>
      <c r="X2" s="9"/>
      <c r="Y2" s="9"/>
      <c r="Z2" s="9"/>
    </row>
    <row r="3">
      <c r="A3" s="17" t="str">
        <f>hyperlink("https://issues.sierrawireless.com/browse/OEMPRI-7142", "OEMPRI-7142")</f>
        <v>OEMPRI-7142</v>
      </c>
      <c r="B3" s="19" t="s">
        <v>80</v>
      </c>
      <c r="C3" s="19" t="s">
        <v>86</v>
      </c>
      <c r="D3" s="20">
        <v>43235.0</v>
      </c>
      <c r="E3" s="27" t="s">
        <v>92</v>
      </c>
      <c r="F3" s="19" t="s">
        <v>119</v>
      </c>
      <c r="G3" s="19" t="s">
        <v>120</v>
      </c>
      <c r="H3" s="30" t="s">
        <v>122</v>
      </c>
      <c r="I3" s="32">
        <v>43332.0</v>
      </c>
      <c r="J3" s="32">
        <v>43336.0</v>
      </c>
      <c r="K3" s="9"/>
      <c r="L3" s="9"/>
      <c r="M3" s="9"/>
      <c r="N3" s="9"/>
      <c r="O3" s="9"/>
      <c r="P3" s="9"/>
      <c r="Q3" s="9"/>
      <c r="R3" s="9"/>
      <c r="S3" s="9"/>
      <c r="T3" s="9"/>
      <c r="U3" s="9"/>
      <c r="V3" s="9"/>
      <c r="W3" s="9"/>
      <c r="X3" s="9"/>
      <c r="Y3" s="9"/>
      <c r="Z3" s="9"/>
    </row>
    <row r="4" hidden="1">
      <c r="A4" s="34" t="str">
        <f>hyperlink("https://issues.sierrawireless.com/browse/OEMPRI-7183", "OEMPRI-7183")</f>
        <v>OEMPRI-7183</v>
      </c>
      <c r="B4" s="36" t="s">
        <v>142</v>
      </c>
      <c r="C4" s="36" t="s">
        <v>139</v>
      </c>
      <c r="D4" s="38">
        <v>43238.0</v>
      </c>
      <c r="E4" s="39">
        <v>43243.0</v>
      </c>
      <c r="F4" s="36" t="s">
        <v>147</v>
      </c>
      <c r="G4" s="36" t="s">
        <v>148</v>
      </c>
      <c r="H4" s="40" t="s">
        <v>149</v>
      </c>
      <c r="I4" s="41">
        <v>43276.0</v>
      </c>
      <c r="J4" s="41">
        <v>43276.0</v>
      </c>
      <c r="K4" s="42"/>
      <c r="L4" s="42"/>
      <c r="M4" s="42"/>
      <c r="N4" s="42"/>
      <c r="O4" s="42"/>
      <c r="P4" s="42"/>
      <c r="Q4" s="42"/>
      <c r="R4" s="42"/>
      <c r="S4" s="42"/>
      <c r="T4" s="42"/>
      <c r="U4" s="42"/>
      <c r="V4" s="42"/>
      <c r="W4" s="42"/>
      <c r="X4" s="42"/>
      <c r="Y4" s="42"/>
      <c r="Z4" s="42"/>
    </row>
    <row r="5" hidden="1">
      <c r="A5" s="34" t="str">
        <f t="shared" ref="A5:A6" si="1">hyperlink("https://issues.sierrawireless.com/browse/OEMPRI-7325", "OEMPRI-7325")</f>
        <v>OEMPRI-7325</v>
      </c>
      <c r="B5" s="36" t="s">
        <v>157</v>
      </c>
      <c r="C5" s="36" t="s">
        <v>139</v>
      </c>
      <c r="D5" s="38">
        <v>43255.0</v>
      </c>
      <c r="E5" s="39" t="s">
        <v>92</v>
      </c>
      <c r="F5" s="36" t="s">
        <v>160</v>
      </c>
      <c r="G5" s="36" t="s">
        <v>141</v>
      </c>
      <c r="H5" s="40" t="s">
        <v>141</v>
      </c>
      <c r="I5" s="41">
        <v>43276.0</v>
      </c>
      <c r="J5" s="41">
        <v>43262.0</v>
      </c>
      <c r="K5" s="42"/>
      <c r="L5" s="42"/>
      <c r="M5" s="42"/>
      <c r="N5" s="42"/>
      <c r="O5" s="42"/>
      <c r="P5" s="42"/>
      <c r="Q5" s="42"/>
      <c r="R5" s="42"/>
      <c r="S5" s="42"/>
      <c r="T5" s="42"/>
      <c r="U5" s="42"/>
      <c r="V5" s="42"/>
      <c r="W5" s="42"/>
      <c r="X5" s="42"/>
      <c r="Y5" s="42"/>
      <c r="Z5" s="42"/>
    </row>
    <row r="6" hidden="1">
      <c r="A6" s="34" t="str">
        <f t="shared" si="1"/>
        <v>OEMPRI-7325</v>
      </c>
      <c r="B6" s="36" t="s">
        <v>161</v>
      </c>
      <c r="C6" s="36" t="s">
        <v>86</v>
      </c>
      <c r="D6" s="38">
        <v>43255.0</v>
      </c>
      <c r="E6" s="39" t="s">
        <v>92</v>
      </c>
      <c r="F6" s="36" t="s">
        <v>160</v>
      </c>
      <c r="G6" s="36" t="s">
        <v>140</v>
      </c>
      <c r="H6" s="40" t="s">
        <v>141</v>
      </c>
      <c r="I6" s="41">
        <v>43276.0</v>
      </c>
      <c r="J6" s="41">
        <v>43262.0</v>
      </c>
      <c r="K6" s="42"/>
      <c r="L6" s="42"/>
      <c r="M6" s="42"/>
      <c r="N6" s="42"/>
      <c r="O6" s="42"/>
      <c r="P6" s="42"/>
      <c r="Q6" s="42"/>
      <c r="R6" s="42"/>
      <c r="S6" s="42"/>
      <c r="T6" s="42"/>
      <c r="U6" s="42"/>
      <c r="V6" s="42"/>
      <c r="W6" s="42"/>
      <c r="X6" s="42"/>
      <c r="Y6" s="42"/>
      <c r="Z6" s="42"/>
    </row>
    <row r="7" hidden="1">
      <c r="A7" s="34" t="str">
        <f>hyperlink("https://issues.sierrawireless.com/browse/OEMPRI-7326", "OEMPRI-7326")</f>
        <v>OEMPRI-7326</v>
      </c>
      <c r="B7" s="36" t="s">
        <v>161</v>
      </c>
      <c r="C7" s="36" t="s">
        <v>139</v>
      </c>
      <c r="D7" s="38">
        <v>43255.0</v>
      </c>
      <c r="E7" s="39" t="s">
        <v>92</v>
      </c>
      <c r="F7" s="36" t="s">
        <v>160</v>
      </c>
      <c r="G7" s="36" t="s">
        <v>141</v>
      </c>
      <c r="H7" s="40" t="s">
        <v>141</v>
      </c>
      <c r="I7" s="41">
        <v>43276.0</v>
      </c>
      <c r="J7" s="41">
        <v>43273.0</v>
      </c>
      <c r="K7" s="42"/>
      <c r="L7" s="42"/>
      <c r="M7" s="42"/>
      <c r="N7" s="42"/>
      <c r="O7" s="42"/>
      <c r="P7" s="42"/>
      <c r="Q7" s="42"/>
      <c r="R7" s="42"/>
      <c r="S7" s="42"/>
      <c r="T7" s="42"/>
      <c r="U7" s="42"/>
      <c r="V7" s="42"/>
      <c r="W7" s="42"/>
      <c r="X7" s="42"/>
      <c r="Y7" s="42"/>
      <c r="Z7" s="42"/>
    </row>
    <row r="8" ht="18.0" hidden="1" customHeight="1">
      <c r="A8" s="34" t="str">
        <f>hyperlink("https://issues.sierrawireless.com/browse/OEMPRI-7463", "OEMPRI-7463")</f>
        <v>OEMPRI-7463</v>
      </c>
      <c r="B8" s="36" t="s">
        <v>167</v>
      </c>
      <c r="C8" s="36" t="s">
        <v>86</v>
      </c>
      <c r="D8" s="38">
        <v>43265.0</v>
      </c>
      <c r="E8" s="39" t="s">
        <v>92</v>
      </c>
      <c r="F8" s="36" t="s">
        <v>166</v>
      </c>
      <c r="G8" s="36" t="s">
        <v>168</v>
      </c>
      <c r="H8" s="40" t="s">
        <v>169</v>
      </c>
      <c r="I8" s="41">
        <v>43276.0</v>
      </c>
      <c r="J8" s="41">
        <v>43273.0</v>
      </c>
      <c r="K8" s="42"/>
      <c r="L8" s="42"/>
      <c r="M8" s="42"/>
      <c r="N8" s="42"/>
      <c r="O8" s="42"/>
      <c r="P8" s="42"/>
      <c r="Q8" s="42"/>
      <c r="R8" s="42"/>
      <c r="S8" s="42"/>
      <c r="T8" s="42"/>
      <c r="U8" s="42"/>
      <c r="V8" s="42"/>
      <c r="W8" s="42"/>
      <c r="X8" s="42"/>
      <c r="Y8" s="42"/>
      <c r="Z8" s="42"/>
    </row>
    <row r="9" hidden="1">
      <c r="A9" s="34" t="str">
        <f>hyperlink("https://issues.sierrawireless.com/browse/OEMPRI-7497", "OEMPRI-7497")</f>
        <v>OEMPRI-7497</v>
      </c>
      <c r="B9" s="36" t="s">
        <v>174</v>
      </c>
      <c r="C9" s="36" t="s">
        <v>175</v>
      </c>
      <c r="D9" s="38">
        <v>43273.0</v>
      </c>
      <c r="E9" s="39" t="s">
        <v>92</v>
      </c>
      <c r="F9" s="36" t="s">
        <v>176</v>
      </c>
      <c r="G9" s="36" t="s">
        <v>148</v>
      </c>
      <c r="H9" s="40" t="s">
        <v>177</v>
      </c>
      <c r="I9" s="41">
        <v>43276.0</v>
      </c>
      <c r="J9" s="41">
        <v>43276.0</v>
      </c>
      <c r="K9" s="42"/>
      <c r="L9" s="42"/>
      <c r="M9" s="42"/>
      <c r="N9" s="42"/>
      <c r="O9" s="42"/>
      <c r="P9" s="42"/>
      <c r="Q9" s="42"/>
      <c r="R9" s="42"/>
      <c r="S9" s="42"/>
      <c r="T9" s="42"/>
      <c r="U9" s="42"/>
      <c r="V9" s="42"/>
      <c r="W9" s="42"/>
      <c r="X9" s="42"/>
      <c r="Y9" s="42"/>
      <c r="Z9" s="42"/>
    </row>
    <row r="10" hidden="1">
      <c r="A10" s="34" t="str">
        <f>hyperlink("https://issues.sierrawireless.com/browse/OEMPRI-7503", "OEMPRI-7503")</f>
        <v>OEMPRI-7503</v>
      </c>
      <c r="B10" s="36" t="s">
        <v>178</v>
      </c>
      <c r="C10" s="36" t="s">
        <v>175</v>
      </c>
      <c r="D10" s="38">
        <v>43273.0</v>
      </c>
      <c r="E10" s="39">
        <v>43248.0</v>
      </c>
      <c r="F10" s="36" t="s">
        <v>176</v>
      </c>
      <c r="G10" s="36" t="s">
        <v>148</v>
      </c>
      <c r="H10" s="40" t="s">
        <v>177</v>
      </c>
      <c r="I10" s="41">
        <v>43276.0</v>
      </c>
      <c r="J10" s="41">
        <v>43277.0</v>
      </c>
      <c r="K10" s="42"/>
      <c r="L10" s="42"/>
      <c r="M10" s="42"/>
      <c r="N10" s="42"/>
      <c r="O10" s="42"/>
      <c r="P10" s="42"/>
      <c r="Q10" s="42"/>
      <c r="R10" s="42"/>
      <c r="S10" s="42"/>
      <c r="T10" s="42"/>
      <c r="U10" s="42"/>
      <c r="V10" s="42"/>
      <c r="W10" s="42"/>
      <c r="X10" s="42"/>
      <c r="Y10" s="42"/>
      <c r="Z10" s="42"/>
    </row>
    <row r="11" hidden="1">
      <c r="A11" s="34" t="str">
        <f>hyperlink("https://issues.sierrawireless.com/browse/OEMPRI-7514", "OEMPRI-7514")</f>
        <v>OEMPRI-7514</v>
      </c>
      <c r="B11" s="36" t="s">
        <v>182</v>
      </c>
      <c r="C11" s="36" t="s">
        <v>175</v>
      </c>
      <c r="D11" s="38">
        <v>43273.0</v>
      </c>
      <c r="E11" s="39">
        <v>43251.0</v>
      </c>
      <c r="F11" s="36" t="s">
        <v>176</v>
      </c>
      <c r="G11" s="36" t="s">
        <v>148</v>
      </c>
      <c r="H11" s="40" t="s">
        <v>177</v>
      </c>
      <c r="I11" s="41">
        <v>43283.0</v>
      </c>
      <c r="J11" s="41">
        <v>43285.0</v>
      </c>
      <c r="K11" s="42"/>
      <c r="L11" s="42"/>
      <c r="M11" s="42"/>
      <c r="N11" s="42"/>
      <c r="O11" s="42"/>
      <c r="P11" s="42"/>
      <c r="Q11" s="42"/>
      <c r="R11" s="42"/>
      <c r="S11" s="42"/>
      <c r="T11" s="42"/>
      <c r="U11" s="42"/>
      <c r="V11" s="42"/>
      <c r="W11" s="42"/>
      <c r="X11" s="42"/>
      <c r="Y11" s="42"/>
      <c r="Z11" s="42"/>
    </row>
    <row r="12" hidden="1">
      <c r="A12" s="34" t="str">
        <f>hyperlink("https://issues.sierrawireless.com/browse/OEMPRI-7508", "OEMPRI-7508")</f>
        <v>OEMPRI-7508</v>
      </c>
      <c r="B12" s="36" t="s">
        <v>186</v>
      </c>
      <c r="C12" s="36" t="s">
        <v>175</v>
      </c>
      <c r="D12" s="38">
        <v>43273.0</v>
      </c>
      <c r="E12" s="39" t="s">
        <v>92</v>
      </c>
      <c r="F12" s="36" t="s">
        <v>176</v>
      </c>
      <c r="G12" s="36" t="s">
        <v>148</v>
      </c>
      <c r="H12" s="40" t="s">
        <v>177</v>
      </c>
      <c r="I12" s="41">
        <v>43283.0</v>
      </c>
      <c r="J12" s="41">
        <v>43285.0</v>
      </c>
      <c r="K12" s="42"/>
      <c r="L12" s="42"/>
      <c r="M12" s="42"/>
      <c r="N12" s="42"/>
      <c r="O12" s="42"/>
      <c r="P12" s="42"/>
      <c r="Q12" s="42"/>
      <c r="R12" s="42"/>
      <c r="S12" s="42"/>
      <c r="T12" s="42"/>
      <c r="U12" s="42"/>
      <c r="V12" s="42"/>
      <c r="W12" s="42"/>
      <c r="X12" s="42"/>
      <c r="Y12" s="42"/>
      <c r="Z12" s="42"/>
    </row>
    <row r="13" hidden="1">
      <c r="A13" s="34" t="str">
        <f>hyperlink("https://issues.sierrawireless.com/browse/OEMPRI-7520", "OEMPRI-7520")</f>
        <v>OEMPRI-7520</v>
      </c>
      <c r="B13" s="36" t="s">
        <v>195</v>
      </c>
      <c r="C13" s="36" t="s">
        <v>139</v>
      </c>
      <c r="D13" s="38">
        <v>43276.0</v>
      </c>
      <c r="E13" s="39">
        <v>43277.0</v>
      </c>
      <c r="F13" s="36" t="s">
        <v>160</v>
      </c>
      <c r="G13" s="36" t="s">
        <v>141</v>
      </c>
      <c r="H13" s="40" t="s">
        <v>141</v>
      </c>
      <c r="I13" s="41">
        <v>43276.0</v>
      </c>
      <c r="J13" s="41">
        <v>43277.0</v>
      </c>
      <c r="K13" s="42"/>
      <c r="L13" s="42"/>
      <c r="M13" s="42"/>
      <c r="N13" s="42"/>
      <c r="O13" s="42"/>
      <c r="P13" s="42"/>
      <c r="Q13" s="42"/>
      <c r="R13" s="42"/>
      <c r="S13" s="42"/>
      <c r="T13" s="42"/>
      <c r="U13" s="42"/>
      <c r="V13" s="42"/>
      <c r="W13" s="42"/>
      <c r="X13" s="42"/>
      <c r="Y13" s="42"/>
      <c r="Z13" s="42"/>
    </row>
    <row r="14" hidden="1">
      <c r="A14" s="34" t="str">
        <f>hyperlink("https://issues.sierrawireless.com/browse/OEMPRI-7523", "OEMPRI-7523")</f>
        <v>OEMPRI-7523</v>
      </c>
      <c r="B14" s="36" t="s">
        <v>198</v>
      </c>
      <c r="C14" s="36" t="s">
        <v>139</v>
      </c>
      <c r="D14" s="38">
        <v>43276.0</v>
      </c>
      <c r="E14" s="39" t="s">
        <v>92</v>
      </c>
      <c r="F14" s="36" t="s">
        <v>176</v>
      </c>
      <c r="G14" s="36" t="s">
        <v>170</v>
      </c>
      <c r="H14" s="40" t="s">
        <v>170</v>
      </c>
      <c r="I14" s="41">
        <v>43276.0</v>
      </c>
      <c r="J14" s="41">
        <v>43278.0</v>
      </c>
      <c r="K14" s="42"/>
      <c r="L14" s="42"/>
      <c r="M14" s="42"/>
      <c r="N14" s="42"/>
      <c r="O14" s="42"/>
      <c r="P14" s="42"/>
      <c r="Q14" s="42"/>
      <c r="R14" s="42"/>
      <c r="S14" s="42"/>
      <c r="T14" s="42"/>
      <c r="U14" s="42"/>
      <c r="V14" s="42"/>
      <c r="W14" s="42"/>
      <c r="X14" s="42"/>
      <c r="Y14" s="42"/>
      <c r="Z14" s="42"/>
    </row>
    <row r="15" hidden="1">
      <c r="A15" s="34" t="str">
        <f>hyperlink("https://issues.sierrawireless.com/browse/OEMPRI-7529", "OEMPRI-7529")</f>
        <v>OEMPRI-7529</v>
      </c>
      <c r="B15" s="36" t="s">
        <v>201</v>
      </c>
      <c r="C15" s="36" t="s">
        <v>139</v>
      </c>
      <c r="D15" s="38">
        <v>43277.0</v>
      </c>
      <c r="E15" s="39" t="s">
        <v>92</v>
      </c>
      <c r="F15" s="36" t="s">
        <v>176</v>
      </c>
      <c r="G15" s="36" t="s">
        <v>140</v>
      </c>
      <c r="H15" s="40" t="s">
        <v>153</v>
      </c>
      <c r="I15" s="41">
        <v>43297.0</v>
      </c>
      <c r="J15" s="41">
        <v>43301.0</v>
      </c>
      <c r="K15" s="42"/>
      <c r="L15" s="42"/>
      <c r="M15" s="42"/>
      <c r="N15" s="42"/>
      <c r="O15" s="42"/>
      <c r="P15" s="42"/>
      <c r="Q15" s="42"/>
      <c r="R15" s="42"/>
      <c r="S15" s="42"/>
      <c r="T15" s="42"/>
      <c r="U15" s="42"/>
      <c r="V15" s="42"/>
      <c r="W15" s="42"/>
      <c r="X15" s="42"/>
      <c r="Y15" s="42"/>
      <c r="Z15" s="42"/>
    </row>
    <row r="16" hidden="1">
      <c r="A16" s="34" t="str">
        <f>hyperlink("https://issues.sierrawireless.com/browse/OEMPRI-7484", "OEMPRI-7484")</f>
        <v>OEMPRI-7484</v>
      </c>
      <c r="B16" s="36" t="s">
        <v>205</v>
      </c>
      <c r="C16" s="36" t="s">
        <v>139</v>
      </c>
      <c r="D16" s="38">
        <v>43271.0</v>
      </c>
      <c r="E16" s="39">
        <v>43273.0</v>
      </c>
      <c r="F16" s="36" t="s">
        <v>160</v>
      </c>
      <c r="G16" s="36" t="s">
        <v>141</v>
      </c>
      <c r="H16" s="40" t="s">
        <v>141</v>
      </c>
      <c r="I16" s="41">
        <v>43269.0</v>
      </c>
      <c r="J16" s="41">
        <v>43273.0</v>
      </c>
      <c r="K16" s="42"/>
      <c r="L16" s="42"/>
      <c r="M16" s="42"/>
      <c r="N16" s="42"/>
      <c r="O16" s="42"/>
      <c r="P16" s="42"/>
      <c r="Q16" s="42"/>
      <c r="R16" s="42"/>
      <c r="S16" s="42"/>
      <c r="T16" s="42"/>
      <c r="U16" s="42"/>
      <c r="V16" s="42"/>
      <c r="W16" s="42"/>
      <c r="X16" s="42"/>
      <c r="Y16" s="42"/>
      <c r="Z16" s="42"/>
    </row>
    <row r="17" hidden="1">
      <c r="A17" s="34" t="str">
        <f>hyperlink("https://issues.sierrawireless.com/browse/OEMPRI-7485", "OEMPRI-7485")</f>
        <v>OEMPRI-7485</v>
      </c>
      <c r="B17" s="36" t="s">
        <v>211</v>
      </c>
      <c r="C17" s="36" t="s">
        <v>139</v>
      </c>
      <c r="D17" s="38">
        <v>43271.0</v>
      </c>
      <c r="E17" s="39" t="s">
        <v>92</v>
      </c>
      <c r="F17" s="36" t="s">
        <v>160</v>
      </c>
      <c r="G17" s="36" t="s">
        <v>141</v>
      </c>
      <c r="H17" s="40" t="s">
        <v>141</v>
      </c>
      <c r="I17" s="41">
        <v>43269.0</v>
      </c>
      <c r="J17" s="41">
        <v>43273.0</v>
      </c>
      <c r="K17" s="42"/>
      <c r="L17" s="42"/>
      <c r="M17" s="42"/>
      <c r="N17" s="42"/>
      <c r="O17" s="42"/>
      <c r="P17" s="42"/>
      <c r="Q17" s="42"/>
      <c r="R17" s="42"/>
      <c r="S17" s="42"/>
      <c r="T17" s="42"/>
      <c r="U17" s="42"/>
      <c r="V17" s="42"/>
      <c r="W17" s="42"/>
      <c r="X17" s="42"/>
      <c r="Y17" s="42"/>
      <c r="Z17" s="42"/>
    </row>
    <row r="18" hidden="1">
      <c r="A18" s="34" t="str">
        <f>hyperlink("https://issues.sierrawireless.com/browse/OEMPRI-7471", "OEMPRI-7471")</f>
        <v>OEMPRI-7471</v>
      </c>
      <c r="B18" s="36" t="s">
        <v>214</v>
      </c>
      <c r="C18" s="36" t="s">
        <v>139</v>
      </c>
      <c r="D18" s="38">
        <v>43270.0</v>
      </c>
      <c r="E18" s="39" t="s">
        <v>92</v>
      </c>
      <c r="F18" s="36" t="s">
        <v>215</v>
      </c>
      <c r="G18" s="36" t="s">
        <v>148</v>
      </c>
      <c r="H18" s="40" t="s">
        <v>216</v>
      </c>
      <c r="I18" s="41">
        <v>43269.0</v>
      </c>
      <c r="J18" s="41">
        <v>43273.0</v>
      </c>
      <c r="K18" s="42"/>
      <c r="L18" s="42"/>
      <c r="M18" s="42"/>
      <c r="N18" s="42"/>
      <c r="O18" s="42"/>
      <c r="P18" s="42"/>
      <c r="Q18" s="42"/>
      <c r="R18" s="42"/>
      <c r="S18" s="42"/>
      <c r="T18" s="42"/>
      <c r="U18" s="42"/>
      <c r="V18" s="42"/>
      <c r="W18" s="42"/>
      <c r="X18" s="42"/>
      <c r="Y18" s="42"/>
      <c r="Z18" s="42"/>
    </row>
    <row r="19" hidden="1">
      <c r="A19" s="34" t="str">
        <f>hyperlink("https://issues.sierrawireless.com/browse/OEMPRI-7472", "OEMPRI-7472")</f>
        <v>OEMPRI-7472</v>
      </c>
      <c r="B19" s="36" t="s">
        <v>224</v>
      </c>
      <c r="C19" s="36" t="s">
        <v>225</v>
      </c>
      <c r="D19" s="38">
        <v>43270.0</v>
      </c>
      <c r="E19" s="39" t="s">
        <v>92</v>
      </c>
      <c r="F19" s="36" t="s">
        <v>176</v>
      </c>
      <c r="G19" s="36" t="s">
        <v>140</v>
      </c>
      <c r="H19" s="40" t="s">
        <v>233</v>
      </c>
      <c r="I19" s="41">
        <v>43269.0</v>
      </c>
      <c r="J19" s="41">
        <v>43273.0</v>
      </c>
      <c r="K19" s="42"/>
      <c r="L19" s="42"/>
      <c r="M19" s="42"/>
      <c r="N19" s="42"/>
      <c r="O19" s="42"/>
      <c r="P19" s="42"/>
      <c r="Q19" s="42"/>
      <c r="R19" s="42"/>
      <c r="S19" s="42"/>
      <c r="T19" s="42"/>
      <c r="U19" s="42"/>
      <c r="V19" s="42"/>
      <c r="W19" s="42"/>
      <c r="X19" s="42"/>
      <c r="Y19" s="42"/>
      <c r="Z19" s="42"/>
    </row>
    <row r="20" hidden="1">
      <c r="A20" s="34" t="str">
        <f>hyperlink("https://issues.sierrawireless.com/browse/OEMPRI-7453", "OEMPRI-7453")</f>
        <v>OEMPRI-7453</v>
      </c>
      <c r="B20" s="36" t="s">
        <v>240</v>
      </c>
      <c r="C20" s="36" t="s">
        <v>139</v>
      </c>
      <c r="D20" s="38">
        <v>43265.0</v>
      </c>
      <c r="E20" s="39">
        <v>43272.0</v>
      </c>
      <c r="F20" s="36" t="s">
        <v>160</v>
      </c>
      <c r="G20" s="36" t="s">
        <v>148</v>
      </c>
      <c r="H20" s="40" t="s">
        <v>244</v>
      </c>
      <c r="I20" s="41">
        <v>43269.0</v>
      </c>
      <c r="J20" s="41">
        <v>43266.0</v>
      </c>
      <c r="K20" s="42"/>
      <c r="L20" s="42"/>
      <c r="M20" s="42"/>
      <c r="N20" s="42"/>
      <c r="O20" s="42"/>
      <c r="P20" s="42"/>
      <c r="Q20" s="42"/>
      <c r="R20" s="42"/>
      <c r="S20" s="42"/>
      <c r="T20" s="42"/>
      <c r="U20" s="42"/>
      <c r="V20" s="42"/>
      <c r="W20" s="42"/>
      <c r="X20" s="42"/>
      <c r="Y20" s="42"/>
      <c r="Z20" s="42"/>
    </row>
    <row r="21" hidden="1">
      <c r="A21" s="34" t="str">
        <f>hyperlink("https://issues.sierrawireless.com/browse/OEMPRI-7458", "OEMPRI-7458")</f>
        <v>OEMPRI-7458</v>
      </c>
      <c r="B21" s="36" t="s">
        <v>251</v>
      </c>
      <c r="C21" s="36" t="s">
        <v>139</v>
      </c>
      <c r="D21" s="38">
        <v>43265.0</v>
      </c>
      <c r="E21" s="39">
        <v>43279.0</v>
      </c>
      <c r="F21" s="36" t="s">
        <v>160</v>
      </c>
      <c r="G21" s="36" t="s">
        <v>148</v>
      </c>
      <c r="H21" s="40" t="s">
        <v>170</v>
      </c>
      <c r="I21" s="41">
        <v>43269.0</v>
      </c>
      <c r="J21" s="41">
        <v>43266.0</v>
      </c>
      <c r="K21" s="42"/>
      <c r="L21" s="42"/>
      <c r="M21" s="42"/>
      <c r="N21" s="42"/>
      <c r="O21" s="42"/>
      <c r="P21" s="42"/>
      <c r="Q21" s="42"/>
      <c r="R21" s="42"/>
      <c r="S21" s="42"/>
      <c r="T21" s="42"/>
      <c r="U21" s="42"/>
      <c r="V21" s="42"/>
      <c r="W21" s="42"/>
      <c r="X21" s="42"/>
      <c r="Y21" s="42"/>
      <c r="Z21" s="42"/>
    </row>
    <row r="22" hidden="1">
      <c r="A22" s="34" t="str">
        <f>hyperlink("https://issues.sierrawireless.com/browse/OEMPRI-7459", "OEMPRI-7459")</f>
        <v>OEMPRI-7459</v>
      </c>
      <c r="B22" s="36" t="s">
        <v>265</v>
      </c>
      <c r="C22" s="36" t="s">
        <v>139</v>
      </c>
      <c r="D22" s="38">
        <v>43265.0</v>
      </c>
      <c r="E22" s="39">
        <v>43279.0</v>
      </c>
      <c r="F22" s="36" t="s">
        <v>160</v>
      </c>
      <c r="G22" s="36" t="s">
        <v>148</v>
      </c>
      <c r="H22" s="40" t="s">
        <v>170</v>
      </c>
      <c r="I22" s="41">
        <v>43269.0</v>
      </c>
      <c r="J22" s="41">
        <v>43266.0</v>
      </c>
      <c r="K22" s="42"/>
      <c r="L22" s="42"/>
      <c r="M22" s="42"/>
      <c r="N22" s="42"/>
      <c r="O22" s="42"/>
      <c r="P22" s="42"/>
      <c r="Q22" s="42"/>
      <c r="R22" s="42"/>
      <c r="S22" s="42"/>
      <c r="T22" s="42"/>
      <c r="U22" s="42"/>
      <c r="V22" s="42"/>
      <c r="W22" s="42"/>
      <c r="X22" s="42"/>
      <c r="Y22" s="42"/>
      <c r="Z22" s="42"/>
    </row>
    <row r="23" hidden="1">
      <c r="A23" s="34" t="str">
        <f>hyperlink("https://issues.sierrawireless.com/browse/OEMPRI-7460", "OEMPRI-7460")</f>
        <v>OEMPRI-7460</v>
      </c>
      <c r="B23" s="36" t="s">
        <v>273</v>
      </c>
      <c r="C23" s="36" t="s">
        <v>139</v>
      </c>
      <c r="D23" s="38">
        <v>43265.0</v>
      </c>
      <c r="E23" s="39">
        <v>43280.0</v>
      </c>
      <c r="F23" s="36" t="s">
        <v>274</v>
      </c>
      <c r="G23" s="36" t="s">
        <v>148</v>
      </c>
      <c r="H23" s="40" t="s">
        <v>170</v>
      </c>
      <c r="I23" s="41">
        <v>43269.0</v>
      </c>
      <c r="J23" s="41">
        <v>43266.0</v>
      </c>
      <c r="K23" s="42"/>
      <c r="L23" s="42"/>
      <c r="M23" s="42"/>
      <c r="N23" s="42"/>
      <c r="O23" s="42"/>
      <c r="P23" s="42"/>
      <c r="Q23" s="42"/>
      <c r="R23" s="42"/>
      <c r="S23" s="42"/>
      <c r="T23" s="42"/>
      <c r="U23" s="42"/>
      <c r="V23" s="42"/>
      <c r="W23" s="42"/>
      <c r="X23" s="42"/>
      <c r="Y23" s="42"/>
      <c r="Z23" s="42"/>
    </row>
    <row r="24" hidden="1">
      <c r="A24" s="34" t="str">
        <f>hyperlink("https://issues.sierrawireless.com/browse/OEMPRI-7530", "OEMPRI-7530")</f>
        <v>OEMPRI-7530</v>
      </c>
      <c r="B24" s="36" t="s">
        <v>281</v>
      </c>
      <c r="C24" s="36" t="s">
        <v>139</v>
      </c>
      <c r="D24" s="38">
        <v>43277.0</v>
      </c>
      <c r="E24" s="39">
        <v>43278.0</v>
      </c>
      <c r="F24" s="36" t="s">
        <v>160</v>
      </c>
      <c r="G24" s="36" t="s">
        <v>283</v>
      </c>
      <c r="H24" s="40" t="s">
        <v>141</v>
      </c>
      <c r="I24" s="41">
        <v>43276.0</v>
      </c>
      <c r="J24" s="41">
        <v>43278.0</v>
      </c>
      <c r="K24" s="42"/>
      <c r="L24" s="42"/>
      <c r="M24" s="42"/>
      <c r="N24" s="42"/>
      <c r="O24" s="42"/>
      <c r="P24" s="42"/>
      <c r="Q24" s="42"/>
      <c r="R24" s="42"/>
      <c r="S24" s="42"/>
      <c r="T24" s="42"/>
      <c r="U24" s="42"/>
      <c r="V24" s="42"/>
      <c r="W24" s="42"/>
      <c r="X24" s="42"/>
      <c r="Y24" s="42"/>
      <c r="Z24" s="42"/>
    </row>
    <row r="25" hidden="1">
      <c r="A25" s="34" t="str">
        <f>hyperlink("https://issues.sierrawireless.com/browse/OEMPRI-7430", "OEMPRI-7430")</f>
        <v>OEMPRI-7430</v>
      </c>
      <c r="B25" s="36" t="s">
        <v>289</v>
      </c>
      <c r="C25" s="36" t="s">
        <v>139</v>
      </c>
      <c r="D25" s="38">
        <v>43264.0</v>
      </c>
      <c r="E25" s="39">
        <v>43039.0</v>
      </c>
      <c r="F25" s="36" t="s">
        <v>160</v>
      </c>
      <c r="G25" s="36" t="s">
        <v>140</v>
      </c>
      <c r="H25" s="40" t="s">
        <v>153</v>
      </c>
      <c r="I25" s="41">
        <v>43262.0</v>
      </c>
      <c r="J25" s="41">
        <v>43266.0</v>
      </c>
      <c r="K25" s="42"/>
      <c r="L25" s="42"/>
      <c r="M25" s="42"/>
      <c r="N25" s="42"/>
      <c r="O25" s="42"/>
      <c r="P25" s="42"/>
      <c r="Q25" s="42"/>
      <c r="R25" s="42"/>
      <c r="S25" s="42"/>
      <c r="T25" s="42"/>
      <c r="U25" s="42"/>
      <c r="V25" s="42"/>
      <c r="W25" s="42"/>
      <c r="X25" s="42"/>
      <c r="Y25" s="42"/>
      <c r="Z25" s="42"/>
    </row>
    <row r="26" hidden="1">
      <c r="A26" s="34" t="str">
        <f>hyperlink("https://issues.sierrawireless.com/browse/OEMPRI-7435", "OEMPRI-7435")</f>
        <v>OEMPRI-7435</v>
      </c>
      <c r="B26" s="36" t="s">
        <v>295</v>
      </c>
      <c r="C26" s="36" t="s">
        <v>139</v>
      </c>
      <c r="D26" s="38">
        <v>43264.0</v>
      </c>
      <c r="E26" s="39">
        <v>43269.0</v>
      </c>
      <c r="F26" s="36" t="s">
        <v>160</v>
      </c>
      <c r="G26" s="36" t="s">
        <v>148</v>
      </c>
      <c r="H26" s="40" t="s">
        <v>141</v>
      </c>
      <c r="I26" s="41">
        <v>43269.0</v>
      </c>
      <c r="J26" s="41">
        <v>43266.0</v>
      </c>
      <c r="K26" s="42"/>
      <c r="L26" s="42"/>
      <c r="M26" s="42"/>
      <c r="N26" s="42"/>
      <c r="O26" s="42"/>
      <c r="P26" s="42"/>
      <c r="Q26" s="42"/>
      <c r="R26" s="42"/>
      <c r="S26" s="42"/>
      <c r="T26" s="42"/>
      <c r="U26" s="42"/>
      <c r="V26" s="42"/>
      <c r="W26" s="42"/>
      <c r="X26" s="42"/>
      <c r="Y26" s="42"/>
      <c r="Z26" s="42"/>
    </row>
    <row r="27" hidden="1">
      <c r="A27" s="34" t="str">
        <f>hyperlink("https://issues.sierrawireless.com/browse/OEMPRI-7411", "OEMPRI-7411")</f>
        <v>OEMPRI-7411</v>
      </c>
      <c r="B27" s="36" t="s">
        <v>300</v>
      </c>
      <c r="C27" s="36" t="s">
        <v>139</v>
      </c>
      <c r="D27" s="38">
        <v>43263.0</v>
      </c>
      <c r="E27" s="39">
        <v>43279.0</v>
      </c>
      <c r="F27" s="36" t="s">
        <v>160</v>
      </c>
      <c r="G27" s="36" t="s">
        <v>148</v>
      </c>
      <c r="H27" s="40" t="s">
        <v>170</v>
      </c>
      <c r="I27" s="41">
        <v>43262.0</v>
      </c>
      <c r="J27" s="41">
        <v>43266.0</v>
      </c>
      <c r="K27" s="42"/>
      <c r="L27" s="42"/>
      <c r="M27" s="42"/>
      <c r="N27" s="42"/>
      <c r="O27" s="42"/>
      <c r="P27" s="42"/>
      <c r="Q27" s="42"/>
      <c r="R27" s="42"/>
      <c r="S27" s="42"/>
      <c r="T27" s="42"/>
      <c r="U27" s="42"/>
      <c r="V27" s="42"/>
      <c r="W27" s="42"/>
      <c r="X27" s="42"/>
      <c r="Y27" s="42"/>
      <c r="Z27" s="42"/>
    </row>
    <row r="28" hidden="1">
      <c r="A28" s="34" t="str">
        <f>hyperlink("https://issues.sierrawireless.com/browse/OEMPRI-7414", "OEMPRI-7414")</f>
        <v>OEMPRI-7414</v>
      </c>
      <c r="B28" s="36" t="s">
        <v>305</v>
      </c>
      <c r="C28" s="36" t="s">
        <v>225</v>
      </c>
      <c r="D28" s="38">
        <v>43263.0</v>
      </c>
      <c r="E28" s="39" t="s">
        <v>92</v>
      </c>
      <c r="F28" s="36" t="s">
        <v>160</v>
      </c>
      <c r="G28" s="36" t="s">
        <v>233</v>
      </c>
      <c r="H28" s="40" t="s">
        <v>233</v>
      </c>
      <c r="I28" s="41">
        <v>43262.0</v>
      </c>
      <c r="J28" s="41">
        <v>43266.0</v>
      </c>
      <c r="K28" s="42"/>
      <c r="L28" s="42"/>
      <c r="M28" s="42"/>
      <c r="N28" s="42"/>
      <c r="O28" s="42"/>
      <c r="P28" s="42"/>
      <c r="Q28" s="42"/>
      <c r="R28" s="42"/>
      <c r="S28" s="42"/>
      <c r="T28" s="42"/>
      <c r="U28" s="42"/>
      <c r="V28" s="42"/>
      <c r="W28" s="42"/>
      <c r="X28" s="42"/>
      <c r="Y28" s="42"/>
      <c r="Z28" s="42"/>
    </row>
    <row r="29" hidden="1">
      <c r="A29" s="34" t="str">
        <f>hyperlink("https://issues.sierrawireless.com/browse/OEMPRI-7391", "OEMPRI-7391")</f>
        <v>OEMPRI-7391</v>
      </c>
      <c r="B29" s="36" t="s">
        <v>312</v>
      </c>
      <c r="C29" s="36" t="s">
        <v>139</v>
      </c>
      <c r="D29" s="38">
        <v>43262.0</v>
      </c>
      <c r="E29" s="39">
        <v>43266.0</v>
      </c>
      <c r="F29" s="36" t="s">
        <v>176</v>
      </c>
      <c r="G29" s="36" t="s">
        <v>170</v>
      </c>
      <c r="H29" s="40" t="s">
        <v>170</v>
      </c>
      <c r="I29" s="41">
        <v>43262.0</v>
      </c>
      <c r="J29" s="41">
        <v>43266.0</v>
      </c>
      <c r="K29" s="42"/>
      <c r="L29" s="42"/>
      <c r="M29" s="42"/>
      <c r="N29" s="42"/>
      <c r="O29" s="42"/>
      <c r="P29" s="42"/>
      <c r="Q29" s="42"/>
      <c r="R29" s="42"/>
      <c r="S29" s="42"/>
      <c r="T29" s="42"/>
      <c r="U29" s="42"/>
      <c r="V29" s="42"/>
      <c r="W29" s="42"/>
      <c r="X29" s="42"/>
      <c r="Y29" s="42"/>
      <c r="Z29" s="42"/>
    </row>
    <row r="30" hidden="1">
      <c r="A30" s="34" t="str">
        <f>hyperlink("https://issues.sierrawireless.com/browse/OEMPRI-7394", "OEMPRI-7394")</f>
        <v>OEMPRI-7394</v>
      </c>
      <c r="B30" s="36" t="s">
        <v>318</v>
      </c>
      <c r="C30" s="36" t="s">
        <v>139</v>
      </c>
      <c r="D30" s="38">
        <v>43262.0</v>
      </c>
      <c r="E30" s="39">
        <v>43264.0</v>
      </c>
      <c r="F30" s="36" t="s">
        <v>176</v>
      </c>
      <c r="G30" s="36" t="s">
        <v>148</v>
      </c>
      <c r="H30" s="40" t="s">
        <v>170</v>
      </c>
      <c r="I30" s="41">
        <v>43262.0</v>
      </c>
      <c r="J30" s="41">
        <v>43266.0</v>
      </c>
      <c r="K30" s="42"/>
      <c r="L30" s="42"/>
      <c r="M30" s="42"/>
      <c r="N30" s="42"/>
      <c r="O30" s="42"/>
      <c r="P30" s="42"/>
      <c r="Q30" s="42"/>
      <c r="R30" s="42"/>
      <c r="S30" s="42"/>
      <c r="T30" s="42"/>
      <c r="U30" s="42"/>
      <c r="V30" s="42"/>
      <c r="W30" s="42"/>
      <c r="X30" s="42"/>
      <c r="Y30" s="42"/>
      <c r="Z30" s="42"/>
    </row>
    <row r="31" hidden="1">
      <c r="A31" s="34" t="str">
        <f>hyperlink("https://issues.sierrawireless.com/browse/OEMPRI-7393", "OEMPRI-7393")</f>
        <v>OEMPRI-7393</v>
      </c>
      <c r="B31" s="36" t="s">
        <v>325</v>
      </c>
      <c r="C31" s="36" t="s">
        <v>139</v>
      </c>
      <c r="D31" s="38">
        <v>43262.0</v>
      </c>
      <c r="E31" s="39">
        <v>43264.0</v>
      </c>
      <c r="F31" s="36" t="s">
        <v>176</v>
      </c>
      <c r="G31" s="36" t="s">
        <v>148</v>
      </c>
      <c r="H31" s="40" t="s">
        <v>170</v>
      </c>
      <c r="I31" s="41">
        <v>43262.0</v>
      </c>
      <c r="J31" s="41">
        <v>43266.0</v>
      </c>
      <c r="K31" s="42"/>
      <c r="L31" s="42"/>
      <c r="M31" s="42"/>
      <c r="N31" s="42"/>
      <c r="O31" s="42"/>
      <c r="P31" s="42"/>
      <c r="Q31" s="42"/>
      <c r="R31" s="42"/>
      <c r="S31" s="42"/>
      <c r="T31" s="42"/>
      <c r="U31" s="42"/>
      <c r="V31" s="42"/>
      <c r="W31" s="42"/>
      <c r="X31" s="42"/>
      <c r="Y31" s="42"/>
      <c r="Z31" s="42"/>
    </row>
    <row r="32" hidden="1">
      <c r="A32" s="34" t="str">
        <f>hyperlink("https://issues.sierrawireless.com/browse/OEMPRI-7399", "OEMPRI-7399")</f>
        <v>OEMPRI-7399</v>
      </c>
      <c r="B32" s="36" t="s">
        <v>334</v>
      </c>
      <c r="C32" s="36" t="s">
        <v>139</v>
      </c>
      <c r="D32" s="38">
        <v>43262.0</v>
      </c>
      <c r="E32" s="39">
        <v>43271.0</v>
      </c>
      <c r="F32" s="36" t="s">
        <v>160</v>
      </c>
      <c r="G32" s="36" t="s">
        <v>148</v>
      </c>
      <c r="H32" s="40" t="s">
        <v>244</v>
      </c>
      <c r="I32" s="41">
        <v>43262.0</v>
      </c>
      <c r="J32" s="41">
        <v>43266.0</v>
      </c>
      <c r="K32" s="42"/>
      <c r="L32" s="42"/>
      <c r="M32" s="42"/>
      <c r="N32" s="42"/>
      <c r="O32" s="42"/>
      <c r="P32" s="42"/>
      <c r="Q32" s="42"/>
      <c r="R32" s="42"/>
      <c r="S32" s="42"/>
      <c r="T32" s="42"/>
      <c r="U32" s="42"/>
      <c r="V32" s="42"/>
      <c r="W32" s="42"/>
      <c r="X32" s="42"/>
      <c r="Y32" s="42"/>
      <c r="Z32" s="42"/>
    </row>
    <row r="33" hidden="1">
      <c r="A33" s="34" t="str">
        <f>hyperlink("https://issues.sierrawireless.com/browse/OEMPRI-7400", "OEMPRI-7400")</f>
        <v>OEMPRI-7400</v>
      </c>
      <c r="B33" s="36" t="s">
        <v>334</v>
      </c>
      <c r="C33" s="36" t="s">
        <v>175</v>
      </c>
      <c r="D33" s="38">
        <v>43262.0</v>
      </c>
      <c r="E33" s="39">
        <v>43273.0</v>
      </c>
      <c r="F33" s="36" t="s">
        <v>160</v>
      </c>
      <c r="G33" s="36" t="s">
        <v>148</v>
      </c>
      <c r="H33" s="40" t="s">
        <v>244</v>
      </c>
      <c r="I33" s="41">
        <v>43269.0</v>
      </c>
      <c r="J33" s="41">
        <v>43266.0</v>
      </c>
      <c r="K33" s="42"/>
      <c r="L33" s="42"/>
      <c r="M33" s="42"/>
      <c r="N33" s="42"/>
      <c r="O33" s="42"/>
      <c r="P33" s="42"/>
      <c r="Q33" s="42"/>
      <c r="R33" s="42"/>
      <c r="S33" s="42"/>
      <c r="T33" s="42"/>
      <c r="U33" s="42"/>
      <c r="V33" s="42"/>
      <c r="W33" s="42"/>
      <c r="X33" s="42"/>
      <c r="Y33" s="42"/>
      <c r="Z33" s="42"/>
    </row>
    <row r="34" hidden="1">
      <c r="A34" s="34" t="str">
        <f>hyperlink("https://issues.sierrawireless.com/browse/OEMPRI-7382", "OEMPRI-7382")</f>
        <v>OEMPRI-7382</v>
      </c>
      <c r="B34" s="36" t="s">
        <v>346</v>
      </c>
      <c r="C34" s="36" t="s">
        <v>139</v>
      </c>
      <c r="D34" s="38">
        <v>43259.0</v>
      </c>
      <c r="E34" s="39">
        <v>43262.0</v>
      </c>
      <c r="F34" s="36" t="s">
        <v>160</v>
      </c>
      <c r="G34" s="36" t="s">
        <v>170</v>
      </c>
      <c r="H34" s="40" t="s">
        <v>170</v>
      </c>
      <c r="I34" s="41">
        <v>43262.0</v>
      </c>
      <c r="J34" s="41">
        <v>43262.0</v>
      </c>
      <c r="K34" s="42"/>
      <c r="L34" s="42"/>
      <c r="M34" s="42"/>
      <c r="N34" s="42"/>
      <c r="O34" s="42"/>
      <c r="P34" s="42"/>
      <c r="Q34" s="42"/>
      <c r="R34" s="42"/>
      <c r="S34" s="42"/>
      <c r="T34" s="42"/>
      <c r="U34" s="42"/>
      <c r="V34" s="42"/>
      <c r="W34" s="42"/>
      <c r="X34" s="42"/>
      <c r="Y34" s="42"/>
      <c r="Z34" s="42"/>
    </row>
    <row r="35" hidden="1">
      <c r="A35" s="34" t="str">
        <f>hyperlink("https://issues.sierrawireless.com/browse/OEMPRI-7383", "OEMPRI-7383")</f>
        <v>OEMPRI-7383</v>
      </c>
      <c r="B35" s="36" t="s">
        <v>353</v>
      </c>
      <c r="C35" s="36" t="s">
        <v>139</v>
      </c>
      <c r="D35" s="38">
        <v>43259.0</v>
      </c>
      <c r="E35" s="39">
        <v>43265.0</v>
      </c>
      <c r="F35" s="36" t="s">
        <v>160</v>
      </c>
      <c r="G35" s="36" t="s">
        <v>148</v>
      </c>
      <c r="H35" s="40" t="s">
        <v>141</v>
      </c>
      <c r="I35" s="41">
        <v>43262.0</v>
      </c>
      <c r="J35" s="41">
        <v>43265.0</v>
      </c>
      <c r="K35" s="42"/>
      <c r="L35" s="42"/>
      <c r="M35" s="42"/>
      <c r="N35" s="42"/>
      <c r="O35" s="42"/>
      <c r="P35" s="42"/>
      <c r="Q35" s="42"/>
      <c r="R35" s="42"/>
      <c r="S35" s="42"/>
      <c r="T35" s="42"/>
      <c r="U35" s="42"/>
      <c r="V35" s="42"/>
      <c r="W35" s="42"/>
      <c r="X35" s="42"/>
      <c r="Y35" s="42"/>
      <c r="Z35" s="42"/>
    </row>
    <row r="36" hidden="1">
      <c r="A36" s="34" t="str">
        <f>hyperlink("https://issues.sierrawireless.com/browse/OEMPRI-7384", "OEMPRI-7384")</f>
        <v>OEMPRI-7384</v>
      </c>
      <c r="B36" s="36" t="s">
        <v>370</v>
      </c>
      <c r="C36" s="36" t="s">
        <v>139</v>
      </c>
      <c r="D36" s="38">
        <v>43259.0</v>
      </c>
      <c r="E36" s="39">
        <v>43270.0</v>
      </c>
      <c r="F36" s="36" t="s">
        <v>160</v>
      </c>
      <c r="G36" s="36" t="s">
        <v>148</v>
      </c>
      <c r="H36" s="40" t="s">
        <v>141</v>
      </c>
      <c r="I36" s="41">
        <v>43262.0</v>
      </c>
      <c r="J36" s="41">
        <v>43270.0</v>
      </c>
      <c r="K36" s="42"/>
      <c r="L36" s="42"/>
      <c r="M36" s="42"/>
      <c r="N36" s="42"/>
      <c r="O36" s="42"/>
      <c r="P36" s="42"/>
      <c r="Q36" s="42"/>
      <c r="R36" s="42"/>
      <c r="S36" s="42"/>
      <c r="T36" s="42"/>
      <c r="U36" s="42"/>
      <c r="V36" s="42"/>
      <c r="W36" s="42"/>
      <c r="X36" s="42"/>
      <c r="Y36" s="42"/>
      <c r="Z36" s="42"/>
    </row>
    <row r="37" hidden="1">
      <c r="A37" s="34" t="str">
        <f>hyperlink("https://issues.sierrawireless.com/browse/OEMPRI-7385", "OEMPRI-7385")</f>
        <v>OEMPRI-7385</v>
      </c>
      <c r="B37" s="36" t="s">
        <v>376</v>
      </c>
      <c r="C37" s="36" t="s">
        <v>139</v>
      </c>
      <c r="D37" s="38">
        <v>43259.0</v>
      </c>
      <c r="E37" s="39">
        <v>43269.0</v>
      </c>
      <c r="F37" s="36" t="s">
        <v>160</v>
      </c>
      <c r="G37" s="36" t="s">
        <v>148</v>
      </c>
      <c r="H37" s="40" t="s">
        <v>141</v>
      </c>
      <c r="I37" s="41">
        <v>43269.0</v>
      </c>
      <c r="J37" s="41">
        <v>43269.0</v>
      </c>
      <c r="K37" s="42"/>
      <c r="L37" s="42"/>
      <c r="M37" s="42"/>
      <c r="N37" s="42"/>
      <c r="O37" s="42"/>
      <c r="P37" s="42"/>
      <c r="Q37" s="42"/>
      <c r="R37" s="42"/>
      <c r="S37" s="42"/>
      <c r="T37" s="42"/>
      <c r="U37" s="42"/>
      <c r="V37" s="42"/>
      <c r="W37" s="42"/>
      <c r="X37" s="42"/>
      <c r="Y37" s="42"/>
      <c r="Z37" s="42"/>
    </row>
    <row r="38" hidden="1">
      <c r="A38" s="34" t="str">
        <f>hyperlink("https://issues.sierrawireless.com/browse/OEMPRI-7386", "OEMPRI-7386")</f>
        <v>OEMPRI-7386</v>
      </c>
      <c r="B38" s="36" t="s">
        <v>383</v>
      </c>
      <c r="C38" s="36" t="s">
        <v>139</v>
      </c>
      <c r="D38" s="38">
        <v>43259.0</v>
      </c>
      <c r="E38" s="39" t="s">
        <v>92</v>
      </c>
      <c r="F38" s="36" t="s">
        <v>160</v>
      </c>
      <c r="G38" s="36" t="s">
        <v>148</v>
      </c>
      <c r="H38" s="40" t="s">
        <v>141</v>
      </c>
      <c r="I38" s="41">
        <v>43262.0</v>
      </c>
      <c r="J38" s="41">
        <v>43269.0</v>
      </c>
      <c r="K38" s="42"/>
      <c r="L38" s="42"/>
      <c r="M38" s="42"/>
      <c r="N38" s="42"/>
      <c r="O38" s="42"/>
      <c r="P38" s="42"/>
      <c r="Q38" s="42"/>
      <c r="R38" s="42"/>
      <c r="S38" s="42"/>
      <c r="T38" s="42"/>
      <c r="U38" s="42"/>
      <c r="V38" s="42"/>
      <c r="W38" s="42"/>
      <c r="X38" s="42"/>
      <c r="Y38" s="42"/>
      <c r="Z38" s="42"/>
    </row>
    <row r="39" hidden="1">
      <c r="A39" s="34" t="str">
        <f>hyperlink("https://issues.sierrawireless.com/browse/OEMPRI-7364", "OEMPRI-7364")</f>
        <v>OEMPRI-7364</v>
      </c>
      <c r="B39" s="36" t="s">
        <v>389</v>
      </c>
      <c r="C39" s="36" t="s">
        <v>139</v>
      </c>
      <c r="D39" s="38">
        <v>43258.0</v>
      </c>
      <c r="E39" s="39" t="s">
        <v>92</v>
      </c>
      <c r="F39" s="36" t="s">
        <v>176</v>
      </c>
      <c r="G39" s="36" t="s">
        <v>170</v>
      </c>
      <c r="H39" s="40" t="s">
        <v>170</v>
      </c>
      <c r="I39" s="41">
        <v>43255.0</v>
      </c>
      <c r="J39" s="41">
        <v>43259.0</v>
      </c>
      <c r="K39" s="42"/>
      <c r="L39" s="42"/>
      <c r="M39" s="42"/>
      <c r="N39" s="42"/>
      <c r="O39" s="42"/>
      <c r="P39" s="42"/>
      <c r="Q39" s="42"/>
      <c r="R39" s="42"/>
      <c r="S39" s="42"/>
      <c r="T39" s="42"/>
      <c r="U39" s="42"/>
      <c r="V39" s="42"/>
      <c r="W39" s="42"/>
      <c r="X39" s="42"/>
      <c r="Y39" s="42"/>
      <c r="Z39" s="42"/>
    </row>
    <row r="40" hidden="1">
      <c r="A40" s="34" t="str">
        <f>hyperlink("https://issues.sierrawireless.com/browse/OEMPRI-7366", "OEMPRI-7366")</f>
        <v>OEMPRI-7366</v>
      </c>
      <c r="B40" s="36" t="s">
        <v>396</v>
      </c>
      <c r="C40" s="36" t="s">
        <v>139</v>
      </c>
      <c r="D40" s="38">
        <v>43258.0</v>
      </c>
      <c r="E40" s="39" t="s">
        <v>92</v>
      </c>
      <c r="F40" s="36" t="s">
        <v>398</v>
      </c>
      <c r="G40" s="36" t="s">
        <v>140</v>
      </c>
      <c r="H40" s="40" t="s">
        <v>399</v>
      </c>
      <c r="I40" s="41">
        <v>43255.0</v>
      </c>
      <c r="J40" s="41">
        <v>43259.0</v>
      </c>
      <c r="K40" s="42"/>
      <c r="L40" s="42"/>
      <c r="M40" s="42"/>
      <c r="N40" s="42"/>
      <c r="O40" s="42"/>
      <c r="P40" s="42"/>
      <c r="Q40" s="42"/>
      <c r="R40" s="42"/>
      <c r="S40" s="42"/>
      <c r="T40" s="42"/>
      <c r="U40" s="42"/>
      <c r="V40" s="42"/>
      <c r="W40" s="42"/>
      <c r="X40" s="42"/>
      <c r="Y40" s="42"/>
      <c r="Z40" s="42"/>
    </row>
    <row r="41" hidden="1">
      <c r="A41" s="34" t="str">
        <f>hyperlink("https://issues.sierrawireless.com/browse/OEMPRI-7367", "OEMPRI-7367")</f>
        <v>OEMPRI-7367</v>
      </c>
      <c r="B41" s="36" t="s">
        <v>405</v>
      </c>
      <c r="C41" s="36" t="s">
        <v>86</v>
      </c>
      <c r="D41" s="38">
        <v>43258.0</v>
      </c>
      <c r="E41" s="39" t="s">
        <v>92</v>
      </c>
      <c r="F41" s="36" t="s">
        <v>176</v>
      </c>
      <c r="G41" s="36" t="s">
        <v>148</v>
      </c>
      <c r="H41" s="40" t="s">
        <v>233</v>
      </c>
      <c r="I41" s="41">
        <v>43255.0</v>
      </c>
      <c r="J41" s="41">
        <v>43259.0</v>
      </c>
      <c r="K41" s="42"/>
      <c r="L41" s="42"/>
      <c r="M41" s="42"/>
      <c r="N41" s="42"/>
      <c r="O41" s="42"/>
      <c r="P41" s="42"/>
      <c r="Q41" s="42"/>
      <c r="R41" s="42"/>
      <c r="S41" s="42"/>
      <c r="T41" s="42"/>
      <c r="U41" s="42"/>
      <c r="V41" s="42"/>
      <c r="W41" s="42"/>
      <c r="X41" s="42"/>
      <c r="Y41" s="42"/>
      <c r="Z41" s="42"/>
    </row>
    <row r="42" hidden="1">
      <c r="A42" s="34" t="str">
        <f>hyperlink("https://issues.sierrawireless.com/browse/OEMPRI-7368", "OEMPRI-7368")</f>
        <v>OEMPRI-7368</v>
      </c>
      <c r="B42" s="36" t="s">
        <v>413</v>
      </c>
      <c r="C42" s="36" t="s">
        <v>86</v>
      </c>
      <c r="D42" s="38">
        <v>43258.0</v>
      </c>
      <c r="E42" s="39" t="s">
        <v>92</v>
      </c>
      <c r="F42" s="36" t="s">
        <v>176</v>
      </c>
      <c r="G42" s="36" t="s">
        <v>153</v>
      </c>
      <c r="H42" s="40" t="s">
        <v>153</v>
      </c>
      <c r="I42" s="41">
        <v>43262.0</v>
      </c>
      <c r="J42" s="41">
        <v>43262.0</v>
      </c>
      <c r="K42" s="42"/>
      <c r="L42" s="42"/>
      <c r="M42" s="42"/>
      <c r="N42" s="42"/>
      <c r="O42" s="42"/>
      <c r="P42" s="42"/>
      <c r="Q42" s="42"/>
      <c r="R42" s="42"/>
      <c r="S42" s="42"/>
      <c r="T42" s="42"/>
      <c r="U42" s="42"/>
      <c r="V42" s="42"/>
      <c r="W42" s="42"/>
      <c r="X42" s="42"/>
      <c r="Y42" s="42"/>
      <c r="Z42" s="42"/>
    </row>
    <row r="43" hidden="1">
      <c r="A43" s="34" t="str">
        <f>hyperlink("https://issues.sierrawireless.com/browse/OEMPRI-7362", "OEMPRI-7362")</f>
        <v>OEMPRI-7362</v>
      </c>
      <c r="B43" s="36" t="s">
        <v>422</v>
      </c>
      <c r="C43" s="36" t="s">
        <v>86</v>
      </c>
      <c r="D43" s="38">
        <v>43257.0</v>
      </c>
      <c r="E43" s="39">
        <v>43262.0</v>
      </c>
      <c r="F43" s="36" t="s">
        <v>160</v>
      </c>
      <c r="G43" s="36" t="s">
        <v>153</v>
      </c>
      <c r="H43" s="40" t="s">
        <v>153</v>
      </c>
      <c r="I43" s="41">
        <v>43262.0</v>
      </c>
      <c r="J43" s="41">
        <v>43262.0</v>
      </c>
      <c r="K43" s="42"/>
      <c r="L43" s="42"/>
      <c r="M43" s="42"/>
      <c r="N43" s="42"/>
      <c r="O43" s="42"/>
      <c r="P43" s="42"/>
      <c r="Q43" s="42"/>
      <c r="R43" s="42"/>
      <c r="S43" s="42"/>
      <c r="T43" s="42"/>
      <c r="U43" s="42"/>
      <c r="V43" s="42"/>
      <c r="W43" s="42"/>
      <c r="X43" s="42"/>
      <c r="Y43" s="42"/>
      <c r="Z43" s="42"/>
    </row>
    <row r="44" hidden="1">
      <c r="A44" s="34" t="str">
        <f>hyperlink("https://issues.sierrawireless.com/browse/OEMPRI-7338", "OEMPRI-7338")</f>
        <v>OEMPRI-7338</v>
      </c>
      <c r="B44" s="36" t="s">
        <v>429</v>
      </c>
      <c r="C44" s="36" t="s">
        <v>139</v>
      </c>
      <c r="D44" s="38">
        <v>43256.0</v>
      </c>
      <c r="E44" s="39">
        <v>43258.0</v>
      </c>
      <c r="F44" s="36" t="s">
        <v>160</v>
      </c>
      <c r="G44" s="36" t="s">
        <v>141</v>
      </c>
      <c r="H44" s="40" t="s">
        <v>141</v>
      </c>
      <c r="I44" s="41">
        <v>43255.0</v>
      </c>
      <c r="J44" s="41">
        <v>43258.0</v>
      </c>
      <c r="K44" s="42"/>
      <c r="L44" s="42"/>
      <c r="M44" s="42"/>
      <c r="N44" s="42"/>
      <c r="O44" s="42"/>
      <c r="P44" s="42"/>
      <c r="Q44" s="42"/>
      <c r="R44" s="42"/>
      <c r="S44" s="42"/>
      <c r="T44" s="42"/>
      <c r="U44" s="42"/>
      <c r="V44" s="42"/>
      <c r="W44" s="42"/>
      <c r="X44" s="42"/>
      <c r="Y44" s="42"/>
      <c r="Z44" s="42"/>
    </row>
    <row r="45" hidden="1">
      <c r="A45" s="34" t="str">
        <f>hyperlink("https://issues.sierrawireless.com/browse/OEMPRI-7342", "OEMPRI-7342")</f>
        <v>OEMPRI-7342</v>
      </c>
      <c r="B45" s="36" t="s">
        <v>433</v>
      </c>
      <c r="C45" s="36" t="s">
        <v>139</v>
      </c>
      <c r="D45" s="38">
        <v>43256.0</v>
      </c>
      <c r="E45" s="39">
        <v>43262.0</v>
      </c>
      <c r="F45" s="36" t="s">
        <v>160</v>
      </c>
      <c r="G45" s="36" t="s">
        <v>148</v>
      </c>
      <c r="H45" s="40" t="s">
        <v>141</v>
      </c>
      <c r="I45" s="41">
        <v>43262.0</v>
      </c>
      <c r="J45" s="41">
        <v>43262.0</v>
      </c>
      <c r="K45" s="42"/>
      <c r="L45" s="42"/>
      <c r="M45" s="42"/>
      <c r="N45" s="42"/>
      <c r="O45" s="42"/>
      <c r="P45" s="42"/>
      <c r="Q45" s="42"/>
      <c r="R45" s="42"/>
      <c r="S45" s="42"/>
      <c r="T45" s="42"/>
      <c r="U45" s="42"/>
      <c r="V45" s="42"/>
      <c r="W45" s="42"/>
      <c r="X45" s="42"/>
      <c r="Y45" s="42"/>
      <c r="Z45" s="42"/>
    </row>
    <row r="46" hidden="1">
      <c r="A46" s="34" t="str">
        <f>hyperlink("https://issues.sierrawireless.com/browse/OEMPRI-7315", "OEMPRI-7315")</f>
        <v>OEMPRI-7315</v>
      </c>
      <c r="B46" s="36" t="s">
        <v>434</v>
      </c>
      <c r="C46" s="36" t="s">
        <v>139</v>
      </c>
      <c r="D46" s="38">
        <v>43255.0</v>
      </c>
      <c r="E46" s="39" t="s">
        <v>92</v>
      </c>
      <c r="F46" s="36" t="s">
        <v>119</v>
      </c>
      <c r="G46" s="36" t="s">
        <v>148</v>
      </c>
      <c r="H46" s="40" t="s">
        <v>122</v>
      </c>
      <c r="I46" s="41">
        <v>43255.0</v>
      </c>
      <c r="J46" s="41">
        <v>43255.0</v>
      </c>
      <c r="K46" s="42"/>
      <c r="L46" s="42"/>
      <c r="M46" s="42"/>
      <c r="N46" s="42"/>
      <c r="O46" s="42"/>
      <c r="P46" s="42"/>
      <c r="Q46" s="42"/>
      <c r="R46" s="42"/>
      <c r="S46" s="42"/>
      <c r="T46" s="42"/>
      <c r="U46" s="42"/>
      <c r="V46" s="42"/>
      <c r="W46" s="42"/>
      <c r="X46" s="42"/>
      <c r="Y46" s="42"/>
      <c r="Z46" s="42"/>
    </row>
    <row r="47" hidden="1">
      <c r="A47" s="34" t="str">
        <f>hyperlink("https://issues.sierrawireless.com/browse/OEMPRI-7316", "OEMPRI-7316")</f>
        <v>OEMPRI-7316</v>
      </c>
      <c r="B47" s="36" t="s">
        <v>435</v>
      </c>
      <c r="C47" s="36" t="s">
        <v>139</v>
      </c>
      <c r="D47" s="38">
        <v>43255.0</v>
      </c>
      <c r="E47" s="39" t="s">
        <v>92</v>
      </c>
      <c r="F47" s="36" t="s">
        <v>176</v>
      </c>
      <c r="G47" s="36" t="s">
        <v>148</v>
      </c>
      <c r="H47" s="40" t="s">
        <v>177</v>
      </c>
      <c r="I47" s="41">
        <v>43255.0</v>
      </c>
      <c r="J47" s="41">
        <v>43255.0</v>
      </c>
      <c r="K47" s="42"/>
      <c r="L47" s="42"/>
      <c r="M47" s="42"/>
      <c r="N47" s="42"/>
      <c r="O47" s="42"/>
      <c r="P47" s="42"/>
      <c r="Q47" s="42"/>
      <c r="R47" s="42"/>
      <c r="S47" s="42"/>
      <c r="T47" s="42"/>
      <c r="U47" s="42"/>
      <c r="V47" s="42"/>
      <c r="W47" s="42"/>
      <c r="X47" s="42"/>
      <c r="Y47" s="42"/>
      <c r="Z47" s="42"/>
    </row>
    <row r="48" hidden="1">
      <c r="A48" s="34" t="str">
        <f>hyperlink("https://issues.sierrawireless.com/browse/OEMPRI-7322", "OEMPRI-7322")</f>
        <v>OEMPRI-7322</v>
      </c>
      <c r="B48" s="36" t="s">
        <v>444</v>
      </c>
      <c r="C48" s="36" t="s">
        <v>139</v>
      </c>
      <c r="D48" s="38">
        <v>43255.0</v>
      </c>
      <c r="E48" s="39" t="s">
        <v>92</v>
      </c>
      <c r="F48" s="36" t="s">
        <v>166</v>
      </c>
      <c r="G48" s="36" t="s">
        <v>140</v>
      </c>
      <c r="H48" s="40" t="s">
        <v>141</v>
      </c>
      <c r="I48" s="41">
        <v>43255.0</v>
      </c>
      <c r="J48" s="41">
        <v>43255.0</v>
      </c>
      <c r="K48" s="42"/>
      <c r="L48" s="42"/>
      <c r="M48" s="42"/>
      <c r="N48" s="42"/>
      <c r="O48" s="42"/>
      <c r="P48" s="42"/>
      <c r="Q48" s="42"/>
      <c r="R48" s="42"/>
      <c r="S48" s="42"/>
      <c r="T48" s="42"/>
      <c r="U48" s="42"/>
      <c r="V48" s="42"/>
      <c r="W48" s="42"/>
      <c r="X48" s="42"/>
      <c r="Y48" s="42"/>
      <c r="Z48" s="42"/>
    </row>
    <row r="49" hidden="1">
      <c r="A49" s="34" t="str">
        <f>hyperlink("https://issues.sierrawireless.com/browse/OEMPRI-7324", "OEMPRI-7324")</f>
        <v>OEMPRI-7324</v>
      </c>
      <c r="B49" s="36" t="s">
        <v>449</v>
      </c>
      <c r="C49" s="36" t="s">
        <v>139</v>
      </c>
      <c r="D49" s="38">
        <v>43255.0</v>
      </c>
      <c r="E49" s="39">
        <v>43259.0</v>
      </c>
      <c r="F49" s="36" t="s">
        <v>160</v>
      </c>
      <c r="G49" s="36" t="s">
        <v>148</v>
      </c>
      <c r="H49" s="40" t="s">
        <v>141</v>
      </c>
      <c r="I49" s="41">
        <v>43255.0</v>
      </c>
      <c r="J49" s="41">
        <v>43255.0</v>
      </c>
      <c r="K49" s="42"/>
      <c r="L49" s="42"/>
      <c r="M49" s="42"/>
      <c r="N49" s="42"/>
      <c r="O49" s="42"/>
      <c r="P49" s="42"/>
      <c r="Q49" s="42"/>
      <c r="R49" s="42"/>
      <c r="S49" s="42"/>
      <c r="T49" s="42"/>
      <c r="U49" s="42"/>
      <c r="V49" s="42"/>
      <c r="W49" s="42"/>
      <c r="X49" s="42"/>
      <c r="Y49" s="42"/>
      <c r="Z49" s="42"/>
    </row>
    <row r="50" hidden="1">
      <c r="A50" s="34" t="str">
        <f>hyperlink("https://issues.sierrawireless.com/browse/OEMPRI-7323", "OEMPRI-7323")</f>
        <v>OEMPRI-7323</v>
      </c>
      <c r="B50" s="36" t="s">
        <v>460</v>
      </c>
      <c r="C50" s="36" t="s">
        <v>139</v>
      </c>
      <c r="D50" s="38">
        <v>43255.0</v>
      </c>
      <c r="E50" s="39">
        <v>43258.0</v>
      </c>
      <c r="F50" s="36" t="s">
        <v>160</v>
      </c>
      <c r="G50" s="36" t="s">
        <v>148</v>
      </c>
      <c r="H50" s="40" t="s">
        <v>141</v>
      </c>
      <c r="I50" s="41">
        <v>43255.0</v>
      </c>
      <c r="J50" s="41">
        <v>43255.0</v>
      </c>
      <c r="K50" s="42"/>
      <c r="L50" s="42"/>
      <c r="M50" s="42"/>
      <c r="N50" s="42"/>
      <c r="O50" s="42"/>
      <c r="P50" s="42"/>
      <c r="Q50" s="42"/>
      <c r="R50" s="42"/>
      <c r="S50" s="42"/>
      <c r="T50" s="42"/>
      <c r="U50" s="42"/>
      <c r="V50" s="42"/>
      <c r="W50" s="42"/>
      <c r="X50" s="42"/>
      <c r="Y50" s="42"/>
      <c r="Z50" s="42"/>
    </row>
    <row r="51" hidden="1">
      <c r="A51" s="34" t="str">
        <f>hyperlink("https://issues.sierrawireless.com/browse/OEMPRI-7531", "OEMPRI-7531")</f>
        <v>OEMPRI-7531</v>
      </c>
      <c r="B51" s="36" t="s">
        <v>463</v>
      </c>
      <c r="C51" s="36" t="s">
        <v>139</v>
      </c>
      <c r="D51" s="38">
        <v>43277.0</v>
      </c>
      <c r="E51" s="39">
        <v>43278.0</v>
      </c>
      <c r="F51" s="36" t="s">
        <v>176</v>
      </c>
      <c r="G51" s="36" t="s">
        <v>170</v>
      </c>
      <c r="H51" s="40" t="s">
        <v>170</v>
      </c>
      <c r="I51" s="41">
        <v>43276.0</v>
      </c>
      <c r="J51" s="41">
        <v>43278.0</v>
      </c>
      <c r="K51" s="42"/>
      <c r="L51" s="42"/>
      <c r="M51" s="42"/>
      <c r="N51" s="42"/>
      <c r="O51" s="42"/>
      <c r="P51" s="42"/>
      <c r="Q51" s="42"/>
      <c r="R51" s="42"/>
      <c r="S51" s="42"/>
      <c r="T51" s="42"/>
      <c r="U51" s="42"/>
      <c r="V51" s="42"/>
      <c r="W51" s="42"/>
      <c r="X51" s="42"/>
      <c r="Y51" s="42"/>
      <c r="Z51" s="42"/>
    </row>
    <row r="52" hidden="1">
      <c r="A52" s="34" t="str">
        <f>hyperlink("https://issues.sierrawireless.com/browse/OEMPRI-7541", "OEMPRI-7541")</f>
        <v>OEMPRI-7541</v>
      </c>
      <c r="B52" s="36" t="s">
        <v>468</v>
      </c>
      <c r="C52" s="36" t="s">
        <v>469</v>
      </c>
      <c r="D52" s="38">
        <v>43278.0</v>
      </c>
      <c r="E52" s="39">
        <v>43279.0</v>
      </c>
      <c r="F52" s="36" t="s">
        <v>176</v>
      </c>
      <c r="G52" s="36" t="s">
        <v>140</v>
      </c>
      <c r="H52" s="40" t="s">
        <v>233</v>
      </c>
      <c r="I52" s="41">
        <v>43276.0</v>
      </c>
      <c r="J52" s="41">
        <v>43278.0</v>
      </c>
      <c r="K52" s="42"/>
      <c r="L52" s="42"/>
      <c r="M52" s="42"/>
      <c r="N52" s="42"/>
      <c r="O52" s="42"/>
      <c r="P52" s="42"/>
      <c r="Q52" s="42"/>
      <c r="R52" s="42"/>
      <c r="S52" s="42"/>
      <c r="T52" s="42"/>
      <c r="U52" s="42"/>
      <c r="V52" s="42"/>
      <c r="W52" s="42"/>
      <c r="X52" s="42"/>
      <c r="Y52" s="42"/>
      <c r="Z52" s="42"/>
    </row>
    <row r="53" hidden="1">
      <c r="A53" s="34" t="str">
        <f>hyperlink("https://issues.sierrawireless.com/browse/OEMPRI-7542", "OEMPRI-7542")</f>
        <v>OEMPRI-7542</v>
      </c>
      <c r="B53" s="36" t="s">
        <v>474</v>
      </c>
      <c r="C53" s="36" t="s">
        <v>139</v>
      </c>
      <c r="D53" s="38">
        <v>43278.0</v>
      </c>
      <c r="E53" s="39">
        <v>43279.0</v>
      </c>
      <c r="F53" s="36" t="s">
        <v>160</v>
      </c>
      <c r="G53" s="36" t="s">
        <v>141</v>
      </c>
      <c r="H53" s="40" t="s">
        <v>141</v>
      </c>
      <c r="I53" s="41">
        <v>43276.0</v>
      </c>
      <c r="J53" s="41">
        <v>43280.0</v>
      </c>
      <c r="K53" s="42"/>
      <c r="L53" s="42"/>
      <c r="M53" s="42"/>
      <c r="N53" s="42"/>
      <c r="O53" s="42"/>
      <c r="P53" s="42"/>
      <c r="Q53" s="42"/>
      <c r="R53" s="42"/>
      <c r="S53" s="42"/>
      <c r="T53" s="42"/>
      <c r="U53" s="42"/>
      <c r="V53" s="42"/>
      <c r="W53" s="42"/>
      <c r="X53" s="42"/>
      <c r="Y53" s="42"/>
      <c r="Z53" s="42"/>
    </row>
    <row r="54" hidden="1">
      <c r="A54" s="34" t="str">
        <f>hyperlink("https://issues.sierrawireless.com/browse/OEMPRI-7286", "OEMPRI-7286")</f>
        <v>OEMPRI-7286</v>
      </c>
      <c r="B54" s="36" t="s">
        <v>477</v>
      </c>
      <c r="C54" s="36" t="s">
        <v>225</v>
      </c>
      <c r="D54" s="38">
        <v>43251.0</v>
      </c>
      <c r="E54" s="39" t="s">
        <v>92</v>
      </c>
      <c r="F54" s="36" t="s">
        <v>176</v>
      </c>
      <c r="G54" s="36" t="s">
        <v>140</v>
      </c>
      <c r="H54" s="40" t="s">
        <v>233</v>
      </c>
      <c r="I54" s="41">
        <v>43248.0</v>
      </c>
      <c r="J54" s="41">
        <v>43252.0</v>
      </c>
      <c r="K54" s="42"/>
      <c r="L54" s="42"/>
      <c r="M54" s="42"/>
      <c r="N54" s="42"/>
      <c r="O54" s="42"/>
      <c r="P54" s="42"/>
      <c r="Q54" s="42"/>
      <c r="R54" s="42"/>
      <c r="S54" s="42"/>
      <c r="T54" s="42"/>
      <c r="U54" s="42"/>
      <c r="V54" s="42"/>
      <c r="W54" s="42"/>
      <c r="X54" s="42"/>
      <c r="Y54" s="42"/>
      <c r="Z54" s="42"/>
    </row>
    <row r="55" hidden="1">
      <c r="A55" s="34" t="str">
        <f>hyperlink("https://issues.sierrawireless.com/browse/OEMPRI-7287", "OEMPRI-7287")</f>
        <v>OEMPRI-7287</v>
      </c>
      <c r="B55" s="36" t="s">
        <v>483</v>
      </c>
      <c r="C55" s="36" t="s">
        <v>139</v>
      </c>
      <c r="D55" s="38">
        <v>43251.0</v>
      </c>
      <c r="E55" s="39" t="s">
        <v>92</v>
      </c>
      <c r="F55" s="36" t="s">
        <v>160</v>
      </c>
      <c r="G55" s="36" t="s">
        <v>170</v>
      </c>
      <c r="H55" s="40" t="s">
        <v>170</v>
      </c>
      <c r="I55" s="41">
        <v>43262.0</v>
      </c>
      <c r="J55" s="41">
        <v>43262.0</v>
      </c>
      <c r="K55" s="42"/>
      <c r="L55" s="42"/>
      <c r="M55" s="42"/>
      <c r="N55" s="42"/>
      <c r="O55" s="42"/>
      <c r="P55" s="42"/>
      <c r="Q55" s="42"/>
      <c r="R55" s="42"/>
      <c r="S55" s="42"/>
      <c r="T55" s="42"/>
      <c r="U55" s="42"/>
      <c r="V55" s="42"/>
      <c r="W55" s="42"/>
      <c r="X55" s="42"/>
      <c r="Y55" s="42"/>
      <c r="Z55" s="42"/>
    </row>
    <row r="56" hidden="1">
      <c r="A56" s="34" t="str">
        <f>hyperlink("https://issues.sierrawireless.com/browse/OEMPRI-7288", "OEMPRI-7288")</f>
        <v>OEMPRI-7288</v>
      </c>
      <c r="B56" s="36" t="s">
        <v>491</v>
      </c>
      <c r="C56" s="36" t="s">
        <v>139</v>
      </c>
      <c r="D56" s="38">
        <v>43251.0</v>
      </c>
      <c r="E56" s="39" t="s">
        <v>92</v>
      </c>
      <c r="F56" s="36" t="s">
        <v>166</v>
      </c>
      <c r="G56" s="36" t="s">
        <v>140</v>
      </c>
      <c r="H56" s="40" t="s">
        <v>216</v>
      </c>
      <c r="I56" s="41">
        <v>43248.0</v>
      </c>
      <c r="J56" s="41">
        <v>43252.0</v>
      </c>
      <c r="K56" s="42"/>
      <c r="L56" s="42"/>
      <c r="M56" s="42"/>
      <c r="N56" s="42"/>
      <c r="O56" s="42"/>
      <c r="P56" s="42"/>
      <c r="Q56" s="42"/>
      <c r="R56" s="42"/>
      <c r="S56" s="42"/>
      <c r="T56" s="42"/>
      <c r="U56" s="42"/>
      <c r="V56" s="42"/>
      <c r="W56" s="42"/>
      <c r="X56" s="42"/>
      <c r="Y56" s="42"/>
      <c r="Z56" s="42"/>
    </row>
    <row r="57" hidden="1">
      <c r="A57" s="34" t="str">
        <f>hyperlink("https://issues.sierrawireless.com/browse/OEMPRI-7289", "OEMPRI-7289")</f>
        <v>OEMPRI-7289</v>
      </c>
      <c r="B57" s="36" t="s">
        <v>498</v>
      </c>
      <c r="C57" s="36" t="s">
        <v>139</v>
      </c>
      <c r="D57" s="38">
        <v>43251.0</v>
      </c>
      <c r="E57" s="39">
        <v>43259.0</v>
      </c>
      <c r="F57" s="36" t="s">
        <v>215</v>
      </c>
      <c r="G57" s="36" t="s">
        <v>148</v>
      </c>
      <c r="H57" s="40" t="s">
        <v>216</v>
      </c>
      <c r="I57" s="41">
        <v>43262.0</v>
      </c>
      <c r="J57" s="41">
        <v>43257.0</v>
      </c>
      <c r="K57" s="42"/>
      <c r="L57" s="42"/>
      <c r="M57" s="42"/>
      <c r="N57" s="42"/>
      <c r="O57" s="42"/>
      <c r="P57" s="42"/>
      <c r="Q57" s="42"/>
      <c r="R57" s="42"/>
      <c r="S57" s="42"/>
      <c r="T57" s="42"/>
      <c r="U57" s="42"/>
      <c r="V57" s="42"/>
      <c r="W57" s="42"/>
      <c r="X57" s="42"/>
      <c r="Y57" s="42"/>
      <c r="Z57" s="42"/>
    </row>
    <row r="58" hidden="1">
      <c r="A58" s="34" t="str">
        <f>hyperlink("https://issues.sierrawireless.com/browse/OEMPRI-7262", "OEMPRI-7262")</f>
        <v>OEMPRI-7262</v>
      </c>
      <c r="B58" s="36" t="s">
        <v>508</v>
      </c>
      <c r="C58" s="36" t="s">
        <v>139</v>
      </c>
      <c r="D58" s="38">
        <v>43249.0</v>
      </c>
      <c r="E58" s="39">
        <v>43251.0</v>
      </c>
      <c r="F58" s="36" t="s">
        <v>166</v>
      </c>
      <c r="G58" s="36" t="s">
        <v>140</v>
      </c>
      <c r="H58" s="40" t="s">
        <v>141</v>
      </c>
      <c r="I58" s="41">
        <v>43248.0</v>
      </c>
      <c r="J58" s="41">
        <v>43251.0</v>
      </c>
      <c r="K58" s="42"/>
      <c r="L58" s="42"/>
      <c r="M58" s="42"/>
      <c r="N58" s="42"/>
      <c r="O58" s="42"/>
      <c r="P58" s="42"/>
      <c r="Q58" s="42"/>
      <c r="R58" s="42"/>
      <c r="S58" s="42"/>
      <c r="T58" s="42"/>
      <c r="U58" s="42"/>
      <c r="V58" s="42"/>
      <c r="W58" s="42"/>
      <c r="X58" s="42"/>
      <c r="Y58" s="42"/>
      <c r="Z58" s="42"/>
    </row>
    <row r="59" hidden="1">
      <c r="A59" s="34" t="str">
        <f>hyperlink("https://issues.sierrawireless.com/browse/OEMPRI-7263", "OEMPRI-7263")</f>
        <v>OEMPRI-7263</v>
      </c>
      <c r="B59" s="36" t="s">
        <v>511</v>
      </c>
      <c r="C59" s="36" t="s">
        <v>139</v>
      </c>
      <c r="D59" s="38">
        <v>43249.0</v>
      </c>
      <c r="E59" s="39">
        <v>43257.0</v>
      </c>
      <c r="F59" s="36" t="s">
        <v>160</v>
      </c>
      <c r="G59" s="36" t="s">
        <v>148</v>
      </c>
      <c r="H59" s="40" t="s">
        <v>141</v>
      </c>
      <c r="I59" s="41">
        <v>43255.0</v>
      </c>
      <c r="J59" s="41">
        <v>43256.0</v>
      </c>
      <c r="K59" s="42"/>
      <c r="L59" s="42"/>
      <c r="M59" s="42"/>
      <c r="N59" s="42"/>
      <c r="O59" s="42"/>
      <c r="P59" s="42"/>
      <c r="Q59" s="42"/>
      <c r="R59" s="42"/>
      <c r="S59" s="42"/>
      <c r="T59" s="42"/>
      <c r="U59" s="42"/>
      <c r="V59" s="42"/>
      <c r="W59" s="42"/>
      <c r="X59" s="42"/>
      <c r="Y59" s="42"/>
      <c r="Z59" s="42"/>
    </row>
    <row r="60" hidden="1">
      <c r="A60" s="34" t="str">
        <f>hyperlink("https://issues.sierrawireless.com/browse/OEMPRI-7265", "OEMPRI-7265")</f>
        <v>OEMPRI-7265</v>
      </c>
      <c r="B60" s="36" t="s">
        <v>518</v>
      </c>
      <c r="C60" s="36" t="s">
        <v>139</v>
      </c>
      <c r="D60" s="38">
        <v>43249.0</v>
      </c>
      <c r="E60" s="39">
        <v>43248.0</v>
      </c>
      <c r="F60" s="36" t="s">
        <v>160</v>
      </c>
      <c r="G60" s="36" t="s">
        <v>141</v>
      </c>
      <c r="H60" s="40" t="s">
        <v>141</v>
      </c>
      <c r="I60" s="41">
        <v>43248.0</v>
      </c>
      <c r="J60" s="41">
        <v>43251.0</v>
      </c>
      <c r="K60" s="42"/>
      <c r="L60" s="42"/>
      <c r="M60" s="42"/>
      <c r="N60" s="42"/>
      <c r="O60" s="42"/>
      <c r="P60" s="42"/>
      <c r="Q60" s="42"/>
      <c r="R60" s="42"/>
      <c r="S60" s="42"/>
      <c r="T60" s="42"/>
      <c r="U60" s="42"/>
      <c r="V60" s="42"/>
      <c r="W60" s="42"/>
      <c r="X60" s="42"/>
      <c r="Y60" s="42"/>
      <c r="Z60" s="42"/>
    </row>
    <row r="61" hidden="1">
      <c r="A61" s="34" t="str">
        <f>hyperlink("https://issues.sierrawireless.com/browse/OEMPRI-7266", "OEMPRI-7266")</f>
        <v>OEMPRI-7266</v>
      </c>
      <c r="B61" s="36" t="s">
        <v>528</v>
      </c>
      <c r="C61" s="36" t="s">
        <v>139</v>
      </c>
      <c r="D61" s="38">
        <v>43249.0</v>
      </c>
      <c r="E61" s="39">
        <v>43248.0</v>
      </c>
      <c r="F61" s="36" t="s">
        <v>166</v>
      </c>
      <c r="G61" s="36" t="s">
        <v>148</v>
      </c>
      <c r="H61" s="40" t="s">
        <v>141</v>
      </c>
      <c r="I61" s="41">
        <v>43255.0</v>
      </c>
      <c r="J61" s="41">
        <v>43255.0</v>
      </c>
      <c r="K61" s="42"/>
      <c r="L61" s="42"/>
      <c r="M61" s="42"/>
      <c r="N61" s="42"/>
      <c r="O61" s="42"/>
      <c r="P61" s="42"/>
      <c r="Q61" s="42"/>
      <c r="R61" s="42"/>
      <c r="S61" s="42"/>
      <c r="T61" s="42"/>
      <c r="U61" s="42"/>
      <c r="V61" s="42"/>
      <c r="W61" s="42"/>
      <c r="X61" s="42"/>
      <c r="Y61" s="42"/>
      <c r="Z61" s="42"/>
    </row>
    <row r="62" hidden="1">
      <c r="A62" s="34" t="str">
        <f>hyperlink("https://issues.sierrawireless.com/browse/OEMPRI-7255", "OEMPRI-7255")</f>
        <v>OEMPRI-7255</v>
      </c>
      <c r="B62" s="36" t="s">
        <v>535</v>
      </c>
      <c r="C62" s="36" t="s">
        <v>139</v>
      </c>
      <c r="D62" s="38">
        <v>43248.0</v>
      </c>
      <c r="E62" s="39" t="s">
        <v>92</v>
      </c>
      <c r="F62" s="36" t="s">
        <v>166</v>
      </c>
      <c r="G62" s="36" t="s">
        <v>536</v>
      </c>
      <c r="H62" s="40" t="s">
        <v>536</v>
      </c>
      <c r="I62" s="41">
        <v>43255.0</v>
      </c>
      <c r="J62" s="41">
        <v>43259.0</v>
      </c>
      <c r="K62" s="42"/>
      <c r="L62" s="42"/>
      <c r="M62" s="42"/>
      <c r="N62" s="42"/>
      <c r="O62" s="42"/>
      <c r="P62" s="42"/>
      <c r="Q62" s="42"/>
      <c r="R62" s="42"/>
      <c r="S62" s="42"/>
      <c r="T62" s="42"/>
      <c r="U62" s="42"/>
      <c r="V62" s="42"/>
      <c r="W62" s="42"/>
      <c r="X62" s="42"/>
      <c r="Y62" s="42"/>
      <c r="Z62" s="42"/>
    </row>
    <row r="63" hidden="1">
      <c r="A63" s="34" t="str">
        <f>hyperlink("https://issues.sierrawireless.com/browse/OEMPRI-7250", "OEMPRI-7250")</f>
        <v>OEMPRI-7250</v>
      </c>
      <c r="B63" s="36" t="s">
        <v>543</v>
      </c>
      <c r="C63" s="36" t="s">
        <v>139</v>
      </c>
      <c r="D63" s="38">
        <v>43245.0</v>
      </c>
      <c r="E63" s="39" t="s">
        <v>92</v>
      </c>
      <c r="F63" s="36" t="s">
        <v>176</v>
      </c>
      <c r="G63" s="36" t="s">
        <v>170</v>
      </c>
      <c r="H63" s="40" t="s">
        <v>170</v>
      </c>
      <c r="I63" s="41">
        <v>43248.0</v>
      </c>
      <c r="J63" s="41">
        <v>43248.0</v>
      </c>
      <c r="K63" s="42"/>
      <c r="L63" s="42"/>
      <c r="M63" s="42"/>
      <c r="N63" s="42"/>
      <c r="O63" s="42"/>
      <c r="P63" s="42"/>
      <c r="Q63" s="42"/>
      <c r="R63" s="42"/>
      <c r="S63" s="42"/>
      <c r="T63" s="42"/>
      <c r="U63" s="42"/>
      <c r="V63" s="42"/>
      <c r="W63" s="42"/>
      <c r="X63" s="42"/>
      <c r="Y63" s="42"/>
      <c r="Z63" s="42"/>
    </row>
    <row r="64" hidden="1">
      <c r="A64" s="34" t="str">
        <f>hyperlink("https://issues.sierrawireless.com/browse/OEMPRI-7240", "OEMPRI-7240")</f>
        <v>OEMPRI-7240</v>
      </c>
      <c r="B64" s="36" t="s">
        <v>549</v>
      </c>
      <c r="C64" s="36" t="s">
        <v>86</v>
      </c>
      <c r="D64" s="38">
        <v>43244.0</v>
      </c>
      <c r="E64" s="39" t="s">
        <v>92</v>
      </c>
      <c r="F64" s="36" t="s">
        <v>176</v>
      </c>
      <c r="G64" s="36" t="s">
        <v>140</v>
      </c>
      <c r="H64" s="40" t="s">
        <v>140</v>
      </c>
      <c r="I64" s="41">
        <v>43248.0</v>
      </c>
      <c r="J64" s="41">
        <v>43251.0</v>
      </c>
      <c r="K64" s="42"/>
      <c r="L64" s="42"/>
      <c r="M64" s="42"/>
      <c r="N64" s="42"/>
      <c r="O64" s="42"/>
      <c r="P64" s="42"/>
      <c r="Q64" s="42"/>
      <c r="R64" s="42"/>
      <c r="S64" s="42"/>
      <c r="T64" s="42"/>
      <c r="U64" s="42"/>
      <c r="V64" s="42"/>
      <c r="W64" s="42"/>
      <c r="X64" s="42"/>
      <c r="Y64" s="42"/>
      <c r="Z64" s="42"/>
    </row>
    <row r="65" hidden="1">
      <c r="A65" s="34" t="str">
        <f>hyperlink("https://issues.sierrawireless.com/browse/OEMPRI-7248", "OEMPRI-7248")</f>
        <v>OEMPRI-7248</v>
      </c>
      <c r="B65" s="36" t="s">
        <v>555</v>
      </c>
      <c r="C65" s="36" t="s">
        <v>139</v>
      </c>
      <c r="D65" s="38">
        <v>43244.0</v>
      </c>
      <c r="E65" s="39" t="s">
        <v>92</v>
      </c>
      <c r="F65" s="36" t="s">
        <v>160</v>
      </c>
      <c r="G65" s="36" t="s">
        <v>140</v>
      </c>
      <c r="H65" s="40" t="s">
        <v>490</v>
      </c>
      <c r="I65" s="41">
        <v>43248.0</v>
      </c>
      <c r="J65" s="41">
        <v>43252.0</v>
      </c>
      <c r="K65" s="42"/>
      <c r="L65" s="42"/>
      <c r="M65" s="42"/>
      <c r="N65" s="42"/>
      <c r="O65" s="42"/>
      <c r="P65" s="42"/>
      <c r="Q65" s="42"/>
      <c r="R65" s="42"/>
      <c r="S65" s="42"/>
      <c r="T65" s="42"/>
      <c r="U65" s="42"/>
      <c r="V65" s="42"/>
      <c r="W65" s="42"/>
      <c r="X65" s="42"/>
      <c r="Y65" s="42"/>
      <c r="Z65" s="42"/>
    </row>
    <row r="66" hidden="1">
      <c r="A66" s="34" t="str">
        <f>hyperlink("https://issues.sierrawireless.com/browse/OEMPRI-7249", "OEMPRI-7249")</f>
        <v>OEMPRI-7249</v>
      </c>
      <c r="B66" s="36" t="s">
        <v>561</v>
      </c>
      <c r="C66" s="36" t="s">
        <v>139</v>
      </c>
      <c r="D66" s="38">
        <v>43244.0</v>
      </c>
      <c r="E66" s="39">
        <v>43248.0</v>
      </c>
      <c r="F66" s="36" t="s">
        <v>160</v>
      </c>
      <c r="G66" s="36" t="s">
        <v>141</v>
      </c>
      <c r="H66" s="40" t="s">
        <v>141</v>
      </c>
      <c r="I66" s="41">
        <v>43248.0</v>
      </c>
      <c r="J66" s="41">
        <v>43248.0</v>
      </c>
      <c r="K66" s="42"/>
      <c r="L66" s="42"/>
      <c r="M66" s="42"/>
      <c r="N66" s="42"/>
      <c r="O66" s="42"/>
      <c r="P66" s="42"/>
      <c r="Q66" s="42"/>
      <c r="R66" s="42"/>
      <c r="S66" s="42"/>
      <c r="T66" s="42"/>
      <c r="U66" s="42"/>
      <c r="V66" s="42"/>
      <c r="W66" s="42"/>
      <c r="X66" s="42"/>
      <c r="Y66" s="42"/>
      <c r="Z66" s="42"/>
    </row>
    <row r="67" hidden="1">
      <c r="A67" s="34" t="str">
        <f>hyperlink("https://issues.sierrawireless.com/browse/COUGAR-2945", "COUGAR-2945")</f>
        <v>COUGAR-2945</v>
      </c>
      <c r="B67" s="36" t="s">
        <v>555</v>
      </c>
      <c r="C67" s="36" t="s">
        <v>417</v>
      </c>
      <c r="D67" s="38">
        <v>43244.0</v>
      </c>
      <c r="E67" s="39" t="s">
        <v>92</v>
      </c>
      <c r="F67" s="36" t="s">
        <v>160</v>
      </c>
      <c r="G67" s="36" t="s">
        <v>140</v>
      </c>
      <c r="H67" s="40" t="s">
        <v>490</v>
      </c>
      <c r="I67" s="41">
        <v>43248.0</v>
      </c>
      <c r="J67" s="41">
        <v>43252.0</v>
      </c>
      <c r="K67" s="42"/>
      <c r="L67" s="42"/>
      <c r="M67" s="42"/>
      <c r="N67" s="42"/>
      <c r="O67" s="42"/>
      <c r="P67" s="42"/>
      <c r="Q67" s="42"/>
      <c r="R67" s="42"/>
      <c r="S67" s="42"/>
      <c r="T67" s="42"/>
      <c r="U67" s="42"/>
      <c r="V67" s="42"/>
      <c r="W67" s="42"/>
      <c r="X67" s="42"/>
      <c r="Y67" s="42"/>
      <c r="Z67" s="42"/>
    </row>
    <row r="68" hidden="1">
      <c r="A68" s="34" t="str">
        <f>hyperlink("https://issues.sierrawireless.com/browse/OEMPRI-7225", "OEMPRI-7225")</f>
        <v>OEMPRI-7225</v>
      </c>
      <c r="B68" s="36" t="s">
        <v>571</v>
      </c>
      <c r="C68" s="36" t="s">
        <v>139</v>
      </c>
      <c r="D68" s="38">
        <v>43243.0</v>
      </c>
      <c r="E68" s="39" t="s">
        <v>92</v>
      </c>
      <c r="F68" s="36" t="s">
        <v>176</v>
      </c>
      <c r="G68" s="36" t="s">
        <v>140</v>
      </c>
      <c r="H68" s="40" t="s">
        <v>140</v>
      </c>
      <c r="I68" s="41">
        <v>43248.0</v>
      </c>
      <c r="J68" s="41">
        <v>43250.0</v>
      </c>
      <c r="K68" s="42"/>
      <c r="L68" s="42"/>
      <c r="M68" s="42"/>
      <c r="N68" s="42"/>
      <c r="O68" s="42"/>
      <c r="P68" s="42"/>
      <c r="Q68" s="42"/>
      <c r="R68" s="42"/>
      <c r="S68" s="42"/>
      <c r="T68" s="42"/>
      <c r="U68" s="42"/>
      <c r="V68" s="42"/>
      <c r="W68" s="42"/>
      <c r="X68" s="42"/>
      <c r="Y68" s="42"/>
      <c r="Z68" s="42"/>
    </row>
    <row r="69" hidden="1">
      <c r="A69" s="34" t="str">
        <f>hyperlink("https://issues.sierrawireless.com/browse/OEMPRI-7194", "OEMPRI-7194")</f>
        <v>OEMPRI-7194</v>
      </c>
      <c r="B69" s="36" t="s">
        <v>573</v>
      </c>
      <c r="C69" s="36" t="s">
        <v>175</v>
      </c>
      <c r="D69" s="38">
        <v>43242.0</v>
      </c>
      <c r="E69" s="39" t="s">
        <v>92</v>
      </c>
      <c r="F69" s="36" t="s">
        <v>176</v>
      </c>
      <c r="G69" s="36" t="s">
        <v>155</v>
      </c>
      <c r="H69" s="40" t="s">
        <v>155</v>
      </c>
      <c r="I69" s="41">
        <v>43241.0</v>
      </c>
      <c r="J69" s="41">
        <v>43245.0</v>
      </c>
      <c r="K69" s="42"/>
      <c r="L69" s="42"/>
      <c r="M69" s="42"/>
      <c r="N69" s="42"/>
      <c r="O69" s="42"/>
      <c r="P69" s="42"/>
      <c r="Q69" s="42"/>
      <c r="R69" s="42"/>
      <c r="S69" s="42"/>
      <c r="T69" s="42"/>
      <c r="U69" s="42"/>
      <c r="V69" s="42"/>
      <c r="W69" s="42"/>
      <c r="X69" s="42"/>
      <c r="Y69" s="42"/>
      <c r="Z69" s="42"/>
    </row>
    <row r="70" hidden="1">
      <c r="A70" s="34" t="str">
        <f>hyperlink("https://issues.sierrawireless.com/browse/OEMPRI-7199", "OEMPRI-7199")</f>
        <v>OEMPRI-7199</v>
      </c>
      <c r="B70" s="36" t="s">
        <v>574</v>
      </c>
      <c r="C70" s="36" t="s">
        <v>175</v>
      </c>
      <c r="D70" s="38">
        <v>43242.0</v>
      </c>
      <c r="E70" s="39">
        <v>43248.0</v>
      </c>
      <c r="F70" s="36" t="s">
        <v>176</v>
      </c>
      <c r="G70" s="36" t="s">
        <v>148</v>
      </c>
      <c r="H70" s="40" t="s">
        <v>177</v>
      </c>
      <c r="I70" s="41">
        <v>43241.0</v>
      </c>
      <c r="J70" s="41">
        <v>43243.0</v>
      </c>
      <c r="K70" s="42"/>
      <c r="L70" s="42"/>
      <c r="M70" s="42"/>
      <c r="N70" s="42"/>
      <c r="O70" s="42"/>
      <c r="P70" s="42"/>
      <c r="Q70" s="42"/>
      <c r="R70" s="42"/>
      <c r="S70" s="42"/>
      <c r="T70" s="42"/>
      <c r="U70" s="42"/>
      <c r="V70" s="42"/>
      <c r="W70" s="42"/>
      <c r="X70" s="42"/>
      <c r="Y70" s="42"/>
      <c r="Z70" s="42"/>
    </row>
    <row r="71" hidden="1">
      <c r="A71" s="34" t="str">
        <f>hyperlink("https://issues.sierrawireless.com/browse/OEMPRI-7204", "OEMPRI-7204")</f>
        <v>OEMPRI-7204</v>
      </c>
      <c r="B71" s="36" t="s">
        <v>577</v>
      </c>
      <c r="C71" s="36" t="s">
        <v>139</v>
      </c>
      <c r="D71" s="38">
        <v>43242.0</v>
      </c>
      <c r="E71" s="39" t="s">
        <v>92</v>
      </c>
      <c r="F71" s="36" t="s">
        <v>176</v>
      </c>
      <c r="G71" s="36" t="s">
        <v>148</v>
      </c>
      <c r="H71" s="40" t="s">
        <v>177</v>
      </c>
      <c r="I71" s="41">
        <v>43241.0</v>
      </c>
      <c r="J71" s="41">
        <v>43243.0</v>
      </c>
      <c r="K71" s="42"/>
      <c r="L71" s="42"/>
      <c r="M71" s="42"/>
      <c r="N71" s="42"/>
      <c r="O71" s="42"/>
      <c r="P71" s="42"/>
      <c r="Q71" s="42"/>
      <c r="R71" s="42"/>
      <c r="S71" s="42"/>
      <c r="T71" s="42"/>
      <c r="U71" s="42"/>
      <c r="V71" s="42"/>
      <c r="W71" s="42"/>
      <c r="X71" s="42"/>
      <c r="Y71" s="42"/>
      <c r="Z71" s="42"/>
    </row>
    <row r="72" hidden="1">
      <c r="A72" s="34" t="str">
        <f>hyperlink("https://issues.sierrawireless.com/browse/OEMPRI-7210", "OEMPRI-7210")</f>
        <v>OEMPRI-7210</v>
      </c>
      <c r="B72" s="36" t="s">
        <v>435</v>
      </c>
      <c r="C72" s="36" t="s">
        <v>139</v>
      </c>
      <c r="D72" s="38">
        <v>43242.0</v>
      </c>
      <c r="E72" s="39" t="s">
        <v>92</v>
      </c>
      <c r="F72" s="36" t="s">
        <v>176</v>
      </c>
      <c r="G72" s="36" t="s">
        <v>177</v>
      </c>
      <c r="H72" s="40" t="s">
        <v>177</v>
      </c>
      <c r="I72" s="41">
        <v>43241.0</v>
      </c>
      <c r="J72" s="41">
        <v>43243.0</v>
      </c>
      <c r="K72" s="42"/>
      <c r="L72" s="42"/>
      <c r="M72" s="42"/>
      <c r="N72" s="42"/>
      <c r="O72" s="42"/>
      <c r="P72" s="42"/>
      <c r="Q72" s="42"/>
      <c r="R72" s="42"/>
      <c r="S72" s="42"/>
      <c r="T72" s="42"/>
      <c r="U72" s="42"/>
      <c r="V72" s="42"/>
      <c r="W72" s="42"/>
      <c r="X72" s="42"/>
      <c r="Y72" s="42"/>
      <c r="Z72" s="42"/>
    </row>
    <row r="73" hidden="1">
      <c r="A73" s="34" t="str">
        <f>hyperlink("https://issues.sierrawireless.com/browse/OEMPRI-7216", "OEMPRI-7216")</f>
        <v>OEMPRI-7216</v>
      </c>
      <c r="B73" s="36" t="s">
        <v>588</v>
      </c>
      <c r="C73" s="36" t="s">
        <v>139</v>
      </c>
      <c r="D73" s="38">
        <v>43242.0</v>
      </c>
      <c r="E73" s="39">
        <v>43251.0</v>
      </c>
      <c r="F73" s="36" t="s">
        <v>176</v>
      </c>
      <c r="G73" s="36" t="s">
        <v>148</v>
      </c>
      <c r="H73" s="40" t="s">
        <v>177</v>
      </c>
      <c r="I73" s="41">
        <v>43248.0</v>
      </c>
      <c r="J73" s="41">
        <v>43249.0</v>
      </c>
      <c r="K73" s="42"/>
      <c r="L73" s="42"/>
      <c r="M73" s="42"/>
      <c r="N73" s="42"/>
      <c r="O73" s="42"/>
      <c r="P73" s="42"/>
      <c r="Q73" s="42"/>
      <c r="R73" s="42"/>
      <c r="S73" s="42"/>
      <c r="T73" s="42"/>
      <c r="U73" s="42"/>
      <c r="V73" s="42"/>
      <c r="W73" s="42"/>
      <c r="X73" s="42"/>
      <c r="Y73" s="42"/>
      <c r="Z73" s="42"/>
    </row>
    <row r="74" hidden="1">
      <c r="A74" s="34" t="str">
        <f>hyperlink("https://issues.sierrawireless.com/browse/OEMPRI-7221", "OEMPRI-7221")</f>
        <v>OEMPRI-7221</v>
      </c>
      <c r="B74" s="36" t="s">
        <v>592</v>
      </c>
      <c r="C74" s="36" t="s">
        <v>593</v>
      </c>
      <c r="D74" s="38">
        <v>43242.0</v>
      </c>
      <c r="E74" s="39" t="s">
        <v>92</v>
      </c>
      <c r="F74" s="36" t="s">
        <v>176</v>
      </c>
      <c r="G74" s="36" t="s">
        <v>155</v>
      </c>
      <c r="H74" s="40" t="s">
        <v>155</v>
      </c>
      <c r="I74" s="41">
        <v>43241.0</v>
      </c>
      <c r="J74" s="41">
        <v>43245.0</v>
      </c>
      <c r="K74" s="42"/>
      <c r="L74" s="42"/>
      <c r="M74" s="42"/>
      <c r="N74" s="42"/>
      <c r="O74" s="42"/>
      <c r="P74" s="42"/>
      <c r="Q74" s="42"/>
      <c r="R74" s="42"/>
      <c r="S74" s="42"/>
      <c r="T74" s="42"/>
      <c r="U74" s="42"/>
      <c r="V74" s="42"/>
      <c r="W74" s="42"/>
      <c r="X74" s="42"/>
      <c r="Y74" s="42"/>
      <c r="Z74" s="42"/>
    </row>
    <row r="75" hidden="1">
      <c r="A75" s="34" t="str">
        <f>hyperlink("https://issues.sierrawireless.com/browse/OEMPRI-7222", "OEMPRI-7222")</f>
        <v>OEMPRI-7222</v>
      </c>
      <c r="B75" s="36" t="s">
        <v>600</v>
      </c>
      <c r="C75" s="36" t="s">
        <v>139</v>
      </c>
      <c r="D75" s="38">
        <v>43242.0</v>
      </c>
      <c r="E75" s="39" t="s">
        <v>92</v>
      </c>
      <c r="F75" s="36" t="s">
        <v>160</v>
      </c>
      <c r="G75" s="36" t="s">
        <v>155</v>
      </c>
      <c r="H75" s="40" t="s">
        <v>155</v>
      </c>
      <c r="I75" s="41">
        <v>43241.0</v>
      </c>
      <c r="J75" s="41">
        <v>43245.0</v>
      </c>
      <c r="K75" s="42"/>
      <c r="L75" s="42"/>
      <c r="M75" s="42"/>
      <c r="N75" s="42"/>
      <c r="O75" s="42"/>
      <c r="P75" s="42"/>
      <c r="Q75" s="42"/>
      <c r="R75" s="42"/>
      <c r="S75" s="42"/>
      <c r="T75" s="42"/>
      <c r="U75" s="42"/>
      <c r="V75" s="42"/>
      <c r="W75" s="42"/>
      <c r="X75" s="42"/>
      <c r="Y75" s="42"/>
      <c r="Z75" s="42"/>
    </row>
    <row r="76" hidden="1">
      <c r="A76" s="34" t="str">
        <f>hyperlink("https://issues.sierrawireless.com/browse/OEMPRI-7556", "OEMPRI-7556")</f>
        <v>OEMPRI-7556</v>
      </c>
      <c r="B76" s="36" t="s">
        <v>606</v>
      </c>
      <c r="C76" s="36" t="s">
        <v>139</v>
      </c>
      <c r="D76" s="38">
        <v>43279.0</v>
      </c>
      <c r="E76" s="39">
        <v>43284.0</v>
      </c>
      <c r="F76" s="36" t="s">
        <v>160</v>
      </c>
      <c r="G76" s="36" t="s">
        <v>148</v>
      </c>
      <c r="H76" s="40" t="s">
        <v>609</v>
      </c>
      <c r="I76" s="41">
        <v>43283.0</v>
      </c>
      <c r="J76" s="41">
        <v>43284.0</v>
      </c>
      <c r="K76" s="42"/>
      <c r="L76" s="42"/>
      <c r="M76" s="42"/>
      <c r="N76" s="42"/>
      <c r="O76" s="42"/>
      <c r="P76" s="42"/>
      <c r="Q76" s="42"/>
      <c r="R76" s="42"/>
      <c r="S76" s="42"/>
      <c r="T76" s="42"/>
      <c r="U76" s="42"/>
      <c r="V76" s="42"/>
      <c r="W76" s="42"/>
      <c r="X76" s="42"/>
      <c r="Y76" s="42"/>
      <c r="Z76" s="42"/>
    </row>
    <row r="77" hidden="1">
      <c r="A77" s="61" t="str">
        <f>hyperlink("https://issues.sierrawireless.com/browse/OEMPRI-7161", "OEMPRI-7161")</f>
        <v>OEMPRI-7161</v>
      </c>
      <c r="B77" s="62" t="s">
        <v>621</v>
      </c>
      <c r="C77" s="62" t="s">
        <v>139</v>
      </c>
      <c r="D77" s="63">
        <v>43237.0</v>
      </c>
      <c r="E77" s="64" t="s">
        <v>92</v>
      </c>
      <c r="F77" s="62" t="s">
        <v>630</v>
      </c>
      <c r="G77" s="62" t="s">
        <v>633</v>
      </c>
      <c r="H77" s="65" t="s">
        <v>633</v>
      </c>
      <c r="I77" s="66">
        <v>43255.0</v>
      </c>
      <c r="J77" s="66">
        <v>43259.0</v>
      </c>
      <c r="K77" s="67"/>
      <c r="L77" s="67"/>
      <c r="M77" s="67"/>
      <c r="N77" s="67"/>
      <c r="O77" s="67"/>
      <c r="P77" s="67"/>
      <c r="Q77" s="67"/>
      <c r="R77" s="67"/>
      <c r="S77" s="67"/>
      <c r="T77" s="67"/>
      <c r="U77" s="67"/>
      <c r="V77" s="67"/>
      <c r="W77" s="67"/>
      <c r="X77" s="67"/>
      <c r="Y77" s="67"/>
      <c r="Z77" s="67"/>
    </row>
    <row r="78" hidden="1">
      <c r="A78" s="61" t="str">
        <f>hyperlink("https://issues.sierrawireless.com/browse/OEMPRI-7162", "OEMPRI-7162")</f>
        <v>OEMPRI-7162</v>
      </c>
      <c r="B78" s="62" t="s">
        <v>642</v>
      </c>
      <c r="C78" s="62" t="s">
        <v>139</v>
      </c>
      <c r="D78" s="63">
        <v>43237.0</v>
      </c>
      <c r="E78" s="64" t="s">
        <v>92</v>
      </c>
      <c r="F78" s="62" t="s">
        <v>630</v>
      </c>
      <c r="G78" s="62" t="s">
        <v>633</v>
      </c>
      <c r="H78" s="65" t="s">
        <v>633</v>
      </c>
      <c r="I78" s="66">
        <v>43255.0</v>
      </c>
      <c r="J78" s="66">
        <v>43259.0</v>
      </c>
      <c r="K78" s="67"/>
      <c r="L78" s="67"/>
      <c r="M78" s="67"/>
      <c r="N78" s="67"/>
      <c r="O78" s="67"/>
      <c r="P78" s="67"/>
      <c r="Q78" s="67"/>
      <c r="R78" s="67"/>
      <c r="S78" s="67"/>
      <c r="T78" s="67"/>
      <c r="U78" s="67"/>
      <c r="V78" s="67"/>
      <c r="W78" s="67"/>
      <c r="X78" s="67"/>
      <c r="Y78" s="67"/>
      <c r="Z78" s="67"/>
    </row>
    <row r="79" hidden="1">
      <c r="A79" s="34" t="str">
        <f>hyperlink("https://issues.sierrawireless.com/browse/OEMPRI-7155", "OEMPRI-7155")</f>
        <v>OEMPRI-7155</v>
      </c>
      <c r="B79" s="36" t="s">
        <v>647</v>
      </c>
      <c r="C79" s="36" t="s">
        <v>175</v>
      </c>
      <c r="D79" s="38">
        <v>43236.0</v>
      </c>
      <c r="E79" s="39">
        <v>43245.0</v>
      </c>
      <c r="F79" s="36" t="s">
        <v>160</v>
      </c>
      <c r="G79" s="36" t="s">
        <v>155</v>
      </c>
      <c r="H79" s="40" t="s">
        <v>155</v>
      </c>
      <c r="I79" s="41">
        <v>43241.0</v>
      </c>
      <c r="J79" s="41">
        <v>43243.0</v>
      </c>
      <c r="K79" s="42"/>
      <c r="L79" s="42"/>
      <c r="M79" s="42"/>
      <c r="N79" s="42"/>
      <c r="O79" s="42"/>
      <c r="P79" s="42"/>
      <c r="Q79" s="42"/>
      <c r="R79" s="42"/>
      <c r="S79" s="42"/>
      <c r="T79" s="42"/>
      <c r="U79" s="42"/>
      <c r="V79" s="42"/>
      <c r="W79" s="42"/>
      <c r="X79" s="42"/>
      <c r="Y79" s="42"/>
      <c r="Z79" s="42"/>
    </row>
    <row r="80" hidden="1">
      <c r="A80" s="34" t="str">
        <f>hyperlink("https://issues.sierrawireless.com/browse/OEMPRI-7137", "OEMPRI-7137")</f>
        <v>OEMPRI-7137</v>
      </c>
      <c r="B80" s="36" t="s">
        <v>653</v>
      </c>
      <c r="C80" s="36" t="s">
        <v>469</v>
      </c>
      <c r="D80" s="38">
        <v>43235.0</v>
      </c>
      <c r="E80" s="39">
        <v>43129.0</v>
      </c>
      <c r="F80" s="36" t="s">
        <v>215</v>
      </c>
      <c r="G80" s="36" t="s">
        <v>140</v>
      </c>
      <c r="H80" s="40" t="s">
        <v>216</v>
      </c>
      <c r="I80" s="41">
        <v>43248.0</v>
      </c>
      <c r="J80" s="41">
        <v>43249.0</v>
      </c>
      <c r="K80" s="42"/>
      <c r="L80" s="42"/>
      <c r="M80" s="42"/>
      <c r="N80" s="42"/>
      <c r="O80" s="42"/>
      <c r="P80" s="42"/>
      <c r="Q80" s="42"/>
      <c r="R80" s="42"/>
      <c r="S80" s="42"/>
      <c r="T80" s="42"/>
      <c r="U80" s="42"/>
      <c r="V80" s="42"/>
      <c r="W80" s="42"/>
      <c r="X80" s="42"/>
      <c r="Y80" s="42"/>
      <c r="Z80" s="42"/>
    </row>
    <row r="81" hidden="1">
      <c r="A81" s="34" t="str">
        <f>hyperlink("https://issues.sierrawireless.com/browse/OEMPRI-7559", "OEMPRI-7559")</f>
        <v>OEMPRI-7559</v>
      </c>
      <c r="B81" s="36" t="s">
        <v>657</v>
      </c>
      <c r="C81" s="36" t="s">
        <v>175</v>
      </c>
      <c r="D81" s="38">
        <v>43279.0</v>
      </c>
      <c r="E81" s="39">
        <v>43286.0</v>
      </c>
      <c r="F81" s="36" t="s">
        <v>160</v>
      </c>
      <c r="G81" s="36" t="s">
        <v>148</v>
      </c>
      <c r="H81" s="40" t="s">
        <v>609</v>
      </c>
      <c r="I81" s="41">
        <v>43283.0</v>
      </c>
      <c r="J81" s="41">
        <v>43285.0</v>
      </c>
      <c r="K81" s="42"/>
      <c r="L81" s="42"/>
      <c r="M81" s="42"/>
      <c r="N81" s="42"/>
      <c r="O81" s="42"/>
      <c r="P81" s="42"/>
      <c r="Q81" s="42"/>
      <c r="R81" s="42"/>
      <c r="S81" s="42"/>
      <c r="T81" s="42"/>
      <c r="U81" s="42"/>
      <c r="V81" s="42"/>
      <c r="W81" s="42"/>
      <c r="X81" s="42"/>
      <c r="Y81" s="42"/>
      <c r="Z81" s="42"/>
    </row>
    <row r="82" hidden="1">
      <c r="A82" s="34" t="str">
        <f>hyperlink("https://issues.sierrawireless.com/browse/OEMPRI-7149", "OEMPRI-7149")</f>
        <v>OEMPRI-7149</v>
      </c>
      <c r="B82" s="36" t="s">
        <v>665</v>
      </c>
      <c r="C82" s="36" t="s">
        <v>139</v>
      </c>
      <c r="D82" s="38">
        <v>43235.0</v>
      </c>
      <c r="E82" s="39" t="s">
        <v>92</v>
      </c>
      <c r="F82" s="36" t="s">
        <v>176</v>
      </c>
      <c r="G82" s="36" t="s">
        <v>140</v>
      </c>
      <c r="H82" s="40" t="s">
        <v>140</v>
      </c>
      <c r="I82" s="41">
        <v>43241.0</v>
      </c>
      <c r="J82" s="41">
        <v>43241.0</v>
      </c>
      <c r="K82" s="42"/>
      <c r="L82" s="42"/>
      <c r="M82" s="42"/>
      <c r="N82" s="42"/>
      <c r="O82" s="42"/>
      <c r="P82" s="42"/>
      <c r="Q82" s="42"/>
      <c r="R82" s="42"/>
      <c r="S82" s="42"/>
      <c r="T82" s="42"/>
      <c r="U82" s="42"/>
      <c r="V82" s="42"/>
      <c r="W82" s="42"/>
      <c r="X82" s="42"/>
      <c r="Y82" s="42"/>
      <c r="Z82" s="42"/>
    </row>
    <row r="83" hidden="1">
      <c r="A83" s="34" t="str">
        <f>hyperlink("https://issues.sierrawireless.com/browse/OEMPRI-7130", "OEMPRI-7130")</f>
        <v>OEMPRI-7130</v>
      </c>
      <c r="B83" s="36" t="s">
        <v>674</v>
      </c>
      <c r="C83" s="36" t="s">
        <v>139</v>
      </c>
      <c r="D83" s="38">
        <v>43234.0</v>
      </c>
      <c r="E83" s="39">
        <v>43238.0</v>
      </c>
      <c r="F83" s="36" t="s">
        <v>160</v>
      </c>
      <c r="G83" s="36" t="s">
        <v>148</v>
      </c>
      <c r="H83" s="40" t="s">
        <v>141</v>
      </c>
      <c r="I83" s="41">
        <v>43241.0</v>
      </c>
      <c r="J83" s="41">
        <v>43241.0</v>
      </c>
      <c r="K83" s="42"/>
      <c r="L83" s="42"/>
      <c r="M83" s="42"/>
      <c r="N83" s="42"/>
      <c r="O83" s="42"/>
      <c r="P83" s="42"/>
      <c r="Q83" s="42"/>
      <c r="R83" s="42"/>
      <c r="S83" s="42"/>
      <c r="T83" s="42"/>
      <c r="U83" s="42"/>
      <c r="V83" s="42"/>
      <c r="W83" s="42"/>
      <c r="X83" s="42"/>
      <c r="Y83" s="42"/>
      <c r="Z83" s="42"/>
    </row>
    <row r="84" hidden="1">
      <c r="A84" s="34" t="str">
        <f>hyperlink("https://issues.sierrawireless.com/browse/OEMPRI-7131", "OEMPRI-7131")</f>
        <v>OEMPRI-7131</v>
      </c>
      <c r="B84" s="36" t="s">
        <v>682</v>
      </c>
      <c r="C84" s="36" t="s">
        <v>469</v>
      </c>
      <c r="D84" s="38">
        <v>43234.0</v>
      </c>
      <c r="E84" s="39">
        <v>43213.0</v>
      </c>
      <c r="F84" s="36" t="s">
        <v>160</v>
      </c>
      <c r="G84" s="36" t="s">
        <v>155</v>
      </c>
      <c r="H84" s="40" t="s">
        <v>155</v>
      </c>
      <c r="I84" s="41">
        <v>43234.0</v>
      </c>
      <c r="J84" s="41">
        <v>43237.0</v>
      </c>
      <c r="K84" s="42"/>
      <c r="L84" s="42"/>
      <c r="M84" s="42"/>
      <c r="N84" s="42"/>
      <c r="O84" s="42"/>
      <c r="P84" s="42"/>
      <c r="Q84" s="42"/>
      <c r="R84" s="42"/>
      <c r="S84" s="42"/>
      <c r="T84" s="42"/>
      <c r="U84" s="42"/>
      <c r="V84" s="42"/>
      <c r="W84" s="42"/>
      <c r="X84" s="42"/>
      <c r="Y84" s="42"/>
      <c r="Z84" s="42"/>
    </row>
    <row r="85" hidden="1">
      <c r="A85" s="34" t="str">
        <f>hyperlink("https://issues.sierrawireless.com/browse/OEMPRI-7119", "OEMPRI-7119")</f>
        <v>OEMPRI-7119</v>
      </c>
      <c r="B85" s="36" t="s">
        <v>690</v>
      </c>
      <c r="C85" s="36" t="s">
        <v>139</v>
      </c>
      <c r="D85" s="38">
        <v>43231.0</v>
      </c>
      <c r="E85" s="39">
        <v>43234.0</v>
      </c>
      <c r="F85" s="36" t="s">
        <v>160</v>
      </c>
      <c r="G85" s="36" t="s">
        <v>148</v>
      </c>
      <c r="H85" s="40" t="s">
        <v>141</v>
      </c>
      <c r="I85" s="41">
        <v>43234.0</v>
      </c>
      <c r="J85" s="41">
        <v>43236.0</v>
      </c>
      <c r="K85" s="42"/>
      <c r="L85" s="42"/>
      <c r="M85" s="42"/>
      <c r="N85" s="42"/>
      <c r="O85" s="42"/>
      <c r="P85" s="42"/>
      <c r="Q85" s="42"/>
      <c r="R85" s="42"/>
      <c r="S85" s="42"/>
      <c r="T85" s="42"/>
      <c r="U85" s="42"/>
      <c r="V85" s="42"/>
      <c r="W85" s="42"/>
      <c r="X85" s="42"/>
      <c r="Y85" s="42"/>
      <c r="Z85" s="42"/>
    </row>
    <row r="86" hidden="1">
      <c r="A86" s="34" t="str">
        <f>hyperlink("https://issues.sierrawireless.com/browse/OEMPRI-7120", "OEMPRI-7120")</f>
        <v>OEMPRI-7120</v>
      </c>
      <c r="B86" s="36" t="s">
        <v>697</v>
      </c>
      <c r="C86" s="36" t="s">
        <v>139</v>
      </c>
      <c r="D86" s="38">
        <v>43231.0</v>
      </c>
      <c r="E86" s="39">
        <v>43236.0</v>
      </c>
      <c r="F86" s="36" t="s">
        <v>160</v>
      </c>
      <c r="G86" s="36" t="s">
        <v>141</v>
      </c>
      <c r="H86" s="40" t="s">
        <v>141</v>
      </c>
      <c r="I86" s="41">
        <v>43241.0</v>
      </c>
      <c r="J86" s="41">
        <v>43241.0</v>
      </c>
      <c r="K86" s="42"/>
      <c r="L86" s="42"/>
      <c r="M86" s="42"/>
      <c r="N86" s="42"/>
      <c r="O86" s="42"/>
      <c r="P86" s="42"/>
      <c r="Q86" s="42"/>
      <c r="R86" s="42"/>
      <c r="S86" s="42"/>
      <c r="T86" s="42"/>
      <c r="U86" s="42"/>
      <c r="V86" s="42"/>
      <c r="W86" s="42"/>
      <c r="X86" s="42"/>
      <c r="Y86" s="42"/>
      <c r="Z86" s="42"/>
    </row>
    <row r="87" hidden="1">
      <c r="A87" s="34" t="str">
        <f>hyperlink("https://issues.sierrawireless.com/browse/OEMPRI-7121", "OEMPRI-7121")</f>
        <v>OEMPRI-7121</v>
      </c>
      <c r="B87" s="36" t="s">
        <v>702</v>
      </c>
      <c r="C87" s="36" t="s">
        <v>139</v>
      </c>
      <c r="D87" s="38">
        <v>43231.0</v>
      </c>
      <c r="E87" s="39">
        <v>43235.0</v>
      </c>
      <c r="F87" s="36" t="s">
        <v>160</v>
      </c>
      <c r="G87" s="36" t="s">
        <v>141</v>
      </c>
      <c r="H87" s="40" t="s">
        <v>141</v>
      </c>
      <c r="I87" s="41">
        <v>43241.0</v>
      </c>
      <c r="J87" s="41">
        <v>43242.0</v>
      </c>
      <c r="K87" s="42"/>
      <c r="L87" s="42"/>
      <c r="M87" s="42"/>
      <c r="N87" s="42"/>
      <c r="O87" s="42"/>
      <c r="P87" s="42"/>
      <c r="Q87" s="42"/>
      <c r="R87" s="42"/>
      <c r="S87" s="42"/>
      <c r="T87" s="42"/>
      <c r="U87" s="42"/>
      <c r="V87" s="42"/>
      <c r="W87" s="42"/>
      <c r="X87" s="42"/>
      <c r="Y87" s="42"/>
      <c r="Z87" s="42"/>
    </row>
    <row r="88" hidden="1">
      <c r="A88" s="34" t="str">
        <f>hyperlink("https://issues.sierrawireless.com/browse/OEMPRI-7080", "OEMPRI-7080")</f>
        <v>OEMPRI-7080</v>
      </c>
      <c r="B88" s="36" t="s">
        <v>707</v>
      </c>
      <c r="C88" s="36" t="s">
        <v>139</v>
      </c>
      <c r="D88" s="38">
        <v>43230.0</v>
      </c>
      <c r="E88" s="39">
        <v>43234.0</v>
      </c>
      <c r="F88" s="36" t="s">
        <v>160</v>
      </c>
      <c r="G88" s="36" t="s">
        <v>148</v>
      </c>
      <c r="H88" s="40" t="s">
        <v>141</v>
      </c>
      <c r="I88" s="41">
        <v>43234.0</v>
      </c>
      <c r="J88" s="41">
        <v>43235.0</v>
      </c>
      <c r="K88" s="42"/>
      <c r="L88" s="42"/>
      <c r="M88" s="42"/>
      <c r="N88" s="42"/>
      <c r="O88" s="42"/>
      <c r="P88" s="42"/>
      <c r="Q88" s="42"/>
      <c r="R88" s="42"/>
      <c r="S88" s="42"/>
      <c r="T88" s="42"/>
      <c r="U88" s="42"/>
      <c r="V88" s="42"/>
      <c r="W88" s="42"/>
      <c r="X88" s="42"/>
      <c r="Y88" s="42"/>
      <c r="Z88" s="42"/>
    </row>
    <row r="89" hidden="1">
      <c r="A89" s="34" t="str">
        <f>hyperlink("https://issues.sierrawireless.com/browse/OEMPRI-7081", "OEMPRI-7081")</f>
        <v>OEMPRI-7081</v>
      </c>
      <c r="B89" s="36" t="s">
        <v>711</v>
      </c>
      <c r="C89" s="36" t="s">
        <v>139</v>
      </c>
      <c r="D89" s="38">
        <v>43230.0</v>
      </c>
      <c r="E89" s="39">
        <v>43231.0</v>
      </c>
      <c r="F89" s="36" t="s">
        <v>160</v>
      </c>
      <c r="G89" s="36" t="s">
        <v>148</v>
      </c>
      <c r="H89" s="40" t="s">
        <v>141</v>
      </c>
      <c r="I89" s="41">
        <v>43234.0</v>
      </c>
      <c r="J89" s="41">
        <v>43234.0</v>
      </c>
      <c r="K89" s="42"/>
      <c r="L89" s="42"/>
      <c r="M89" s="42"/>
      <c r="N89" s="42"/>
      <c r="O89" s="42"/>
      <c r="P89" s="42"/>
      <c r="Q89" s="42"/>
      <c r="R89" s="42"/>
      <c r="S89" s="42"/>
      <c r="T89" s="42"/>
      <c r="U89" s="42"/>
      <c r="V89" s="42"/>
      <c r="W89" s="42"/>
      <c r="X89" s="42"/>
      <c r="Y89" s="42"/>
      <c r="Z89" s="42"/>
    </row>
    <row r="90" hidden="1">
      <c r="A90" s="34" t="str">
        <f>hyperlink("https://issues.sierrawireless.com/browse/OEMPRI-7083", "OEMPRI-7083")</f>
        <v>OEMPRI-7083</v>
      </c>
      <c r="B90" s="36" t="s">
        <v>717</v>
      </c>
      <c r="C90" s="36" t="s">
        <v>139</v>
      </c>
      <c r="D90" s="38">
        <v>43230.0</v>
      </c>
      <c r="E90" s="39">
        <v>43218.0</v>
      </c>
      <c r="F90" s="36" t="s">
        <v>176</v>
      </c>
      <c r="G90" s="36" t="s">
        <v>155</v>
      </c>
      <c r="H90" s="40" t="s">
        <v>155</v>
      </c>
      <c r="I90" s="41">
        <v>43248.0</v>
      </c>
      <c r="J90" s="41">
        <v>43251.0</v>
      </c>
      <c r="K90" s="42"/>
      <c r="L90" s="42"/>
      <c r="M90" s="42"/>
      <c r="N90" s="42"/>
      <c r="O90" s="42"/>
      <c r="P90" s="42"/>
      <c r="Q90" s="42"/>
      <c r="R90" s="42"/>
      <c r="S90" s="42"/>
      <c r="T90" s="42"/>
      <c r="U90" s="42"/>
      <c r="V90" s="42"/>
      <c r="W90" s="42"/>
      <c r="X90" s="42"/>
      <c r="Y90" s="42"/>
      <c r="Z90" s="42"/>
    </row>
    <row r="91" hidden="1">
      <c r="A91" s="34" t="str">
        <f>hyperlink("https://issues.sierrawireless.com/browse/OEMPRI-7047", "OEMPRI-7047")</f>
        <v>OEMPRI-7047</v>
      </c>
      <c r="B91" s="36" t="s">
        <v>722</v>
      </c>
      <c r="C91" s="36" t="s">
        <v>139</v>
      </c>
      <c r="D91" s="38">
        <v>43229.0</v>
      </c>
      <c r="E91" s="39">
        <v>43202.0</v>
      </c>
      <c r="F91" s="36" t="s">
        <v>723</v>
      </c>
      <c r="G91" s="36" t="s">
        <v>148</v>
      </c>
      <c r="H91" s="40" t="s">
        <v>122</v>
      </c>
      <c r="I91" s="41">
        <v>43227.0</v>
      </c>
      <c r="J91" s="41">
        <v>43229.0</v>
      </c>
      <c r="K91" s="42"/>
      <c r="L91" s="42"/>
      <c r="M91" s="42"/>
      <c r="N91" s="42"/>
      <c r="O91" s="42"/>
      <c r="P91" s="42"/>
      <c r="Q91" s="42"/>
      <c r="R91" s="42"/>
      <c r="S91" s="42"/>
      <c r="T91" s="42"/>
      <c r="U91" s="42"/>
      <c r="V91" s="42"/>
      <c r="W91" s="42"/>
      <c r="X91" s="42"/>
      <c r="Y91" s="42"/>
      <c r="Z91" s="42"/>
    </row>
    <row r="92" hidden="1">
      <c r="A92" s="68" t="str">
        <f>hyperlink("https://issues.sierrawireless.com/browse/OEMPRI-7056", "OEMPRI-7056")</f>
        <v>OEMPRI-7056</v>
      </c>
      <c r="B92" s="69" t="s">
        <v>734</v>
      </c>
      <c r="C92" s="69" t="s">
        <v>139</v>
      </c>
      <c r="D92" s="70">
        <v>43229.0</v>
      </c>
      <c r="E92" s="71">
        <v>43213.0</v>
      </c>
      <c r="F92" s="69" t="s">
        <v>160</v>
      </c>
      <c r="G92" s="69" t="s">
        <v>140</v>
      </c>
      <c r="H92" s="72" t="s">
        <v>155</v>
      </c>
      <c r="I92" s="73">
        <v>43234.0</v>
      </c>
      <c r="J92" s="73">
        <v>43235.0</v>
      </c>
      <c r="K92" s="74"/>
      <c r="L92" s="74"/>
      <c r="M92" s="74"/>
      <c r="N92" s="74"/>
      <c r="O92" s="74"/>
      <c r="P92" s="74"/>
      <c r="Q92" s="74"/>
      <c r="R92" s="74"/>
      <c r="S92" s="74"/>
      <c r="T92" s="74"/>
      <c r="U92" s="74"/>
      <c r="V92" s="74"/>
      <c r="W92" s="74"/>
      <c r="X92" s="74"/>
      <c r="Y92" s="74"/>
      <c r="Z92" s="74"/>
    </row>
    <row r="93" hidden="1">
      <c r="A93" s="34" t="str">
        <f>hyperlink("https://issues.sierrawireless.com/browse/OEMPRI-7063", "OEMPRI-7063")</f>
        <v>OEMPRI-7063</v>
      </c>
      <c r="B93" s="36" t="s">
        <v>750</v>
      </c>
      <c r="C93" s="36" t="s">
        <v>139</v>
      </c>
      <c r="D93" s="38">
        <v>43229.0</v>
      </c>
      <c r="E93" s="39">
        <v>43218.0</v>
      </c>
      <c r="F93" s="36" t="s">
        <v>176</v>
      </c>
      <c r="G93" s="36" t="s">
        <v>140</v>
      </c>
      <c r="H93" s="40" t="s">
        <v>140</v>
      </c>
      <c r="I93" s="41">
        <v>43227.0</v>
      </c>
      <c r="J93" s="41">
        <v>43230.0</v>
      </c>
      <c r="K93" s="42"/>
      <c r="L93" s="42"/>
      <c r="M93" s="42"/>
      <c r="N93" s="42"/>
      <c r="O93" s="42"/>
      <c r="P93" s="42"/>
      <c r="Q93" s="42"/>
      <c r="R93" s="42"/>
      <c r="S93" s="42"/>
      <c r="T93" s="42"/>
      <c r="U93" s="42"/>
      <c r="V93" s="42"/>
      <c r="W93" s="42"/>
      <c r="X93" s="42"/>
      <c r="Y93" s="42"/>
      <c r="Z93" s="42"/>
    </row>
    <row r="94" hidden="1">
      <c r="A94" s="34" t="str">
        <f>hyperlink("https://issues.sierrawireless.com/browse/OEMPRI-7060", "OEMPRI-7060")</f>
        <v>OEMPRI-7060</v>
      </c>
      <c r="B94" s="36" t="s">
        <v>756</v>
      </c>
      <c r="C94" s="36" t="s">
        <v>139</v>
      </c>
      <c r="D94" s="38">
        <v>43229.0</v>
      </c>
      <c r="E94" s="39">
        <v>43218.0</v>
      </c>
      <c r="F94" s="36" t="s">
        <v>176</v>
      </c>
      <c r="G94" s="36" t="s">
        <v>148</v>
      </c>
      <c r="H94" s="40" t="s">
        <v>140</v>
      </c>
      <c r="I94" s="41">
        <v>43227.0</v>
      </c>
      <c r="J94" s="41">
        <v>43230.0</v>
      </c>
      <c r="K94" s="42"/>
      <c r="L94" s="42"/>
      <c r="M94" s="42"/>
      <c r="N94" s="42"/>
      <c r="O94" s="42"/>
      <c r="P94" s="42"/>
      <c r="Q94" s="42"/>
      <c r="R94" s="42"/>
      <c r="S94" s="42"/>
      <c r="T94" s="42"/>
      <c r="U94" s="42"/>
      <c r="V94" s="42"/>
      <c r="W94" s="42"/>
      <c r="X94" s="42"/>
      <c r="Y94" s="42"/>
      <c r="Z94" s="42"/>
    </row>
    <row r="95" hidden="1">
      <c r="A95" s="34" t="str">
        <f>hyperlink("https://issues.sierrawireless.com/browse/OEMPRI-7067", "OEMPRI-7067")</f>
        <v>OEMPRI-7067</v>
      </c>
      <c r="B95" s="36" t="s">
        <v>761</v>
      </c>
      <c r="C95" s="36" t="s">
        <v>139</v>
      </c>
      <c r="D95" s="38">
        <v>43229.0</v>
      </c>
      <c r="E95" s="39" t="s">
        <v>92</v>
      </c>
      <c r="F95" s="36" t="s">
        <v>176</v>
      </c>
      <c r="G95" s="36" t="s">
        <v>170</v>
      </c>
      <c r="H95" s="40" t="s">
        <v>170</v>
      </c>
      <c r="I95" s="41">
        <v>43234.0</v>
      </c>
      <c r="J95" s="41">
        <v>43235.0</v>
      </c>
      <c r="K95" s="42"/>
      <c r="L95" s="42"/>
      <c r="M95" s="42"/>
      <c r="N95" s="42"/>
      <c r="O95" s="42"/>
      <c r="P95" s="42"/>
      <c r="Q95" s="42"/>
      <c r="R95" s="42"/>
      <c r="S95" s="42"/>
      <c r="T95" s="42"/>
      <c r="U95" s="42"/>
      <c r="V95" s="42"/>
      <c r="W95" s="42"/>
      <c r="X95" s="42"/>
      <c r="Y95" s="42"/>
      <c r="Z95" s="42"/>
    </row>
    <row r="96" hidden="1">
      <c r="A96" s="34" t="str">
        <f>hyperlink("https://issues.sierrawireless.com/browse/OEMPRI-7068", "OEMPRI-7068")</f>
        <v>OEMPRI-7068</v>
      </c>
      <c r="B96" s="36" t="s">
        <v>767</v>
      </c>
      <c r="C96" s="36" t="s">
        <v>139</v>
      </c>
      <c r="D96" s="38">
        <v>43229.0</v>
      </c>
      <c r="E96" s="39" t="s">
        <v>92</v>
      </c>
      <c r="F96" s="36" t="s">
        <v>176</v>
      </c>
      <c r="G96" s="36" t="s">
        <v>170</v>
      </c>
      <c r="H96" s="40" t="s">
        <v>170</v>
      </c>
      <c r="I96" s="41">
        <v>43234.0</v>
      </c>
      <c r="J96" s="41">
        <v>43236.0</v>
      </c>
      <c r="K96" s="42"/>
      <c r="L96" s="42"/>
      <c r="M96" s="42"/>
      <c r="N96" s="42"/>
      <c r="O96" s="42"/>
      <c r="P96" s="42"/>
      <c r="Q96" s="42"/>
      <c r="R96" s="42"/>
      <c r="S96" s="42"/>
      <c r="T96" s="42"/>
      <c r="U96" s="42"/>
      <c r="V96" s="42"/>
      <c r="W96" s="42"/>
      <c r="X96" s="42"/>
      <c r="Y96" s="42"/>
      <c r="Z96" s="42"/>
    </row>
    <row r="97" hidden="1">
      <c r="A97" s="34" t="str">
        <f>hyperlink("https://issues.sierrawireless.com/browse/OEMPRI-7039", "OEMPRI-7039")</f>
        <v>OEMPRI-7039</v>
      </c>
      <c r="B97" s="36" t="s">
        <v>769</v>
      </c>
      <c r="C97" s="36" t="s">
        <v>175</v>
      </c>
      <c r="D97" s="38">
        <v>43228.0</v>
      </c>
      <c r="E97" s="39" t="s">
        <v>92</v>
      </c>
      <c r="F97" s="36" t="s">
        <v>119</v>
      </c>
      <c r="G97" s="36" t="s">
        <v>122</v>
      </c>
      <c r="H97" s="40" t="s">
        <v>122</v>
      </c>
      <c r="I97" s="41">
        <v>43227.0</v>
      </c>
      <c r="J97" s="41">
        <v>43231.0</v>
      </c>
      <c r="K97" s="42"/>
      <c r="L97" s="42"/>
      <c r="M97" s="42"/>
      <c r="N97" s="42"/>
      <c r="O97" s="42"/>
      <c r="P97" s="42"/>
      <c r="Q97" s="42"/>
      <c r="R97" s="42"/>
      <c r="S97" s="42"/>
      <c r="T97" s="42"/>
      <c r="U97" s="42"/>
      <c r="V97" s="42"/>
      <c r="W97" s="42"/>
      <c r="X97" s="42"/>
      <c r="Y97" s="42"/>
      <c r="Z97" s="42"/>
    </row>
    <row r="98" hidden="1">
      <c r="A98" s="34" t="str">
        <f>hyperlink("https://issues.sierrawireless.com/browse/OEMPRI-7041", "OEMPRI-7041")</f>
        <v>OEMPRI-7041</v>
      </c>
      <c r="B98" s="36" t="s">
        <v>775</v>
      </c>
      <c r="C98" s="36" t="s">
        <v>175</v>
      </c>
      <c r="D98" s="38">
        <v>43228.0</v>
      </c>
      <c r="E98" s="39" t="s">
        <v>92</v>
      </c>
      <c r="F98" s="36" t="s">
        <v>119</v>
      </c>
      <c r="G98" s="36" t="s">
        <v>122</v>
      </c>
      <c r="H98" s="40" t="s">
        <v>122</v>
      </c>
      <c r="I98" s="41">
        <v>43227.0</v>
      </c>
      <c r="J98" s="41">
        <v>43229.0</v>
      </c>
      <c r="K98" s="42"/>
      <c r="L98" s="42"/>
      <c r="M98" s="42"/>
      <c r="N98" s="42"/>
      <c r="O98" s="42"/>
      <c r="P98" s="42"/>
      <c r="Q98" s="42"/>
      <c r="R98" s="42"/>
      <c r="S98" s="42"/>
      <c r="T98" s="42"/>
      <c r="U98" s="42"/>
      <c r="V98" s="42"/>
      <c r="W98" s="42"/>
      <c r="X98" s="42"/>
      <c r="Y98" s="42"/>
      <c r="Z98" s="42"/>
    </row>
    <row r="99" hidden="1">
      <c r="A99" s="34" t="str">
        <f>hyperlink("https://issues.sierrawireless.com/browse/OEMPRI-7022", "OEMPRI-7022")</f>
        <v>OEMPRI-7022</v>
      </c>
      <c r="B99" s="36" t="s">
        <v>780</v>
      </c>
      <c r="C99" s="36" t="s">
        <v>139</v>
      </c>
      <c r="D99" s="38">
        <v>43227.0</v>
      </c>
      <c r="E99" s="39" t="s">
        <v>92</v>
      </c>
      <c r="F99" s="36" t="s">
        <v>176</v>
      </c>
      <c r="G99" s="36" t="s">
        <v>155</v>
      </c>
      <c r="H99" s="40" t="s">
        <v>155</v>
      </c>
      <c r="I99" s="41">
        <v>43234.0</v>
      </c>
      <c r="J99" s="41">
        <v>43234.0</v>
      </c>
      <c r="K99" s="42"/>
      <c r="L99" s="42"/>
      <c r="M99" s="42"/>
      <c r="N99" s="42"/>
      <c r="O99" s="42"/>
      <c r="P99" s="42"/>
      <c r="Q99" s="42"/>
      <c r="R99" s="42"/>
      <c r="S99" s="42"/>
      <c r="T99" s="42"/>
      <c r="U99" s="42"/>
      <c r="V99" s="42"/>
      <c r="W99" s="42"/>
      <c r="X99" s="42"/>
      <c r="Y99" s="42"/>
      <c r="Z99" s="42"/>
    </row>
    <row r="100" hidden="1">
      <c r="A100" s="34" t="str">
        <f>hyperlink("https://issues.sierrawireless.com/browse/OEMPRI-7023", "OEMPRI-7023")</f>
        <v>OEMPRI-7023</v>
      </c>
      <c r="B100" s="36" t="s">
        <v>786</v>
      </c>
      <c r="C100" s="36" t="s">
        <v>139</v>
      </c>
      <c r="D100" s="38">
        <v>43227.0</v>
      </c>
      <c r="E100" s="39" t="s">
        <v>92</v>
      </c>
      <c r="F100" s="36" t="s">
        <v>176</v>
      </c>
      <c r="G100" s="36" t="s">
        <v>155</v>
      </c>
      <c r="H100" s="40" t="s">
        <v>155</v>
      </c>
      <c r="I100" s="41">
        <v>43227.0</v>
      </c>
      <c r="J100" s="41">
        <v>43231.0</v>
      </c>
      <c r="K100" s="42"/>
      <c r="L100" s="42"/>
      <c r="M100" s="42"/>
      <c r="N100" s="42"/>
      <c r="O100" s="42"/>
      <c r="P100" s="42"/>
      <c r="Q100" s="42"/>
      <c r="R100" s="42"/>
      <c r="S100" s="42"/>
      <c r="T100" s="42"/>
      <c r="U100" s="42"/>
      <c r="V100" s="42"/>
      <c r="W100" s="42"/>
      <c r="X100" s="42"/>
      <c r="Y100" s="42"/>
      <c r="Z100" s="42"/>
    </row>
    <row r="101" hidden="1">
      <c r="A101" s="34" t="str">
        <f>hyperlink("https://issues.sierrawireless.com/browse/OEMPRI-7010", "OEMPRI-7010")</f>
        <v>OEMPRI-7010</v>
      </c>
      <c r="B101" s="36" t="s">
        <v>792</v>
      </c>
      <c r="C101" s="36" t="s">
        <v>139</v>
      </c>
      <c r="D101" s="38">
        <v>43224.0</v>
      </c>
      <c r="E101" s="39" t="s">
        <v>92</v>
      </c>
      <c r="F101" s="36" t="s">
        <v>119</v>
      </c>
      <c r="G101" s="36" t="s">
        <v>148</v>
      </c>
      <c r="H101" s="40" t="s">
        <v>122</v>
      </c>
      <c r="I101" s="41">
        <v>43234.0</v>
      </c>
      <c r="J101" s="41">
        <v>43234.0</v>
      </c>
      <c r="K101" s="42"/>
      <c r="L101" s="42"/>
      <c r="M101" s="42"/>
      <c r="N101" s="42"/>
      <c r="O101" s="42"/>
      <c r="P101" s="42"/>
      <c r="Q101" s="42"/>
      <c r="R101" s="42"/>
      <c r="S101" s="42"/>
      <c r="T101" s="42"/>
      <c r="U101" s="42"/>
      <c r="V101" s="42"/>
      <c r="W101" s="42"/>
      <c r="X101" s="42"/>
      <c r="Y101" s="42"/>
      <c r="Z101" s="42"/>
    </row>
    <row r="102" hidden="1">
      <c r="A102" s="75" t="str">
        <f>hyperlink("https://issues.sierrawireless.com/browse/OEMPRI-7011", "OEMPRI-7011")</f>
        <v>OEMPRI-7011</v>
      </c>
      <c r="B102" s="76" t="s">
        <v>803</v>
      </c>
      <c r="C102" s="76" t="s">
        <v>139</v>
      </c>
      <c r="D102" s="77">
        <v>43224.0</v>
      </c>
      <c r="E102" s="78">
        <v>43228.0</v>
      </c>
      <c r="F102" s="76" t="s">
        <v>160</v>
      </c>
      <c r="G102" s="76" t="s">
        <v>140</v>
      </c>
      <c r="H102" s="79" t="s">
        <v>141</v>
      </c>
      <c r="I102" s="80">
        <v>43227.0</v>
      </c>
      <c r="J102" s="80">
        <v>43227.0</v>
      </c>
      <c r="K102" s="81"/>
      <c r="L102" s="81"/>
      <c r="M102" s="81"/>
      <c r="N102" s="81"/>
      <c r="O102" s="81"/>
      <c r="P102" s="81"/>
      <c r="Q102" s="81"/>
      <c r="R102" s="81"/>
      <c r="S102" s="81"/>
      <c r="T102" s="81"/>
      <c r="U102" s="81"/>
      <c r="V102" s="81"/>
      <c r="W102" s="81"/>
      <c r="X102" s="81"/>
      <c r="Y102" s="81"/>
      <c r="Z102" s="81"/>
    </row>
    <row r="103" hidden="1">
      <c r="A103" s="34" t="str">
        <f>hyperlink("https://issues.sierrawireless.com/browse/OEMPRI-6971", "OEMPRI-6971")</f>
        <v>OEMPRI-6971</v>
      </c>
      <c r="B103" s="36" t="s">
        <v>818</v>
      </c>
      <c r="C103" s="36" t="s">
        <v>139</v>
      </c>
      <c r="D103" s="38">
        <v>43223.0</v>
      </c>
      <c r="E103" s="39">
        <v>43231.0</v>
      </c>
      <c r="F103" s="36" t="s">
        <v>160</v>
      </c>
      <c r="G103" s="36" t="s">
        <v>148</v>
      </c>
      <c r="H103" s="40" t="s">
        <v>244</v>
      </c>
      <c r="I103" s="41">
        <v>43227.0</v>
      </c>
      <c r="J103" s="41">
        <v>43227.0</v>
      </c>
      <c r="K103" s="42"/>
      <c r="L103" s="42"/>
      <c r="M103" s="42"/>
      <c r="N103" s="42"/>
      <c r="O103" s="42"/>
      <c r="P103" s="42"/>
      <c r="Q103" s="42"/>
      <c r="R103" s="42"/>
      <c r="S103" s="42"/>
      <c r="T103" s="42"/>
      <c r="U103" s="42"/>
      <c r="V103" s="42"/>
      <c r="W103" s="42"/>
      <c r="X103" s="42"/>
      <c r="Y103" s="42"/>
      <c r="Z103" s="42"/>
    </row>
    <row r="104" hidden="1">
      <c r="A104" s="34" t="str">
        <f>hyperlink("https://issues.sierrawireless.com/browse/OEMPRI-6976", "OEMPRI-6976")</f>
        <v>OEMPRI-6976</v>
      </c>
      <c r="B104" s="36" t="s">
        <v>824</v>
      </c>
      <c r="C104" s="36" t="s">
        <v>139</v>
      </c>
      <c r="D104" s="38">
        <v>43223.0</v>
      </c>
      <c r="E104" s="39">
        <v>43224.0</v>
      </c>
      <c r="F104" s="36" t="s">
        <v>160</v>
      </c>
      <c r="G104" s="36" t="s">
        <v>320</v>
      </c>
      <c r="H104" s="40" t="s">
        <v>141</v>
      </c>
      <c r="I104" s="41">
        <v>43220.0</v>
      </c>
      <c r="J104" s="41">
        <v>43224.0</v>
      </c>
      <c r="K104" s="42"/>
      <c r="L104" s="42"/>
      <c r="M104" s="42"/>
      <c r="N104" s="42"/>
      <c r="O104" s="42"/>
      <c r="P104" s="42"/>
      <c r="Q104" s="42"/>
      <c r="R104" s="42"/>
      <c r="S104" s="42"/>
      <c r="T104" s="42"/>
      <c r="U104" s="42"/>
      <c r="V104" s="42"/>
      <c r="W104" s="42"/>
      <c r="X104" s="42"/>
      <c r="Y104" s="42"/>
      <c r="Z104" s="42"/>
    </row>
    <row r="105" hidden="1">
      <c r="A105" s="34" t="str">
        <f>hyperlink("https://issues.sierrawireless.com/browse/OEMPRI-6980", "OEMPRI-6980")</f>
        <v>OEMPRI-6980</v>
      </c>
      <c r="B105" s="36" t="s">
        <v>828</v>
      </c>
      <c r="C105" s="36" t="s">
        <v>593</v>
      </c>
      <c r="D105" s="38">
        <v>43223.0</v>
      </c>
      <c r="E105" s="39">
        <v>43231.0</v>
      </c>
      <c r="F105" s="36" t="s">
        <v>176</v>
      </c>
      <c r="G105" s="36" t="s">
        <v>140</v>
      </c>
      <c r="H105" s="40" t="s">
        <v>170</v>
      </c>
      <c r="I105" s="41">
        <v>43234.0</v>
      </c>
      <c r="J105" s="41">
        <v>43234.0</v>
      </c>
      <c r="K105" s="42"/>
      <c r="L105" s="42"/>
      <c r="M105" s="42"/>
      <c r="N105" s="42"/>
      <c r="O105" s="42"/>
      <c r="P105" s="42"/>
      <c r="Q105" s="42"/>
      <c r="R105" s="42"/>
      <c r="S105" s="42"/>
      <c r="T105" s="42"/>
      <c r="U105" s="42"/>
      <c r="V105" s="42"/>
      <c r="W105" s="42"/>
      <c r="X105" s="42"/>
      <c r="Y105" s="42"/>
      <c r="Z105" s="42"/>
    </row>
    <row r="106" hidden="1">
      <c r="A106" s="34" t="str">
        <f>hyperlink("https://issues.sierrawireless.com/browse/OEMPRI-6948", "OEMPRI-6948")</f>
        <v>OEMPRI-6948</v>
      </c>
      <c r="B106" s="36" t="s">
        <v>838</v>
      </c>
      <c r="C106" s="36" t="s">
        <v>139</v>
      </c>
      <c r="D106" s="38">
        <v>43218.0</v>
      </c>
      <c r="E106" s="39">
        <v>43222.0</v>
      </c>
      <c r="F106" s="36" t="s">
        <v>160</v>
      </c>
      <c r="G106" s="36" t="s">
        <v>148</v>
      </c>
      <c r="H106" s="40" t="s">
        <v>141</v>
      </c>
      <c r="I106" s="41">
        <v>43220.0</v>
      </c>
      <c r="J106" s="41">
        <v>43222.0</v>
      </c>
      <c r="K106" s="42"/>
      <c r="L106" s="42"/>
      <c r="M106" s="42"/>
      <c r="N106" s="42"/>
      <c r="O106" s="42"/>
      <c r="P106" s="42"/>
      <c r="Q106" s="42"/>
      <c r="R106" s="42"/>
      <c r="S106" s="42"/>
      <c r="T106" s="42"/>
      <c r="U106" s="42"/>
      <c r="V106" s="42"/>
      <c r="W106" s="42"/>
      <c r="X106" s="42"/>
      <c r="Y106" s="42"/>
      <c r="Z106" s="42"/>
    </row>
    <row r="107" hidden="1">
      <c r="A107" s="34" t="str">
        <f>hyperlink("https://issues.sierrawireless.com/browse/OEMPRI-6951", "OEMPRI-6951")</f>
        <v>OEMPRI-6951</v>
      </c>
      <c r="B107" s="36" t="s">
        <v>844</v>
      </c>
      <c r="C107" s="36" t="s">
        <v>139</v>
      </c>
      <c r="D107" s="38">
        <v>43218.0</v>
      </c>
      <c r="E107" s="39">
        <v>43227.0</v>
      </c>
      <c r="F107" s="36" t="s">
        <v>160</v>
      </c>
      <c r="G107" s="36" t="s">
        <v>148</v>
      </c>
      <c r="H107" s="40" t="s">
        <v>141</v>
      </c>
      <c r="I107" s="41">
        <v>43227.0</v>
      </c>
      <c r="J107" s="41">
        <v>43227.0</v>
      </c>
      <c r="K107" s="42"/>
      <c r="L107" s="42"/>
      <c r="M107" s="42"/>
      <c r="N107" s="42"/>
      <c r="O107" s="42"/>
      <c r="P107" s="42"/>
      <c r="Q107" s="42"/>
      <c r="R107" s="42"/>
      <c r="S107" s="42"/>
      <c r="T107" s="42"/>
      <c r="U107" s="42"/>
      <c r="V107" s="42"/>
      <c r="W107" s="42"/>
      <c r="X107" s="42"/>
      <c r="Y107" s="42"/>
      <c r="Z107" s="42"/>
    </row>
    <row r="108" hidden="1">
      <c r="A108" s="34" t="str">
        <f>hyperlink("https://issues.sierrawireless.com/browse/OEMPRI-6918", "OEMPRI-6918")</f>
        <v>OEMPRI-6918</v>
      </c>
      <c r="B108" s="36" t="s">
        <v>474</v>
      </c>
      <c r="C108" s="36" t="s">
        <v>139</v>
      </c>
      <c r="D108" s="38">
        <v>43216.0</v>
      </c>
      <c r="E108" s="39">
        <v>43213.0</v>
      </c>
      <c r="F108" s="36" t="s">
        <v>160</v>
      </c>
      <c r="G108" s="36" t="s">
        <v>155</v>
      </c>
      <c r="H108" s="40" t="s">
        <v>155</v>
      </c>
      <c r="I108" s="41">
        <v>43213.0</v>
      </c>
      <c r="J108" s="41">
        <v>43218.0</v>
      </c>
      <c r="K108" s="42"/>
      <c r="L108" s="42"/>
      <c r="M108" s="42"/>
      <c r="N108" s="42"/>
      <c r="O108" s="42"/>
      <c r="P108" s="42"/>
      <c r="Q108" s="42"/>
      <c r="R108" s="42"/>
      <c r="S108" s="42"/>
      <c r="T108" s="42"/>
      <c r="U108" s="42"/>
      <c r="V108" s="42"/>
      <c r="W108" s="42"/>
      <c r="X108" s="42"/>
      <c r="Y108" s="42"/>
      <c r="Z108" s="42"/>
    </row>
    <row r="109" hidden="1">
      <c r="A109" s="34" t="str">
        <f>hyperlink("https://issues.sierrawireless.com/browse/OEMPRI-6922", "OEMPRI-6922")</f>
        <v>OEMPRI-6922</v>
      </c>
      <c r="B109" s="36" t="s">
        <v>857</v>
      </c>
      <c r="C109" s="36" t="s">
        <v>139</v>
      </c>
      <c r="D109" s="38">
        <v>43216.0</v>
      </c>
      <c r="E109" s="39">
        <v>43218.0</v>
      </c>
      <c r="F109" s="36" t="s">
        <v>176</v>
      </c>
      <c r="G109" s="36" t="s">
        <v>148</v>
      </c>
      <c r="H109" s="40" t="s">
        <v>170</v>
      </c>
      <c r="I109" s="41">
        <v>43227.0</v>
      </c>
      <c r="J109" s="41">
        <v>43228.0</v>
      </c>
      <c r="K109" s="42"/>
      <c r="L109" s="42"/>
      <c r="M109" s="42"/>
      <c r="N109" s="42"/>
      <c r="O109" s="42"/>
      <c r="P109" s="42"/>
      <c r="Q109" s="42"/>
      <c r="R109" s="42"/>
      <c r="S109" s="42"/>
      <c r="T109" s="42"/>
      <c r="U109" s="42"/>
      <c r="V109" s="42"/>
      <c r="W109" s="42"/>
      <c r="X109" s="42"/>
      <c r="Y109" s="42"/>
      <c r="Z109" s="42"/>
    </row>
    <row r="110" hidden="1">
      <c r="A110" s="34" t="str">
        <f>hyperlink("https://issues.sierrawireless.com/browse/OEMPRI-6923", "OEMPRI-6923")</f>
        <v>OEMPRI-6923</v>
      </c>
      <c r="B110" s="36" t="s">
        <v>862</v>
      </c>
      <c r="C110" s="36" t="s">
        <v>139</v>
      </c>
      <c r="D110" s="38">
        <v>43216.0</v>
      </c>
      <c r="E110" s="39">
        <v>43218.0</v>
      </c>
      <c r="F110" s="36" t="s">
        <v>176</v>
      </c>
      <c r="G110" s="36" t="s">
        <v>148</v>
      </c>
      <c r="H110" s="40" t="s">
        <v>170</v>
      </c>
      <c r="I110" s="41">
        <v>43227.0</v>
      </c>
      <c r="J110" s="41">
        <v>43227.0</v>
      </c>
      <c r="K110" s="42"/>
      <c r="L110" s="42"/>
      <c r="M110" s="42"/>
      <c r="N110" s="42"/>
      <c r="O110" s="42"/>
      <c r="P110" s="42"/>
      <c r="Q110" s="42"/>
      <c r="R110" s="42"/>
      <c r="S110" s="42"/>
      <c r="T110" s="42"/>
      <c r="U110" s="42"/>
      <c r="V110" s="42"/>
      <c r="W110" s="42"/>
      <c r="X110" s="42"/>
      <c r="Y110" s="42"/>
      <c r="Z110" s="42"/>
    </row>
    <row r="111" hidden="1">
      <c r="A111" s="34" t="str">
        <f>hyperlink("https://issues.sierrawireless.com/browse/OEMPRI-6924", "OEMPRI-6924")</f>
        <v>OEMPRI-6924</v>
      </c>
      <c r="B111" s="36" t="s">
        <v>869</v>
      </c>
      <c r="C111" s="36" t="s">
        <v>139</v>
      </c>
      <c r="D111" s="38">
        <v>43216.0</v>
      </c>
      <c r="E111" s="39">
        <v>43218.0</v>
      </c>
      <c r="F111" s="36" t="s">
        <v>176</v>
      </c>
      <c r="G111" s="36" t="s">
        <v>148</v>
      </c>
      <c r="H111" s="40" t="s">
        <v>170</v>
      </c>
      <c r="I111" s="41">
        <v>43227.0</v>
      </c>
      <c r="J111" s="41">
        <v>43229.0</v>
      </c>
      <c r="K111" s="42"/>
      <c r="L111" s="42"/>
      <c r="M111" s="42"/>
      <c r="N111" s="42"/>
      <c r="O111" s="42"/>
      <c r="P111" s="42"/>
      <c r="Q111" s="42"/>
      <c r="R111" s="42"/>
      <c r="S111" s="42"/>
      <c r="T111" s="42"/>
      <c r="U111" s="42"/>
      <c r="V111" s="42"/>
      <c r="W111" s="42"/>
      <c r="X111" s="42"/>
      <c r="Y111" s="42"/>
      <c r="Z111" s="42"/>
    </row>
    <row r="112" hidden="1">
      <c r="A112" s="34" t="str">
        <f>hyperlink("https://issues.sierrawireless.com/browse/OEMPRI-6893", "OEMPRI-6893")</f>
        <v>OEMPRI-6893</v>
      </c>
      <c r="B112" s="36" t="s">
        <v>875</v>
      </c>
      <c r="C112" s="36" t="s">
        <v>139</v>
      </c>
      <c r="D112" s="38">
        <v>43215.0</v>
      </c>
      <c r="E112" s="39" t="s">
        <v>92</v>
      </c>
      <c r="F112" s="36" t="s">
        <v>176</v>
      </c>
      <c r="G112" s="36" t="s">
        <v>155</v>
      </c>
      <c r="H112" s="40" t="s">
        <v>155</v>
      </c>
      <c r="I112" s="41">
        <v>43213.0</v>
      </c>
      <c r="J112" s="41">
        <v>43218.0</v>
      </c>
      <c r="K112" s="42"/>
      <c r="L112" s="42"/>
      <c r="M112" s="42"/>
      <c r="N112" s="42"/>
      <c r="O112" s="42"/>
      <c r="P112" s="42"/>
      <c r="Q112" s="42"/>
      <c r="R112" s="42"/>
      <c r="S112" s="42"/>
      <c r="T112" s="42"/>
      <c r="U112" s="42"/>
      <c r="V112" s="42"/>
      <c r="W112" s="42"/>
      <c r="X112" s="42"/>
      <c r="Y112" s="42"/>
      <c r="Z112" s="42"/>
    </row>
    <row r="113" hidden="1">
      <c r="A113" s="82" t="str">
        <f>hyperlink("https://issues.sierrawireless.com/browse/OEMPRI-6898", "OEMPRI-6898")</f>
        <v>OEMPRI-6898</v>
      </c>
      <c r="B113" s="83" t="s">
        <v>887</v>
      </c>
      <c r="C113" s="83" t="s">
        <v>139</v>
      </c>
      <c r="D113" s="84">
        <v>43215.0</v>
      </c>
      <c r="E113" s="85">
        <v>43217.0</v>
      </c>
      <c r="F113" s="83" t="s">
        <v>160</v>
      </c>
      <c r="G113" s="83" t="s">
        <v>140</v>
      </c>
      <c r="H113" s="86" t="s">
        <v>141</v>
      </c>
      <c r="I113" s="87">
        <v>43220.0</v>
      </c>
      <c r="J113" s="87">
        <v>43222.0</v>
      </c>
      <c r="K113" s="88"/>
      <c r="L113" s="88"/>
      <c r="M113" s="88"/>
      <c r="N113" s="88"/>
      <c r="O113" s="88"/>
      <c r="P113" s="88"/>
      <c r="Q113" s="88"/>
      <c r="R113" s="88"/>
      <c r="S113" s="88"/>
      <c r="T113" s="88"/>
      <c r="U113" s="88"/>
      <c r="V113" s="88"/>
      <c r="W113" s="88"/>
      <c r="X113" s="88"/>
      <c r="Y113" s="88"/>
      <c r="Z113" s="88"/>
    </row>
    <row r="114" hidden="1">
      <c r="A114" s="75" t="str">
        <f>hyperlink("https://issues.sierrawireless.com/browse/OEMPRI-6897", "OEMPRI-6897")</f>
        <v>OEMPRI-6897</v>
      </c>
      <c r="B114" s="76" t="s">
        <v>903</v>
      </c>
      <c r="C114" s="76" t="s">
        <v>139</v>
      </c>
      <c r="D114" s="77">
        <v>43215.0</v>
      </c>
      <c r="E114" s="78">
        <v>43220.0</v>
      </c>
      <c r="F114" s="76" t="s">
        <v>160</v>
      </c>
      <c r="G114" s="76" t="s">
        <v>140</v>
      </c>
      <c r="H114" s="79" t="s">
        <v>141</v>
      </c>
      <c r="I114" s="80">
        <v>43220.0</v>
      </c>
      <c r="J114" s="80">
        <v>43222.0</v>
      </c>
      <c r="K114" s="81"/>
      <c r="L114" s="81"/>
      <c r="M114" s="81"/>
      <c r="N114" s="81"/>
      <c r="O114" s="81"/>
      <c r="P114" s="81"/>
      <c r="Q114" s="81"/>
      <c r="R114" s="81"/>
      <c r="S114" s="81"/>
      <c r="T114" s="81"/>
      <c r="U114" s="81"/>
      <c r="V114" s="81"/>
      <c r="W114" s="81"/>
      <c r="X114" s="81"/>
      <c r="Y114" s="81"/>
      <c r="Z114" s="81"/>
    </row>
    <row r="115" hidden="1">
      <c r="A115" s="34" t="str">
        <f>hyperlink("https://issues.sierrawireless.com/browse/OEMPRI-6879", "OEMPRI-6879")</f>
        <v>OEMPRI-6879</v>
      </c>
      <c r="B115" s="36" t="s">
        <v>908</v>
      </c>
      <c r="C115" s="36" t="s">
        <v>86</v>
      </c>
      <c r="D115" s="38">
        <v>43214.0</v>
      </c>
      <c r="E115" s="39" t="s">
        <v>92</v>
      </c>
      <c r="F115" s="36" t="s">
        <v>398</v>
      </c>
      <c r="G115" s="36" t="s">
        <v>140</v>
      </c>
      <c r="H115" s="40" t="s">
        <v>140</v>
      </c>
      <c r="I115" s="41">
        <v>43227.0</v>
      </c>
      <c r="J115" s="41">
        <v>43227.0</v>
      </c>
      <c r="K115" s="42"/>
      <c r="L115" s="42"/>
      <c r="M115" s="42"/>
      <c r="N115" s="42"/>
      <c r="O115" s="42"/>
      <c r="P115" s="42"/>
      <c r="Q115" s="42"/>
      <c r="R115" s="42"/>
      <c r="S115" s="42"/>
      <c r="T115" s="42"/>
      <c r="U115" s="42"/>
      <c r="V115" s="42"/>
      <c r="W115" s="42"/>
      <c r="X115" s="42"/>
      <c r="Y115" s="42"/>
      <c r="Z115" s="42"/>
    </row>
    <row r="116" hidden="1">
      <c r="A116" s="34" t="str">
        <f>hyperlink("https://issues.sierrawireless.com/browse/OEMPRI-6880", "OEMPRI-6880")</f>
        <v>OEMPRI-6880</v>
      </c>
      <c r="B116" s="36" t="s">
        <v>914</v>
      </c>
      <c r="C116" s="36" t="s">
        <v>139</v>
      </c>
      <c r="D116" s="38">
        <v>43214.0</v>
      </c>
      <c r="E116" s="39" t="s">
        <v>92</v>
      </c>
      <c r="F116" s="36" t="s">
        <v>176</v>
      </c>
      <c r="G116" s="36" t="s">
        <v>140</v>
      </c>
      <c r="H116" s="40" t="s">
        <v>140</v>
      </c>
      <c r="I116" s="41">
        <v>43234.0</v>
      </c>
      <c r="J116" s="41">
        <v>43234.0</v>
      </c>
      <c r="K116" s="42"/>
      <c r="L116" s="42"/>
      <c r="M116" s="42"/>
      <c r="N116" s="42"/>
      <c r="O116" s="42"/>
      <c r="P116" s="42"/>
      <c r="Q116" s="42"/>
      <c r="R116" s="42"/>
      <c r="S116" s="42"/>
      <c r="T116" s="42"/>
      <c r="U116" s="42"/>
      <c r="V116" s="42"/>
      <c r="W116" s="42"/>
      <c r="X116" s="42"/>
      <c r="Y116" s="42"/>
      <c r="Z116" s="42"/>
    </row>
    <row r="117" hidden="1">
      <c r="A117" s="34" t="str">
        <f>hyperlink("https://issues.sierrawireless.com/browse/OEMPRI-6853", "OEMPRI-6853")</f>
        <v>OEMPRI-6853</v>
      </c>
      <c r="B117" s="36" t="s">
        <v>921</v>
      </c>
      <c r="C117" s="36" t="s">
        <v>139</v>
      </c>
      <c r="D117" s="38">
        <v>43213.0</v>
      </c>
      <c r="E117" s="39">
        <v>43213.0</v>
      </c>
      <c r="F117" s="36" t="s">
        <v>160</v>
      </c>
      <c r="G117" s="36" t="s">
        <v>148</v>
      </c>
      <c r="H117" s="40" t="s">
        <v>155</v>
      </c>
      <c r="I117" s="41">
        <v>43213.0</v>
      </c>
      <c r="J117" s="41">
        <v>43218.0</v>
      </c>
      <c r="K117" s="42"/>
      <c r="L117" s="42"/>
      <c r="M117" s="42"/>
      <c r="N117" s="42"/>
      <c r="O117" s="42"/>
      <c r="P117" s="42"/>
      <c r="Q117" s="42"/>
      <c r="R117" s="42"/>
      <c r="S117" s="42"/>
      <c r="T117" s="42"/>
      <c r="U117" s="42"/>
      <c r="V117" s="42"/>
      <c r="W117" s="42"/>
      <c r="X117" s="42"/>
      <c r="Y117" s="42"/>
      <c r="Z117" s="42"/>
    </row>
    <row r="118" hidden="1">
      <c r="A118" s="34" t="str">
        <f>hyperlink("https://issues.sierrawireless.com/browse/OEMPRI-6854", "OEMPRI-6854")</f>
        <v>OEMPRI-6854</v>
      </c>
      <c r="B118" s="36" t="s">
        <v>927</v>
      </c>
      <c r="C118" s="36" t="s">
        <v>139</v>
      </c>
      <c r="D118" s="38">
        <v>43213.0</v>
      </c>
      <c r="E118" s="39">
        <v>43214.0</v>
      </c>
      <c r="F118" s="36" t="s">
        <v>160</v>
      </c>
      <c r="G118" s="36" t="s">
        <v>148</v>
      </c>
      <c r="H118" s="40" t="s">
        <v>141</v>
      </c>
      <c r="I118" s="41">
        <v>43213.0</v>
      </c>
      <c r="J118" s="41">
        <v>43218.0</v>
      </c>
      <c r="K118" s="42"/>
      <c r="L118" s="42"/>
      <c r="M118" s="42"/>
      <c r="N118" s="42"/>
      <c r="O118" s="42"/>
      <c r="P118" s="42"/>
      <c r="Q118" s="42"/>
      <c r="R118" s="42"/>
      <c r="S118" s="42"/>
      <c r="T118" s="42"/>
      <c r="U118" s="42"/>
      <c r="V118" s="42"/>
      <c r="W118" s="42"/>
      <c r="X118" s="42"/>
      <c r="Y118" s="42"/>
      <c r="Z118" s="42"/>
    </row>
    <row r="119" hidden="1">
      <c r="A119" s="34" t="str">
        <f>hyperlink("https://issues.sierrawireless.com/browse/OEMPRI-6857", "OEMPRI-6857")</f>
        <v>OEMPRI-6857</v>
      </c>
      <c r="B119" s="36" t="s">
        <v>931</v>
      </c>
      <c r="C119" s="36" t="s">
        <v>139</v>
      </c>
      <c r="D119" s="38">
        <v>43213.0</v>
      </c>
      <c r="E119" s="39">
        <v>43039.0</v>
      </c>
      <c r="F119" s="36" t="s">
        <v>166</v>
      </c>
      <c r="G119" s="36" t="s">
        <v>140</v>
      </c>
      <c r="H119" s="40" t="s">
        <v>140</v>
      </c>
      <c r="I119" s="41">
        <v>43227.0</v>
      </c>
      <c r="J119" s="41">
        <v>43227.0</v>
      </c>
      <c r="K119" s="42"/>
      <c r="L119" s="42"/>
      <c r="M119" s="42"/>
      <c r="N119" s="42"/>
      <c r="O119" s="42"/>
      <c r="P119" s="42"/>
      <c r="Q119" s="42"/>
      <c r="R119" s="42"/>
      <c r="S119" s="42"/>
      <c r="T119" s="42"/>
      <c r="U119" s="42"/>
      <c r="V119" s="42"/>
      <c r="W119" s="42"/>
      <c r="X119" s="42"/>
      <c r="Y119" s="42"/>
      <c r="Z119" s="42"/>
    </row>
    <row r="120" hidden="1">
      <c r="A120" s="34" t="str">
        <f>hyperlink("https://issues.sierrawireless.com/browse/OEMPRI-6842", "OEMPRI-6842")</f>
        <v>OEMPRI-6842</v>
      </c>
      <c r="B120" s="36" t="s">
        <v>937</v>
      </c>
      <c r="C120" s="36" t="s">
        <v>139</v>
      </c>
      <c r="D120" s="38">
        <v>43210.0</v>
      </c>
      <c r="E120" s="39" t="s">
        <v>92</v>
      </c>
      <c r="F120" s="36" t="s">
        <v>160</v>
      </c>
      <c r="G120" s="36" t="s">
        <v>141</v>
      </c>
      <c r="H120" s="40" t="s">
        <v>141</v>
      </c>
      <c r="I120" s="41">
        <v>43206.0</v>
      </c>
      <c r="J120" s="41">
        <v>43210.0</v>
      </c>
      <c r="K120" s="42"/>
      <c r="L120" s="42"/>
      <c r="M120" s="42"/>
      <c r="N120" s="42"/>
      <c r="O120" s="42"/>
      <c r="P120" s="42"/>
      <c r="Q120" s="42"/>
      <c r="R120" s="42"/>
      <c r="S120" s="42"/>
      <c r="T120" s="42"/>
      <c r="U120" s="42"/>
      <c r="V120" s="42"/>
      <c r="W120" s="42"/>
      <c r="X120" s="42"/>
      <c r="Y120" s="42"/>
      <c r="Z120" s="42"/>
    </row>
    <row r="121" hidden="1">
      <c r="A121" s="34" t="str">
        <f>hyperlink("https://issues.sierrawireless.com/browse/OEMPRI-6843", "OEMPRI-6843")</f>
        <v>OEMPRI-6843</v>
      </c>
      <c r="B121" s="36" t="s">
        <v>942</v>
      </c>
      <c r="C121" s="36" t="s">
        <v>139</v>
      </c>
      <c r="D121" s="38">
        <v>43210.0</v>
      </c>
      <c r="E121" s="39" t="s">
        <v>92</v>
      </c>
      <c r="F121" s="36" t="s">
        <v>176</v>
      </c>
      <c r="G121" s="36" t="s">
        <v>148</v>
      </c>
      <c r="H121" s="40" t="s">
        <v>337</v>
      </c>
      <c r="I121" s="41">
        <v>43213.0</v>
      </c>
      <c r="J121" s="41">
        <v>43213.0</v>
      </c>
      <c r="K121" s="42"/>
      <c r="L121" s="42"/>
      <c r="M121" s="42"/>
      <c r="N121" s="42"/>
      <c r="O121" s="42"/>
      <c r="P121" s="42"/>
      <c r="Q121" s="42"/>
      <c r="R121" s="42"/>
      <c r="S121" s="42"/>
      <c r="T121" s="42"/>
      <c r="U121" s="42"/>
      <c r="V121" s="42"/>
      <c r="W121" s="42"/>
      <c r="X121" s="42"/>
      <c r="Y121" s="42"/>
      <c r="Z121" s="42"/>
    </row>
    <row r="122" hidden="1">
      <c r="A122" s="34" t="str">
        <f>hyperlink("https://issues.sierrawireless.com/browse/OEMPRI-6817", "OEMPRI-6817")</f>
        <v>OEMPRI-6817</v>
      </c>
      <c r="B122" s="36" t="s">
        <v>947</v>
      </c>
      <c r="C122" s="36" t="s">
        <v>139</v>
      </c>
      <c r="D122" s="38">
        <v>43208.0</v>
      </c>
      <c r="E122" s="39">
        <v>43213.0</v>
      </c>
      <c r="F122" s="36" t="s">
        <v>160</v>
      </c>
      <c r="G122" s="36" t="s">
        <v>155</v>
      </c>
      <c r="H122" s="40" t="s">
        <v>155</v>
      </c>
      <c r="I122" s="41">
        <v>43213.0</v>
      </c>
      <c r="J122" s="41">
        <v>43213.0</v>
      </c>
      <c r="K122" s="42"/>
      <c r="L122" s="42"/>
      <c r="M122" s="42"/>
      <c r="N122" s="42"/>
      <c r="O122" s="42"/>
      <c r="P122" s="42"/>
      <c r="Q122" s="42"/>
      <c r="R122" s="42"/>
      <c r="S122" s="42"/>
      <c r="T122" s="42"/>
      <c r="U122" s="42"/>
      <c r="V122" s="42"/>
      <c r="W122" s="42"/>
      <c r="X122" s="42"/>
      <c r="Y122" s="42"/>
      <c r="Z122" s="42"/>
    </row>
    <row r="123" hidden="1">
      <c r="A123" s="34" t="str">
        <f>hyperlink("https://issues.sierrawireless.com/browse/OEMPRI-6792", "OEMPRI-6792")</f>
        <v>OEMPRI-6792</v>
      </c>
      <c r="B123" s="36" t="s">
        <v>952</v>
      </c>
      <c r="C123" s="36" t="s">
        <v>139</v>
      </c>
      <c r="D123" s="38">
        <v>43206.0</v>
      </c>
      <c r="E123" s="39">
        <v>43210.0</v>
      </c>
      <c r="F123" s="36" t="s">
        <v>147</v>
      </c>
      <c r="G123" s="36" t="s">
        <v>148</v>
      </c>
      <c r="H123" s="40" t="s">
        <v>149</v>
      </c>
      <c r="I123" s="41">
        <v>43220.0</v>
      </c>
      <c r="J123" s="41">
        <v>43222.0</v>
      </c>
      <c r="K123" s="42"/>
      <c r="L123" s="42"/>
      <c r="M123" s="42"/>
      <c r="N123" s="42"/>
      <c r="O123" s="42"/>
      <c r="P123" s="42"/>
      <c r="Q123" s="42"/>
      <c r="R123" s="42"/>
      <c r="S123" s="42"/>
      <c r="T123" s="42"/>
      <c r="U123" s="42"/>
      <c r="V123" s="42"/>
      <c r="W123" s="42"/>
      <c r="X123" s="42"/>
      <c r="Y123" s="42"/>
      <c r="Z123" s="42"/>
    </row>
    <row r="124" hidden="1">
      <c r="A124" s="34" t="str">
        <f>hyperlink("https://issues.sierrawireless.com/browse/OEMPRI-6793", "OEMPRI-6793")</f>
        <v>OEMPRI-6793</v>
      </c>
      <c r="B124" s="36" t="s">
        <v>959</v>
      </c>
      <c r="C124" s="36" t="s">
        <v>139</v>
      </c>
      <c r="D124" s="38">
        <v>43206.0</v>
      </c>
      <c r="E124" s="39">
        <v>43208.0</v>
      </c>
      <c r="F124" s="36" t="s">
        <v>160</v>
      </c>
      <c r="G124" s="36" t="s">
        <v>155</v>
      </c>
      <c r="H124" s="40" t="s">
        <v>155</v>
      </c>
      <c r="I124" s="41">
        <v>43206.0</v>
      </c>
      <c r="J124" s="41">
        <v>43208.0</v>
      </c>
      <c r="K124" s="42"/>
      <c r="L124" s="42"/>
      <c r="M124" s="42"/>
      <c r="N124" s="42"/>
      <c r="O124" s="42"/>
      <c r="P124" s="42"/>
      <c r="Q124" s="42"/>
      <c r="R124" s="42"/>
      <c r="S124" s="42"/>
      <c r="T124" s="42"/>
      <c r="U124" s="42"/>
      <c r="V124" s="42"/>
      <c r="W124" s="42"/>
      <c r="X124" s="42"/>
      <c r="Y124" s="42"/>
      <c r="Z124" s="42"/>
    </row>
    <row r="125" hidden="1">
      <c r="A125" s="34" t="str">
        <f>hyperlink("https://issues.sierrawireless.com/browse/OEMPRI-6794", "OEMPRI-6794")</f>
        <v>OEMPRI-6794</v>
      </c>
      <c r="B125" s="36" t="s">
        <v>965</v>
      </c>
      <c r="C125" s="36" t="s">
        <v>139</v>
      </c>
      <c r="D125" s="38">
        <v>43206.0</v>
      </c>
      <c r="E125" s="39">
        <v>43213.0</v>
      </c>
      <c r="F125" s="36" t="s">
        <v>160</v>
      </c>
      <c r="G125" s="36" t="s">
        <v>148</v>
      </c>
      <c r="H125" s="40" t="s">
        <v>155</v>
      </c>
      <c r="I125" s="41">
        <v>43213.0</v>
      </c>
      <c r="J125" s="41">
        <v>43213.0</v>
      </c>
      <c r="K125" s="42"/>
      <c r="L125" s="42"/>
      <c r="M125" s="42"/>
      <c r="N125" s="42"/>
      <c r="O125" s="42"/>
      <c r="P125" s="42"/>
      <c r="Q125" s="42"/>
      <c r="R125" s="42"/>
      <c r="S125" s="42"/>
      <c r="T125" s="42"/>
      <c r="U125" s="42"/>
      <c r="V125" s="42"/>
      <c r="W125" s="42"/>
      <c r="X125" s="42"/>
      <c r="Y125" s="42"/>
      <c r="Z125" s="42"/>
    </row>
    <row r="126" hidden="1">
      <c r="A126" s="34" t="str">
        <f>hyperlink("https://issues.sierrawireless.com/browse/OEMPRI-6795", "OEMPRI-6795")</f>
        <v>OEMPRI-6795</v>
      </c>
      <c r="B126" s="36" t="s">
        <v>972</v>
      </c>
      <c r="C126" s="36" t="s">
        <v>139</v>
      </c>
      <c r="D126" s="38">
        <v>43206.0</v>
      </c>
      <c r="E126" s="39">
        <v>43215.0</v>
      </c>
      <c r="F126" s="36" t="s">
        <v>160</v>
      </c>
      <c r="G126" s="36" t="s">
        <v>148</v>
      </c>
      <c r="H126" s="40" t="s">
        <v>155</v>
      </c>
      <c r="I126" s="41">
        <v>43220.0</v>
      </c>
      <c r="J126" s="41">
        <v>43215.0</v>
      </c>
      <c r="K126" s="42"/>
      <c r="L126" s="42"/>
      <c r="M126" s="42"/>
      <c r="N126" s="42"/>
      <c r="O126" s="42"/>
      <c r="P126" s="42"/>
      <c r="Q126" s="42"/>
      <c r="R126" s="42"/>
      <c r="S126" s="42"/>
      <c r="T126" s="42"/>
      <c r="U126" s="42"/>
      <c r="V126" s="42"/>
      <c r="W126" s="42"/>
      <c r="X126" s="42"/>
      <c r="Y126" s="42"/>
      <c r="Z126" s="42"/>
    </row>
    <row r="127" hidden="1">
      <c r="A127" s="61" t="str">
        <f>hyperlink("https://issues.sierrawireless.com/browse/OEMPRI-6796", "OEMPRI-6796")</f>
        <v>OEMPRI-6796</v>
      </c>
      <c r="B127" s="62" t="s">
        <v>980</v>
      </c>
      <c r="C127" s="62" t="s">
        <v>469</v>
      </c>
      <c r="D127" s="63">
        <v>43206.0</v>
      </c>
      <c r="E127" s="64">
        <v>43217.0</v>
      </c>
      <c r="F127" s="62" t="s">
        <v>274</v>
      </c>
      <c r="G127" s="62" t="s">
        <v>140</v>
      </c>
      <c r="H127" s="65" t="s">
        <v>155</v>
      </c>
      <c r="I127" s="66">
        <v>43220.0</v>
      </c>
      <c r="J127" s="66">
        <v>43223.0</v>
      </c>
      <c r="K127" s="67"/>
      <c r="L127" s="67"/>
      <c r="M127" s="67"/>
      <c r="N127" s="67"/>
      <c r="O127" s="67"/>
      <c r="P127" s="67"/>
      <c r="Q127" s="67"/>
      <c r="R127" s="67"/>
      <c r="S127" s="67"/>
      <c r="T127" s="67"/>
      <c r="U127" s="67"/>
      <c r="V127" s="67"/>
      <c r="W127" s="67"/>
      <c r="X127" s="67"/>
      <c r="Y127" s="67"/>
      <c r="Z127" s="67"/>
    </row>
    <row r="128" hidden="1">
      <c r="A128" s="34" t="str">
        <f>hyperlink("https://issues.sierrawireless.com/browse/OEMPRI-6797", "OEMPRI-6797")</f>
        <v>OEMPRI-6797</v>
      </c>
      <c r="B128" s="36" t="s">
        <v>987</v>
      </c>
      <c r="C128" s="36" t="s">
        <v>139</v>
      </c>
      <c r="D128" s="38">
        <v>43206.0</v>
      </c>
      <c r="E128" s="39" t="s">
        <v>92</v>
      </c>
      <c r="F128" s="36" t="s">
        <v>176</v>
      </c>
      <c r="G128" s="36" t="s">
        <v>140</v>
      </c>
      <c r="H128" s="40" t="s">
        <v>140</v>
      </c>
      <c r="I128" s="41">
        <v>43206.0</v>
      </c>
      <c r="J128" s="41">
        <v>43209.0</v>
      </c>
      <c r="K128" s="42"/>
      <c r="L128" s="42"/>
      <c r="M128" s="42"/>
      <c r="N128" s="42"/>
      <c r="O128" s="42"/>
      <c r="P128" s="42"/>
      <c r="Q128" s="42"/>
      <c r="R128" s="42"/>
      <c r="S128" s="42"/>
      <c r="T128" s="42"/>
      <c r="U128" s="42"/>
      <c r="V128" s="42"/>
      <c r="W128" s="42"/>
      <c r="X128" s="42"/>
      <c r="Y128" s="42"/>
      <c r="Z128" s="42"/>
    </row>
    <row r="129" hidden="1">
      <c r="A129" s="34" t="str">
        <f>hyperlink("https://issues.sierrawireless.com/browse/OEMPRI-6798", "OEMPRI-6798")</f>
        <v>OEMPRI-6798</v>
      </c>
      <c r="B129" s="36" t="s">
        <v>992</v>
      </c>
      <c r="C129" s="36" t="s">
        <v>139</v>
      </c>
      <c r="D129" s="38">
        <v>43206.0</v>
      </c>
      <c r="E129" s="39">
        <v>43208.0</v>
      </c>
      <c r="F129" s="36" t="s">
        <v>160</v>
      </c>
      <c r="G129" s="36" t="s">
        <v>148</v>
      </c>
      <c r="H129" s="40" t="s">
        <v>141</v>
      </c>
      <c r="I129" s="41">
        <v>43206.0</v>
      </c>
      <c r="J129" s="41">
        <v>43208.0</v>
      </c>
      <c r="K129" s="42"/>
      <c r="L129" s="42"/>
      <c r="M129" s="42"/>
      <c r="N129" s="42"/>
      <c r="O129" s="42"/>
      <c r="P129" s="42"/>
      <c r="Q129" s="42"/>
      <c r="R129" s="42"/>
      <c r="S129" s="42"/>
      <c r="T129" s="42"/>
      <c r="U129" s="42"/>
      <c r="V129" s="42"/>
      <c r="W129" s="42"/>
      <c r="X129" s="42"/>
      <c r="Y129" s="42"/>
      <c r="Z129" s="42"/>
    </row>
    <row r="130" hidden="1">
      <c r="A130" s="34" t="str">
        <f>hyperlink("https://issues.sierrawireless.com/browse/OEMPRI-6799", "OEMPRI-6799")</f>
        <v>OEMPRI-6799</v>
      </c>
      <c r="B130" s="36" t="s">
        <v>1002</v>
      </c>
      <c r="C130" s="36" t="s">
        <v>139</v>
      </c>
      <c r="D130" s="38">
        <v>43206.0</v>
      </c>
      <c r="E130" s="39">
        <v>43209.0</v>
      </c>
      <c r="F130" s="36" t="s">
        <v>160</v>
      </c>
      <c r="G130" s="36" t="s">
        <v>141</v>
      </c>
      <c r="H130" s="40" t="s">
        <v>141</v>
      </c>
      <c r="I130" s="41">
        <v>43206.0</v>
      </c>
      <c r="J130" s="41">
        <v>43209.0</v>
      </c>
      <c r="K130" s="42"/>
      <c r="L130" s="42"/>
      <c r="M130" s="42"/>
      <c r="N130" s="42"/>
      <c r="O130" s="42"/>
      <c r="P130" s="42"/>
      <c r="Q130" s="42"/>
      <c r="R130" s="42"/>
      <c r="S130" s="42"/>
      <c r="T130" s="42"/>
      <c r="U130" s="42"/>
      <c r="V130" s="42"/>
      <c r="W130" s="42"/>
      <c r="X130" s="42"/>
      <c r="Y130" s="42"/>
      <c r="Z130" s="42"/>
    </row>
    <row r="131" hidden="1">
      <c r="A131" s="34" t="str">
        <f>hyperlink("https://issues.sierrawireless.com/browse/OEMPRI-6784", "OEMPRI-6784")</f>
        <v>OEMPRI-6784</v>
      </c>
      <c r="B131" s="36" t="s">
        <v>1008</v>
      </c>
      <c r="C131" s="36" t="s">
        <v>139</v>
      </c>
      <c r="D131" s="38">
        <v>43203.0</v>
      </c>
      <c r="E131" s="39" t="s">
        <v>92</v>
      </c>
      <c r="F131" s="36" t="s">
        <v>176</v>
      </c>
      <c r="G131" s="36" t="s">
        <v>170</v>
      </c>
      <c r="H131" s="40" t="s">
        <v>337</v>
      </c>
      <c r="I131" s="41">
        <v>43206.0</v>
      </c>
      <c r="J131" s="41">
        <v>43209.0</v>
      </c>
      <c r="K131" s="42"/>
      <c r="L131" s="42"/>
      <c r="M131" s="42"/>
      <c r="N131" s="42"/>
      <c r="O131" s="42"/>
      <c r="P131" s="42"/>
      <c r="Q131" s="42"/>
      <c r="R131" s="42"/>
      <c r="S131" s="42"/>
      <c r="T131" s="42"/>
      <c r="U131" s="42"/>
      <c r="V131" s="42"/>
      <c r="W131" s="42"/>
      <c r="X131" s="42"/>
      <c r="Y131" s="42"/>
      <c r="Z131" s="42"/>
    </row>
    <row r="132" hidden="1">
      <c r="A132" s="34" t="str">
        <f>hyperlink("https://issues.sierrawireless.com/browse/OEMPRI-6767", "OEMPRI-6767")</f>
        <v>OEMPRI-6767</v>
      </c>
      <c r="B132" s="36" t="s">
        <v>1016</v>
      </c>
      <c r="C132" s="36" t="s">
        <v>139</v>
      </c>
      <c r="D132" s="38">
        <v>43202.0</v>
      </c>
      <c r="E132" s="39">
        <v>43173.0</v>
      </c>
      <c r="F132" s="36" t="s">
        <v>160</v>
      </c>
      <c r="G132" s="36" t="s">
        <v>155</v>
      </c>
      <c r="H132" s="40" t="s">
        <v>155</v>
      </c>
      <c r="I132" s="41">
        <v>43192.0</v>
      </c>
      <c r="J132" s="41">
        <v>43203.0</v>
      </c>
      <c r="K132" s="42"/>
      <c r="L132" s="42"/>
      <c r="M132" s="42"/>
      <c r="N132" s="42"/>
      <c r="O132" s="42"/>
      <c r="P132" s="42"/>
      <c r="Q132" s="42"/>
      <c r="R132" s="42"/>
      <c r="S132" s="42"/>
      <c r="T132" s="42"/>
      <c r="U132" s="42"/>
      <c r="V132" s="42"/>
      <c r="W132" s="42"/>
      <c r="X132" s="42"/>
      <c r="Y132" s="42"/>
      <c r="Z132" s="42"/>
    </row>
    <row r="133" hidden="1">
      <c r="A133" s="34" t="str">
        <f>hyperlink("https://issues.sierrawireless.com/browse/OEMPRI-6770", "OEMPRI-6770")</f>
        <v>OEMPRI-6770</v>
      </c>
      <c r="B133" s="36" t="s">
        <v>1021</v>
      </c>
      <c r="C133" s="36" t="s">
        <v>139</v>
      </c>
      <c r="D133" s="38">
        <v>43202.0</v>
      </c>
      <c r="E133" s="39" t="s">
        <v>92</v>
      </c>
      <c r="F133" s="36" t="s">
        <v>119</v>
      </c>
      <c r="G133" s="36" t="s">
        <v>148</v>
      </c>
      <c r="H133" s="40" t="s">
        <v>122</v>
      </c>
      <c r="I133" s="41">
        <v>43220.0</v>
      </c>
      <c r="J133" s="41">
        <v>43224.0</v>
      </c>
      <c r="K133" s="42"/>
      <c r="L133" s="42"/>
      <c r="M133" s="42"/>
      <c r="N133" s="42"/>
      <c r="O133" s="42"/>
      <c r="P133" s="42"/>
      <c r="Q133" s="42"/>
      <c r="R133" s="42"/>
      <c r="S133" s="42"/>
      <c r="T133" s="42"/>
      <c r="U133" s="42"/>
      <c r="V133" s="42"/>
      <c r="W133" s="42"/>
      <c r="X133" s="42"/>
      <c r="Y133" s="42"/>
      <c r="Z133" s="42"/>
    </row>
    <row r="134" hidden="1">
      <c r="A134" s="34" t="str">
        <f>hyperlink("https://issues.sierrawireless.com/browse/OEMPRI-6751", "OEMPRI-6751")</f>
        <v>OEMPRI-6751</v>
      </c>
      <c r="B134" s="36" t="s">
        <v>1030</v>
      </c>
      <c r="C134" s="36" t="s">
        <v>1031</v>
      </c>
      <c r="D134" s="38">
        <v>43201.0</v>
      </c>
      <c r="E134" s="39" t="s">
        <v>92</v>
      </c>
      <c r="F134" s="36" t="s">
        <v>176</v>
      </c>
      <c r="G134" s="36" t="s">
        <v>155</v>
      </c>
      <c r="H134" s="40" t="s">
        <v>155</v>
      </c>
      <c r="I134" s="41">
        <v>43192.0</v>
      </c>
      <c r="J134" s="41">
        <v>43203.0</v>
      </c>
      <c r="K134" s="42"/>
      <c r="L134" s="42"/>
      <c r="M134" s="42"/>
      <c r="N134" s="42"/>
      <c r="O134" s="42"/>
      <c r="P134" s="42"/>
      <c r="Q134" s="42"/>
      <c r="R134" s="42"/>
      <c r="S134" s="42"/>
      <c r="T134" s="42"/>
      <c r="U134" s="42"/>
      <c r="V134" s="42"/>
      <c r="W134" s="42"/>
      <c r="X134" s="42"/>
      <c r="Y134" s="42"/>
      <c r="Z134" s="42"/>
    </row>
    <row r="135" hidden="1">
      <c r="A135" s="34" t="str">
        <f>hyperlink("https://issues.sierrawireless.com/browse/OEMPRI-6752", "OEMPRI-6752")</f>
        <v>OEMPRI-6752</v>
      </c>
      <c r="B135" s="36" t="s">
        <v>1037</v>
      </c>
      <c r="C135" s="36" t="s">
        <v>139</v>
      </c>
      <c r="D135" s="38">
        <v>43201.0</v>
      </c>
      <c r="E135" s="39" t="s">
        <v>92</v>
      </c>
      <c r="F135" s="36" t="s">
        <v>176</v>
      </c>
      <c r="G135" s="36" t="s">
        <v>140</v>
      </c>
      <c r="H135" s="40" t="s">
        <v>153</v>
      </c>
      <c r="I135" s="41">
        <v>43206.0</v>
      </c>
      <c r="J135" s="41">
        <v>43206.0</v>
      </c>
      <c r="K135" s="42"/>
      <c r="L135" s="42"/>
      <c r="M135" s="42"/>
      <c r="N135" s="42"/>
      <c r="O135" s="42"/>
      <c r="P135" s="42"/>
      <c r="Q135" s="42"/>
      <c r="R135" s="42"/>
      <c r="S135" s="42"/>
      <c r="T135" s="42"/>
      <c r="U135" s="42"/>
      <c r="V135" s="42"/>
      <c r="W135" s="42"/>
      <c r="X135" s="42"/>
      <c r="Y135" s="42"/>
      <c r="Z135" s="42"/>
    </row>
    <row r="136" hidden="1">
      <c r="A136" s="34" t="str">
        <f>hyperlink("https://issues.sierrawireless.com/browse/OEMPRI-6733", "OEMPRI-6733")</f>
        <v>OEMPRI-6733</v>
      </c>
      <c r="B136" s="36" t="s">
        <v>1046</v>
      </c>
      <c r="C136" s="36" t="s">
        <v>139</v>
      </c>
      <c r="D136" s="38">
        <v>43200.0</v>
      </c>
      <c r="E136" s="39">
        <v>43059.0</v>
      </c>
      <c r="F136" s="36" t="s">
        <v>160</v>
      </c>
      <c r="G136" s="36" t="s">
        <v>155</v>
      </c>
      <c r="H136" s="40" t="s">
        <v>155</v>
      </c>
      <c r="I136" s="41">
        <v>43192.0</v>
      </c>
      <c r="J136" s="41">
        <v>43203.0</v>
      </c>
      <c r="K136" s="42"/>
      <c r="L136" s="42"/>
      <c r="M136" s="42"/>
      <c r="N136" s="42"/>
      <c r="O136" s="42"/>
      <c r="P136" s="42"/>
      <c r="Q136" s="42"/>
      <c r="R136" s="42"/>
      <c r="S136" s="42"/>
      <c r="T136" s="42"/>
      <c r="U136" s="42"/>
      <c r="V136" s="42"/>
      <c r="W136" s="42"/>
      <c r="X136" s="42"/>
      <c r="Y136" s="42"/>
      <c r="Z136" s="42"/>
    </row>
    <row r="137" hidden="1">
      <c r="A137" s="34" t="str">
        <f>hyperlink("https://issues.sierrawireless.com/browse/OEMPRI-6738", "OEMPRI-6738")</f>
        <v>OEMPRI-6738</v>
      </c>
      <c r="B137" s="36" t="s">
        <v>1053</v>
      </c>
      <c r="C137" s="36" t="s">
        <v>139</v>
      </c>
      <c r="D137" s="38">
        <v>43200.0</v>
      </c>
      <c r="E137" s="39" t="s">
        <v>92</v>
      </c>
      <c r="F137" s="36" t="s">
        <v>176</v>
      </c>
      <c r="G137" s="36" t="s">
        <v>337</v>
      </c>
      <c r="H137" s="40" t="s">
        <v>337</v>
      </c>
      <c r="I137" s="41">
        <v>43192.0</v>
      </c>
      <c r="J137" s="41">
        <v>43203.0</v>
      </c>
      <c r="K137" s="42"/>
      <c r="L137" s="42"/>
      <c r="M137" s="42"/>
      <c r="N137" s="42"/>
      <c r="O137" s="42"/>
      <c r="P137" s="42"/>
      <c r="Q137" s="42"/>
      <c r="R137" s="42"/>
      <c r="S137" s="42"/>
      <c r="T137" s="42"/>
      <c r="U137" s="42"/>
      <c r="V137" s="42"/>
      <c r="W137" s="42"/>
      <c r="X137" s="42"/>
      <c r="Y137" s="42"/>
      <c r="Z137" s="42"/>
    </row>
    <row r="138" hidden="1">
      <c r="A138" s="34" t="str">
        <f>hyperlink("https://issues.sierrawireless.com/browse/OEMPRI-6739", "OEMPRI-6739")</f>
        <v>OEMPRI-6739</v>
      </c>
      <c r="B138" s="36" t="s">
        <v>1059</v>
      </c>
      <c r="C138" s="36" t="s">
        <v>139</v>
      </c>
      <c r="D138" s="38">
        <v>43200.0</v>
      </c>
      <c r="E138" s="39">
        <v>43129.0</v>
      </c>
      <c r="F138" s="36" t="s">
        <v>215</v>
      </c>
      <c r="G138" s="36" t="s">
        <v>148</v>
      </c>
      <c r="H138" s="40" t="s">
        <v>216</v>
      </c>
      <c r="I138" s="41">
        <v>43227.0</v>
      </c>
      <c r="J138" s="41">
        <v>43227.0</v>
      </c>
      <c r="K138" s="42"/>
      <c r="L138" s="42"/>
      <c r="M138" s="42"/>
      <c r="N138" s="42"/>
      <c r="O138" s="42"/>
      <c r="P138" s="42"/>
      <c r="Q138" s="42"/>
      <c r="R138" s="42"/>
      <c r="S138" s="42"/>
      <c r="T138" s="42"/>
      <c r="U138" s="42"/>
      <c r="V138" s="42"/>
      <c r="W138" s="42"/>
      <c r="X138" s="42"/>
      <c r="Y138" s="42"/>
      <c r="Z138" s="42"/>
    </row>
    <row r="139" hidden="1">
      <c r="A139" s="34" t="str">
        <f>hyperlink("https://issues.sierrawireless.com/browse/OEMPRI-6724", "OEMPRI-6724")</f>
        <v>OEMPRI-6724</v>
      </c>
      <c r="B139" s="36" t="s">
        <v>1064</v>
      </c>
      <c r="C139" s="36" t="s">
        <v>139</v>
      </c>
      <c r="D139" s="38">
        <v>43199.0</v>
      </c>
      <c r="E139" s="39" t="s">
        <v>92</v>
      </c>
      <c r="F139" s="36" t="s">
        <v>176</v>
      </c>
      <c r="G139" s="36" t="s">
        <v>148</v>
      </c>
      <c r="H139" s="40" t="s">
        <v>170</v>
      </c>
      <c r="I139" s="41">
        <v>43192.0</v>
      </c>
      <c r="J139" s="41">
        <v>43203.0</v>
      </c>
      <c r="K139" s="42"/>
      <c r="L139" s="42"/>
      <c r="M139" s="42"/>
      <c r="N139" s="42"/>
      <c r="O139" s="42"/>
      <c r="P139" s="42"/>
      <c r="Q139" s="42"/>
      <c r="R139" s="42"/>
      <c r="S139" s="42"/>
      <c r="T139" s="42"/>
      <c r="U139" s="42"/>
      <c r="V139" s="42"/>
      <c r="W139" s="42"/>
      <c r="X139" s="42"/>
      <c r="Y139" s="42"/>
      <c r="Z139" s="42"/>
    </row>
    <row r="140" hidden="1">
      <c r="A140" s="34" t="str">
        <f>hyperlink("https://issues.sierrawireless.com/browse/OEMPRI-6725", "OEMPRI-6725")</f>
        <v>OEMPRI-6725</v>
      </c>
      <c r="B140" s="36" t="s">
        <v>1070</v>
      </c>
      <c r="C140" s="36" t="s">
        <v>139</v>
      </c>
      <c r="D140" s="38">
        <v>43199.0</v>
      </c>
      <c r="E140" s="39">
        <v>43039.0</v>
      </c>
      <c r="F140" s="36" t="s">
        <v>166</v>
      </c>
      <c r="G140" s="36" t="s">
        <v>140</v>
      </c>
      <c r="H140" s="40" t="s">
        <v>140</v>
      </c>
      <c r="I140" s="41">
        <v>43206.0</v>
      </c>
      <c r="J140" s="41">
        <v>43206.0</v>
      </c>
      <c r="K140" s="42"/>
      <c r="L140" s="42"/>
      <c r="M140" s="42"/>
      <c r="N140" s="42"/>
      <c r="O140" s="42"/>
      <c r="P140" s="42"/>
      <c r="Q140" s="42"/>
      <c r="R140" s="42"/>
      <c r="S140" s="42"/>
      <c r="T140" s="42"/>
      <c r="U140" s="42"/>
      <c r="V140" s="42"/>
      <c r="W140" s="42"/>
      <c r="X140" s="42"/>
      <c r="Y140" s="42"/>
      <c r="Z140" s="42"/>
    </row>
    <row r="141" hidden="1">
      <c r="A141" s="34" t="str">
        <f>hyperlink("https://issues.sierrawireless.com/browse/OEMPRI-6726", "OEMPRI-6726")</f>
        <v>OEMPRI-6726</v>
      </c>
      <c r="B141" s="36" t="s">
        <v>1077</v>
      </c>
      <c r="C141" s="36" t="s">
        <v>139</v>
      </c>
      <c r="D141" s="38">
        <v>43199.0</v>
      </c>
      <c r="E141" s="39">
        <v>43179.0</v>
      </c>
      <c r="F141" s="36" t="s">
        <v>723</v>
      </c>
      <c r="G141" s="36" t="s">
        <v>148</v>
      </c>
      <c r="H141" s="40" t="s">
        <v>122</v>
      </c>
      <c r="I141" s="41">
        <v>43213.0</v>
      </c>
      <c r="J141" s="41">
        <v>43214.0</v>
      </c>
      <c r="K141" s="42"/>
      <c r="L141" s="42"/>
      <c r="M141" s="42"/>
      <c r="N141" s="42"/>
      <c r="O141" s="42"/>
      <c r="P141" s="42"/>
      <c r="Q141" s="42"/>
      <c r="R141" s="42"/>
      <c r="S141" s="42"/>
      <c r="T141" s="42"/>
      <c r="U141" s="42"/>
      <c r="V141" s="42"/>
      <c r="W141" s="42"/>
      <c r="X141" s="42"/>
      <c r="Y141" s="42"/>
      <c r="Z141" s="42"/>
    </row>
    <row r="142" hidden="1">
      <c r="A142" s="34" t="str">
        <f>hyperlink("https://issues.sierrawireless.com/browse/OEMPRI-6728", "OEMPRI-6728")</f>
        <v>OEMPRI-6728</v>
      </c>
      <c r="B142" s="36" t="s">
        <v>1083</v>
      </c>
      <c r="C142" s="36" t="s">
        <v>139</v>
      </c>
      <c r="D142" s="38">
        <v>43199.0</v>
      </c>
      <c r="E142" s="39">
        <v>43202.0</v>
      </c>
      <c r="F142" s="36" t="s">
        <v>723</v>
      </c>
      <c r="G142" s="36" t="s">
        <v>148</v>
      </c>
      <c r="H142" s="40" t="s">
        <v>122</v>
      </c>
      <c r="I142" s="41">
        <v>43192.0</v>
      </c>
      <c r="J142" s="41">
        <v>43203.0</v>
      </c>
      <c r="K142" s="42"/>
      <c r="L142" s="42"/>
      <c r="M142" s="42"/>
      <c r="N142" s="42"/>
      <c r="O142" s="42"/>
      <c r="P142" s="42"/>
      <c r="Q142" s="42"/>
      <c r="R142" s="42"/>
      <c r="S142" s="42"/>
      <c r="T142" s="42"/>
      <c r="U142" s="42"/>
      <c r="V142" s="42"/>
      <c r="W142" s="42"/>
      <c r="X142" s="42"/>
      <c r="Y142" s="42"/>
      <c r="Z142" s="42"/>
    </row>
    <row r="143" hidden="1">
      <c r="A143" s="34" t="str">
        <f>hyperlink("https://issues.sierrawireless.com/browse/OEMPRI-6694", "OEMPRI-6694")</f>
        <v>OEMPRI-6694</v>
      </c>
      <c r="B143" s="36" t="s">
        <v>1089</v>
      </c>
      <c r="C143" s="36" t="s">
        <v>139</v>
      </c>
      <c r="D143" s="38">
        <v>43194.0</v>
      </c>
      <c r="E143" s="39" t="s">
        <v>92</v>
      </c>
      <c r="F143" s="36" t="s">
        <v>176</v>
      </c>
      <c r="G143" s="36" t="s">
        <v>140</v>
      </c>
      <c r="H143" s="40" t="s">
        <v>140</v>
      </c>
      <c r="I143" s="41">
        <v>43192.0</v>
      </c>
      <c r="J143" s="41">
        <v>43194.0</v>
      </c>
      <c r="K143" s="42"/>
      <c r="L143" s="42"/>
      <c r="M143" s="42"/>
      <c r="N143" s="42"/>
      <c r="O143" s="42"/>
      <c r="P143" s="42"/>
      <c r="Q143" s="42"/>
      <c r="R143" s="42"/>
      <c r="S143" s="42"/>
      <c r="T143" s="42"/>
      <c r="U143" s="42"/>
      <c r="V143" s="42"/>
      <c r="W143" s="42"/>
      <c r="X143" s="42"/>
      <c r="Y143" s="42"/>
      <c r="Z143" s="42"/>
    </row>
    <row r="144" hidden="1">
      <c r="A144" s="34" t="str">
        <f>hyperlink("https://issues.sierrawireless.com/browse/OEMPRI-6695", "OEMPRI-6695")</f>
        <v>OEMPRI-6695</v>
      </c>
      <c r="B144" s="36" t="s">
        <v>1098</v>
      </c>
      <c r="C144" s="36" t="s">
        <v>139</v>
      </c>
      <c r="D144" s="38">
        <v>43194.0</v>
      </c>
      <c r="E144" s="39" t="s">
        <v>92</v>
      </c>
      <c r="F144" s="36" t="s">
        <v>176</v>
      </c>
      <c r="G144" s="36" t="s">
        <v>140</v>
      </c>
      <c r="H144" s="40" t="s">
        <v>140</v>
      </c>
      <c r="I144" s="41">
        <v>43192.0</v>
      </c>
      <c r="J144" s="41">
        <v>43203.0</v>
      </c>
      <c r="K144" s="42"/>
      <c r="L144" s="42"/>
      <c r="M144" s="42"/>
      <c r="N144" s="42"/>
      <c r="O144" s="42"/>
      <c r="P144" s="42"/>
      <c r="Q144" s="42"/>
      <c r="R144" s="42"/>
      <c r="S144" s="42"/>
      <c r="T144" s="42"/>
      <c r="U144" s="42"/>
      <c r="V144" s="42"/>
      <c r="W144" s="42"/>
      <c r="X144" s="42"/>
      <c r="Y144" s="42"/>
      <c r="Z144" s="42"/>
    </row>
    <row r="145" hidden="1">
      <c r="A145" s="34" t="str">
        <f>hyperlink("https://issues.sierrawireless.com/browse/OEMPRI-6696", "OEMPRI-6696")</f>
        <v>OEMPRI-6696</v>
      </c>
      <c r="B145" s="36" t="s">
        <v>1105</v>
      </c>
      <c r="C145" s="36" t="s">
        <v>139</v>
      </c>
      <c r="D145" s="38">
        <v>43194.0</v>
      </c>
      <c r="E145" s="39">
        <v>43200.0</v>
      </c>
      <c r="F145" s="36" t="s">
        <v>166</v>
      </c>
      <c r="G145" s="36" t="s">
        <v>141</v>
      </c>
      <c r="H145" s="40" t="s">
        <v>141</v>
      </c>
      <c r="I145" s="41">
        <v>43192.0</v>
      </c>
      <c r="J145" s="41">
        <v>43203.0</v>
      </c>
      <c r="K145" s="42"/>
      <c r="L145" s="42"/>
      <c r="M145" s="42"/>
      <c r="N145" s="42"/>
      <c r="O145" s="42"/>
      <c r="P145" s="42"/>
      <c r="Q145" s="42"/>
      <c r="R145" s="42"/>
      <c r="S145" s="42"/>
      <c r="T145" s="42"/>
      <c r="U145" s="42"/>
      <c r="V145" s="42"/>
      <c r="W145" s="42"/>
      <c r="X145" s="42"/>
      <c r="Y145" s="42"/>
      <c r="Z145" s="42"/>
    </row>
    <row r="146" hidden="1">
      <c r="A146" s="34" t="str">
        <f>hyperlink("https://issues.sierrawireless.com/browse/OEMPRI-6686", "OEMPRI-6686")</f>
        <v>OEMPRI-6686</v>
      </c>
      <c r="B146" s="36" t="s">
        <v>1111</v>
      </c>
      <c r="C146" s="36" t="s">
        <v>139</v>
      </c>
      <c r="D146" s="38">
        <v>43193.0</v>
      </c>
      <c r="E146" s="39" t="s">
        <v>92</v>
      </c>
      <c r="F146" s="36" t="s">
        <v>176</v>
      </c>
      <c r="G146" s="36" t="s">
        <v>140</v>
      </c>
      <c r="H146" s="40" t="s">
        <v>140</v>
      </c>
      <c r="I146" s="41">
        <v>43213.0</v>
      </c>
      <c r="J146" s="41">
        <v>43213.0</v>
      </c>
      <c r="K146" s="42"/>
      <c r="L146" s="42"/>
      <c r="M146" s="42"/>
      <c r="N146" s="42"/>
      <c r="O146" s="42"/>
      <c r="P146" s="42"/>
      <c r="Q146" s="42"/>
      <c r="R146" s="42"/>
      <c r="S146" s="42"/>
      <c r="T146" s="42"/>
      <c r="U146" s="42"/>
      <c r="V146" s="42"/>
      <c r="W146" s="42"/>
      <c r="X146" s="42"/>
      <c r="Y146" s="42"/>
      <c r="Z146" s="42"/>
    </row>
    <row r="147" hidden="1">
      <c r="A147" s="34" t="str">
        <f>hyperlink("https://issues.sierrawireless.com/browse/OEMPRI-6673", "OEMPRI-6673")</f>
        <v>OEMPRI-6673</v>
      </c>
      <c r="B147" s="36" t="s">
        <v>1119</v>
      </c>
      <c r="C147" s="36" t="s">
        <v>139</v>
      </c>
      <c r="D147" s="38">
        <v>43192.0</v>
      </c>
      <c r="E147" s="39">
        <v>43173.0</v>
      </c>
      <c r="F147" s="36" t="s">
        <v>160</v>
      </c>
      <c r="G147" s="36" t="s">
        <v>140</v>
      </c>
      <c r="H147" s="40" t="s">
        <v>155</v>
      </c>
      <c r="I147" s="41">
        <v>43192.0</v>
      </c>
      <c r="J147" s="41">
        <v>43192.0</v>
      </c>
      <c r="K147" s="42"/>
      <c r="L147" s="42"/>
      <c r="M147" s="42"/>
      <c r="N147" s="42"/>
      <c r="O147" s="42"/>
      <c r="P147" s="42"/>
      <c r="Q147" s="42"/>
      <c r="R147" s="42"/>
      <c r="S147" s="42"/>
      <c r="T147" s="42"/>
      <c r="U147" s="42"/>
      <c r="V147" s="42"/>
      <c r="W147" s="42"/>
      <c r="X147" s="42"/>
      <c r="Y147" s="42"/>
      <c r="Z147" s="42"/>
    </row>
    <row r="148" hidden="1">
      <c r="A148" s="34" t="str">
        <f>hyperlink("https://issues.sierrawireless.com/browse/OEMPRI-6670", "OEMPRI-6670")</f>
        <v>OEMPRI-6670</v>
      </c>
      <c r="B148" s="36" t="s">
        <v>1127</v>
      </c>
      <c r="C148" s="36" t="s">
        <v>175</v>
      </c>
      <c r="D148" s="38">
        <v>43189.0</v>
      </c>
      <c r="E148" s="39" t="s">
        <v>92</v>
      </c>
      <c r="F148" s="36" t="s">
        <v>119</v>
      </c>
      <c r="G148" s="36" t="s">
        <v>1128</v>
      </c>
      <c r="H148" s="40" t="s">
        <v>1128</v>
      </c>
      <c r="I148" s="41">
        <v>43213.0</v>
      </c>
      <c r="J148" s="41">
        <v>43214.0</v>
      </c>
      <c r="K148" s="42"/>
      <c r="L148" s="42"/>
      <c r="M148" s="42"/>
      <c r="N148" s="42"/>
      <c r="O148" s="42"/>
      <c r="P148" s="42"/>
      <c r="Q148" s="42"/>
      <c r="R148" s="42"/>
      <c r="S148" s="42"/>
      <c r="T148" s="42"/>
      <c r="U148" s="42"/>
      <c r="V148" s="42"/>
      <c r="W148" s="42"/>
      <c r="X148" s="42"/>
      <c r="Y148" s="42"/>
      <c r="Z148" s="42"/>
    </row>
    <row r="149" hidden="1">
      <c r="A149" s="34" t="str">
        <f>hyperlink("https://issues.sierrawireless.com/browse/OEMPRI-6671", "OEMPRI-6671")</f>
        <v>OEMPRI-6671</v>
      </c>
      <c r="B149" s="36" t="s">
        <v>1134</v>
      </c>
      <c r="C149" s="36" t="s">
        <v>469</v>
      </c>
      <c r="D149" s="38">
        <v>43189.0</v>
      </c>
      <c r="E149" s="39" t="s">
        <v>92</v>
      </c>
      <c r="F149" s="36" t="s">
        <v>119</v>
      </c>
      <c r="G149" s="36" t="s">
        <v>1128</v>
      </c>
      <c r="H149" s="40" t="s">
        <v>1128</v>
      </c>
      <c r="I149" s="41">
        <v>43213.0</v>
      </c>
      <c r="J149" s="41">
        <v>43213.0</v>
      </c>
      <c r="K149" s="42"/>
      <c r="L149" s="42"/>
      <c r="M149" s="42"/>
      <c r="N149" s="42"/>
      <c r="O149" s="42"/>
      <c r="P149" s="42"/>
      <c r="Q149" s="42"/>
      <c r="R149" s="42"/>
      <c r="S149" s="42"/>
      <c r="T149" s="42"/>
      <c r="U149" s="42"/>
      <c r="V149" s="42"/>
      <c r="W149" s="42"/>
      <c r="X149" s="42"/>
      <c r="Y149" s="42"/>
      <c r="Z149" s="42"/>
    </row>
    <row r="150" hidden="1">
      <c r="A150" s="34" t="str">
        <f>hyperlink("https://issues.sierrawireless.com/browse/OEMPRI-6643", "OEMPRI-6643")</f>
        <v>OEMPRI-6643</v>
      </c>
      <c r="B150" s="36" t="s">
        <v>1141</v>
      </c>
      <c r="C150" s="36" t="s">
        <v>139</v>
      </c>
      <c r="D150" s="38">
        <v>43187.0</v>
      </c>
      <c r="E150" s="39">
        <v>43193.0</v>
      </c>
      <c r="F150" s="36" t="s">
        <v>166</v>
      </c>
      <c r="G150" s="36" t="s">
        <v>140</v>
      </c>
      <c r="H150" s="40" t="s">
        <v>141</v>
      </c>
      <c r="I150" s="41">
        <v>43185.0</v>
      </c>
      <c r="J150" s="41">
        <v>43189.0</v>
      </c>
      <c r="K150" s="42"/>
      <c r="L150" s="42"/>
      <c r="M150" s="42"/>
      <c r="N150" s="42"/>
      <c r="O150" s="42"/>
      <c r="P150" s="42"/>
      <c r="Q150" s="42"/>
      <c r="R150" s="42"/>
      <c r="S150" s="42"/>
      <c r="T150" s="42"/>
      <c r="U150" s="42"/>
      <c r="V150" s="42"/>
      <c r="W150" s="42"/>
      <c r="X150" s="42"/>
      <c r="Y150" s="42"/>
      <c r="Z150" s="42"/>
    </row>
    <row r="151" hidden="1">
      <c r="A151" s="34" t="str">
        <f>hyperlink("https://issues.sierrawireless.com/browse/OEMPRI-6646", "OEMPRI-6646")</f>
        <v>OEMPRI-6646</v>
      </c>
      <c r="B151" s="36" t="s">
        <v>1146</v>
      </c>
      <c r="C151" s="36" t="s">
        <v>139</v>
      </c>
      <c r="D151" s="38">
        <v>43187.0</v>
      </c>
      <c r="E151" s="39">
        <v>43188.0</v>
      </c>
      <c r="F151" s="36" t="s">
        <v>160</v>
      </c>
      <c r="G151" s="36" t="s">
        <v>141</v>
      </c>
      <c r="H151" s="40" t="s">
        <v>141</v>
      </c>
      <c r="I151" s="41">
        <v>43185.0</v>
      </c>
      <c r="J151" s="41">
        <v>43189.0</v>
      </c>
      <c r="K151" s="42"/>
      <c r="L151" s="42"/>
      <c r="M151" s="42"/>
      <c r="N151" s="42"/>
      <c r="O151" s="42"/>
      <c r="P151" s="42"/>
      <c r="Q151" s="42"/>
      <c r="R151" s="42"/>
      <c r="S151" s="42"/>
      <c r="T151" s="42"/>
      <c r="U151" s="42"/>
      <c r="V151" s="42"/>
      <c r="W151" s="42"/>
      <c r="X151" s="42"/>
      <c r="Y151" s="42"/>
      <c r="Z151" s="42"/>
    </row>
    <row r="152" hidden="1">
      <c r="A152" s="34" t="str">
        <f>hyperlink("https://issues.sierrawireless.com/browse/OEMPRI-6651", "OEMPRI-6651")</f>
        <v>OEMPRI-6651</v>
      </c>
      <c r="B152" s="36" t="s">
        <v>1153</v>
      </c>
      <c r="C152" s="36" t="s">
        <v>139</v>
      </c>
      <c r="D152" s="38">
        <v>43187.0</v>
      </c>
      <c r="E152" s="39" t="s">
        <v>92</v>
      </c>
      <c r="F152" s="36" t="s">
        <v>166</v>
      </c>
      <c r="G152" s="36" t="s">
        <v>310</v>
      </c>
      <c r="H152" s="40" t="s">
        <v>310</v>
      </c>
      <c r="I152" s="41">
        <v>43185.0</v>
      </c>
      <c r="J152" s="41">
        <v>43189.0</v>
      </c>
      <c r="K152" s="42"/>
      <c r="L152" s="42"/>
      <c r="M152" s="42"/>
      <c r="N152" s="42"/>
      <c r="O152" s="42"/>
      <c r="P152" s="42"/>
      <c r="Q152" s="42"/>
      <c r="R152" s="42"/>
      <c r="S152" s="42"/>
      <c r="T152" s="42"/>
      <c r="U152" s="42"/>
      <c r="V152" s="42"/>
      <c r="W152" s="42"/>
      <c r="X152" s="42"/>
      <c r="Y152" s="42"/>
      <c r="Z152" s="42"/>
    </row>
    <row r="153" hidden="1">
      <c r="A153" s="34" t="str">
        <f>hyperlink("https://issues.sierrawireless.com/browse/OEMPRI-6626", "OEMPRI-6626")</f>
        <v>OEMPRI-6626</v>
      </c>
      <c r="B153" s="36" t="s">
        <v>1156</v>
      </c>
      <c r="C153" s="36" t="s">
        <v>139</v>
      </c>
      <c r="D153" s="38">
        <v>43185.0</v>
      </c>
      <c r="E153" s="39" t="s">
        <v>92</v>
      </c>
      <c r="F153" s="36" t="s">
        <v>176</v>
      </c>
      <c r="G153" s="36" t="s">
        <v>320</v>
      </c>
      <c r="H153" s="40" t="s">
        <v>170</v>
      </c>
      <c r="I153" s="41">
        <v>43192.0</v>
      </c>
      <c r="J153" s="41">
        <v>43193.0</v>
      </c>
      <c r="K153" s="42"/>
      <c r="L153" s="42"/>
      <c r="M153" s="42"/>
      <c r="N153" s="42"/>
      <c r="O153" s="42"/>
      <c r="P153" s="42"/>
      <c r="Q153" s="42"/>
      <c r="R153" s="42"/>
      <c r="S153" s="42"/>
      <c r="T153" s="42"/>
      <c r="U153" s="42"/>
      <c r="V153" s="42"/>
      <c r="W153" s="42"/>
      <c r="X153" s="42"/>
      <c r="Y153" s="42"/>
      <c r="Z153" s="42"/>
    </row>
    <row r="154" hidden="1">
      <c r="A154" s="34" t="str">
        <f>hyperlink("https://issues.sierrawireless.com/browse/OEMPRI-6629", "OEMPRI-6629")</f>
        <v>OEMPRI-6629</v>
      </c>
      <c r="B154" s="36" t="s">
        <v>1163</v>
      </c>
      <c r="C154" s="36" t="s">
        <v>139</v>
      </c>
      <c r="D154" s="38">
        <v>43185.0</v>
      </c>
      <c r="E154" s="39" t="s">
        <v>92</v>
      </c>
      <c r="F154" s="36" t="s">
        <v>119</v>
      </c>
      <c r="G154" s="36" t="s">
        <v>120</v>
      </c>
      <c r="H154" s="40" t="s">
        <v>122</v>
      </c>
      <c r="I154" s="41">
        <v>43206.0</v>
      </c>
      <c r="J154" s="41">
        <v>43206.0</v>
      </c>
      <c r="K154" s="42"/>
      <c r="L154" s="42"/>
      <c r="M154" s="42"/>
      <c r="N154" s="42"/>
      <c r="O154" s="42"/>
      <c r="P154" s="42"/>
      <c r="Q154" s="42"/>
      <c r="R154" s="42"/>
      <c r="S154" s="42"/>
      <c r="T154" s="42"/>
      <c r="U154" s="42"/>
      <c r="V154" s="42"/>
      <c r="W154" s="42"/>
      <c r="X154" s="42"/>
      <c r="Y154" s="42"/>
      <c r="Z154" s="42"/>
    </row>
    <row r="155" hidden="1">
      <c r="A155" s="34" t="str">
        <f>hyperlink("https://issues.sierrawireless.com/browse/OEMPRI-6593", "OEMPRI-6593")</f>
        <v>OEMPRI-6593</v>
      </c>
      <c r="B155" s="36" t="s">
        <v>1170</v>
      </c>
      <c r="C155" s="36" t="s">
        <v>139</v>
      </c>
      <c r="D155" s="38">
        <v>43182.0</v>
      </c>
      <c r="E155" s="39" t="s">
        <v>92</v>
      </c>
      <c r="F155" s="36" t="s">
        <v>176</v>
      </c>
      <c r="G155" s="36" t="s">
        <v>148</v>
      </c>
      <c r="H155" s="40" t="s">
        <v>337</v>
      </c>
      <c r="I155" s="41">
        <v>43192.0</v>
      </c>
      <c r="J155" s="41">
        <v>43192.0</v>
      </c>
      <c r="K155" s="42"/>
      <c r="L155" s="42"/>
      <c r="M155" s="42"/>
      <c r="N155" s="42"/>
      <c r="O155" s="42"/>
      <c r="P155" s="42"/>
      <c r="Q155" s="42"/>
      <c r="R155" s="42"/>
      <c r="S155" s="42"/>
      <c r="T155" s="42"/>
      <c r="U155" s="42"/>
      <c r="V155" s="42"/>
      <c r="W155" s="42"/>
      <c r="X155" s="42"/>
      <c r="Y155" s="42"/>
      <c r="Z155" s="42"/>
    </row>
    <row r="156" hidden="1">
      <c r="A156" s="34" t="str">
        <f>hyperlink("https://issues.sierrawireless.com/browse/OEMPRI-6597", "OEMPRI-6597")</f>
        <v>OEMPRI-6597</v>
      </c>
      <c r="B156" s="36" t="s">
        <v>1175</v>
      </c>
      <c r="C156" s="36" t="s">
        <v>139</v>
      </c>
      <c r="D156" s="38">
        <v>43182.0</v>
      </c>
      <c r="E156" s="39">
        <v>43185.0</v>
      </c>
      <c r="F156" s="36" t="s">
        <v>160</v>
      </c>
      <c r="G156" s="36" t="s">
        <v>141</v>
      </c>
      <c r="H156" s="40" t="s">
        <v>141</v>
      </c>
      <c r="I156" s="41">
        <v>43185.0</v>
      </c>
      <c r="J156" s="39">
        <v>43185.0</v>
      </c>
      <c r="K156" s="42"/>
      <c r="L156" s="42"/>
      <c r="M156" s="42"/>
      <c r="N156" s="42"/>
      <c r="O156" s="42"/>
      <c r="P156" s="42"/>
      <c r="Q156" s="42"/>
      <c r="R156" s="42"/>
      <c r="S156" s="42"/>
      <c r="T156" s="42"/>
      <c r="U156" s="42"/>
      <c r="V156" s="42"/>
      <c r="W156" s="42"/>
      <c r="X156" s="42"/>
      <c r="Y156" s="42"/>
      <c r="Z156" s="42"/>
    </row>
    <row r="157" hidden="1">
      <c r="A157" s="17" t="str">
        <f>hyperlink("https://issues.sierrawireless.com/browse/OEMPRI-6594", "OEMPRI-6594")</f>
        <v>OEMPRI-6594</v>
      </c>
      <c r="B157" s="19" t="s">
        <v>1180</v>
      </c>
      <c r="C157" s="19" t="s">
        <v>139</v>
      </c>
      <c r="D157" s="20">
        <v>43182.0</v>
      </c>
      <c r="E157" s="27" t="s">
        <v>92</v>
      </c>
      <c r="F157" s="19" t="s">
        <v>398</v>
      </c>
      <c r="G157" s="19" t="s">
        <v>140</v>
      </c>
      <c r="H157" s="65" t="s">
        <v>140</v>
      </c>
      <c r="I157" s="32">
        <v>43185.0</v>
      </c>
      <c r="J157" s="32">
        <v>43185.0</v>
      </c>
      <c r="K157" s="9"/>
      <c r="L157" s="9"/>
      <c r="M157" s="9"/>
      <c r="N157" s="9"/>
      <c r="O157" s="9"/>
      <c r="P157" s="9"/>
      <c r="Q157" s="9"/>
      <c r="R157" s="9"/>
      <c r="S157" s="9"/>
      <c r="T157" s="9"/>
      <c r="U157" s="9"/>
      <c r="V157" s="9"/>
      <c r="W157" s="9"/>
      <c r="X157" s="9"/>
      <c r="Y157" s="9"/>
      <c r="Z157" s="9"/>
    </row>
    <row r="158" hidden="1">
      <c r="A158" s="34" t="str">
        <f>hyperlink("https://issues.sierrawireless.com/browse/OEMPRI-6598", "OEMPRI-6598")</f>
        <v>OEMPRI-6598</v>
      </c>
      <c r="B158" s="36" t="s">
        <v>1186</v>
      </c>
      <c r="C158" s="36" t="s">
        <v>139</v>
      </c>
      <c r="D158" s="38">
        <v>43182.0</v>
      </c>
      <c r="E158" s="39">
        <v>43186.0</v>
      </c>
      <c r="F158" s="36" t="s">
        <v>160</v>
      </c>
      <c r="G158" s="36" t="s">
        <v>141</v>
      </c>
      <c r="H158" s="40" t="s">
        <v>141</v>
      </c>
      <c r="I158" s="41">
        <v>43192.0</v>
      </c>
      <c r="J158" s="39">
        <v>43192.0</v>
      </c>
      <c r="K158" s="42"/>
      <c r="L158" s="42"/>
      <c r="M158" s="42"/>
      <c r="N158" s="42"/>
      <c r="O158" s="42"/>
      <c r="P158" s="42"/>
      <c r="Q158" s="42"/>
      <c r="R158" s="42"/>
      <c r="S158" s="42"/>
      <c r="T158" s="42"/>
      <c r="U158" s="42"/>
      <c r="V158" s="42"/>
      <c r="W158" s="42"/>
      <c r="X158" s="42"/>
      <c r="Y158" s="42"/>
      <c r="Z158" s="42"/>
    </row>
    <row r="159" hidden="1">
      <c r="A159" s="34" t="str">
        <f>hyperlink("https://issues.sierrawireless.com/browse/OEMPRI-6610", "OEMPRI-6610")</f>
        <v>OEMPRI-6610</v>
      </c>
      <c r="B159" s="36" t="s">
        <v>1195</v>
      </c>
      <c r="C159" s="36" t="s">
        <v>139</v>
      </c>
      <c r="D159" s="38">
        <v>43182.0</v>
      </c>
      <c r="E159" s="39">
        <v>43179.0</v>
      </c>
      <c r="F159" s="36" t="s">
        <v>723</v>
      </c>
      <c r="G159" s="36" t="s">
        <v>1196</v>
      </c>
      <c r="H159" s="40" t="s">
        <v>122</v>
      </c>
      <c r="I159" s="41">
        <v>43185.0</v>
      </c>
      <c r="J159" s="41">
        <v>43186.0</v>
      </c>
      <c r="K159" s="42"/>
      <c r="L159" s="42"/>
      <c r="M159" s="42"/>
      <c r="N159" s="42"/>
      <c r="O159" s="42"/>
      <c r="P159" s="42"/>
      <c r="Q159" s="42"/>
      <c r="R159" s="42"/>
      <c r="S159" s="42"/>
      <c r="T159" s="42"/>
      <c r="U159" s="42"/>
      <c r="V159" s="42"/>
      <c r="W159" s="42"/>
      <c r="X159" s="42"/>
      <c r="Y159" s="42"/>
      <c r="Z159" s="42"/>
    </row>
    <row r="160" hidden="1">
      <c r="A160" s="34" t="str">
        <f>hyperlink("https://issues.sierrawireless.com/browse/OEMPRI-6606", "OEMPRI-6606")</f>
        <v>OEMPRI-6606</v>
      </c>
      <c r="B160" s="36" t="s">
        <v>1195</v>
      </c>
      <c r="C160" s="36" t="s">
        <v>139</v>
      </c>
      <c r="D160" s="38">
        <v>43182.0</v>
      </c>
      <c r="E160" s="39">
        <v>43179.0</v>
      </c>
      <c r="F160" s="36" t="s">
        <v>723</v>
      </c>
      <c r="G160" s="36" t="s">
        <v>120</v>
      </c>
      <c r="H160" s="40" t="s">
        <v>122</v>
      </c>
      <c r="I160" s="41">
        <v>43185.0</v>
      </c>
      <c r="J160" s="41">
        <v>43187.0</v>
      </c>
      <c r="K160" s="42"/>
      <c r="L160" s="42"/>
      <c r="M160" s="42"/>
      <c r="N160" s="42"/>
      <c r="O160" s="42"/>
      <c r="P160" s="42"/>
      <c r="Q160" s="42"/>
      <c r="R160" s="42"/>
      <c r="S160" s="42"/>
      <c r="T160" s="42"/>
      <c r="U160" s="42"/>
      <c r="V160" s="42"/>
      <c r="W160" s="42"/>
      <c r="X160" s="42"/>
      <c r="Y160" s="42"/>
      <c r="Z160" s="42"/>
    </row>
    <row r="161" hidden="1">
      <c r="A161" s="34" t="str">
        <f>hyperlink("https://issues.sierrawireless.com/browse/OEMPRI-6604", "OEMPRI-6604")</f>
        <v>OEMPRI-6604</v>
      </c>
      <c r="B161" s="36" t="s">
        <v>1206</v>
      </c>
      <c r="C161" s="36" t="s">
        <v>175</v>
      </c>
      <c r="D161" s="38">
        <v>43182.0</v>
      </c>
      <c r="E161" s="39">
        <v>43179.0</v>
      </c>
      <c r="F161" s="36" t="s">
        <v>723</v>
      </c>
      <c r="G161" s="36" t="s">
        <v>122</v>
      </c>
      <c r="H161" s="40" t="s">
        <v>122</v>
      </c>
      <c r="I161" s="41">
        <v>43185.0</v>
      </c>
      <c r="J161" s="41">
        <v>43188.0</v>
      </c>
      <c r="K161" s="42"/>
      <c r="L161" s="42"/>
      <c r="M161" s="42"/>
      <c r="N161" s="42"/>
      <c r="O161" s="42"/>
      <c r="P161" s="42"/>
      <c r="Q161" s="42"/>
      <c r="R161" s="42"/>
      <c r="S161" s="42"/>
      <c r="T161" s="42"/>
      <c r="U161" s="42"/>
      <c r="V161" s="42"/>
      <c r="W161" s="42"/>
      <c r="X161" s="42"/>
      <c r="Y161" s="42"/>
      <c r="Z161" s="42"/>
    </row>
    <row r="162" hidden="1">
      <c r="A162" s="34" t="str">
        <f>hyperlink("https://issues.sierrawireless.com/browse/OEMPRI-6605", "OEMPRI-6605")</f>
        <v>OEMPRI-6605</v>
      </c>
      <c r="B162" s="36" t="s">
        <v>1212</v>
      </c>
      <c r="C162" s="36" t="s">
        <v>139</v>
      </c>
      <c r="D162" s="38">
        <v>43182.0</v>
      </c>
      <c r="E162" s="39">
        <v>43187.0</v>
      </c>
      <c r="F162" s="36" t="s">
        <v>160</v>
      </c>
      <c r="G162" s="36" t="s">
        <v>148</v>
      </c>
      <c r="H162" s="40" t="s">
        <v>141</v>
      </c>
      <c r="I162" s="41">
        <v>43206.0</v>
      </c>
      <c r="J162" s="39">
        <v>43206.0</v>
      </c>
      <c r="K162" s="42"/>
      <c r="L162" s="42"/>
      <c r="M162" s="42"/>
      <c r="N162" s="42"/>
      <c r="O162" s="42"/>
      <c r="P162" s="42"/>
      <c r="Q162" s="42"/>
      <c r="R162" s="42"/>
      <c r="S162" s="42"/>
      <c r="T162" s="42"/>
      <c r="U162" s="42"/>
      <c r="V162" s="42"/>
      <c r="W162" s="42"/>
      <c r="X162" s="42"/>
      <c r="Y162" s="42"/>
      <c r="Z162" s="42"/>
    </row>
    <row r="163" hidden="1">
      <c r="A163" s="34" t="str">
        <f>hyperlink("https://issues.sierrawireless.com/browse/OEMPRI-6611", "OEMPRI-6611")</f>
        <v>OEMPRI-6611</v>
      </c>
      <c r="B163" s="36" t="s">
        <v>1216</v>
      </c>
      <c r="C163" s="36" t="s">
        <v>139</v>
      </c>
      <c r="D163" s="38">
        <v>43182.0</v>
      </c>
      <c r="E163" s="39">
        <v>43188.0</v>
      </c>
      <c r="F163" s="36" t="s">
        <v>160</v>
      </c>
      <c r="G163" s="36" t="s">
        <v>141</v>
      </c>
      <c r="H163" s="40" t="s">
        <v>141</v>
      </c>
      <c r="I163" s="41">
        <v>43206.0</v>
      </c>
      <c r="J163" s="39">
        <v>43206.0</v>
      </c>
      <c r="K163" s="42"/>
      <c r="L163" s="42"/>
      <c r="M163" s="42"/>
      <c r="N163" s="42"/>
      <c r="O163" s="42"/>
      <c r="P163" s="42"/>
      <c r="Q163" s="42"/>
      <c r="R163" s="42"/>
      <c r="S163" s="42"/>
      <c r="T163" s="42"/>
      <c r="U163" s="42"/>
      <c r="V163" s="42"/>
      <c r="W163" s="42"/>
      <c r="X163" s="42"/>
      <c r="Y163" s="42"/>
      <c r="Z163" s="42"/>
    </row>
    <row r="164" hidden="1">
      <c r="A164" s="34" t="str">
        <f>hyperlink("https://issues.sierrawireless.com/browse/OEMPRI-6612", "OEMPRI-6612")</f>
        <v>OEMPRI-6612</v>
      </c>
      <c r="B164" s="36" t="s">
        <v>1221</v>
      </c>
      <c r="C164" s="36" t="s">
        <v>139</v>
      </c>
      <c r="D164" s="38">
        <v>43182.0</v>
      </c>
      <c r="E164" s="39" t="s">
        <v>92</v>
      </c>
      <c r="F164" s="36" t="s">
        <v>176</v>
      </c>
      <c r="G164" s="36" t="s">
        <v>170</v>
      </c>
      <c r="H164" s="40" t="s">
        <v>337</v>
      </c>
      <c r="I164" s="41">
        <v>43185.0</v>
      </c>
      <c r="J164" s="41">
        <v>43187.0</v>
      </c>
      <c r="K164" s="42"/>
      <c r="L164" s="42"/>
      <c r="M164" s="42"/>
      <c r="N164" s="42"/>
      <c r="O164" s="42"/>
      <c r="P164" s="42"/>
      <c r="Q164" s="42"/>
      <c r="R164" s="42"/>
      <c r="S164" s="42"/>
      <c r="T164" s="42"/>
      <c r="U164" s="42"/>
      <c r="V164" s="42"/>
      <c r="W164" s="42"/>
      <c r="X164" s="42"/>
      <c r="Y164" s="42"/>
      <c r="Z164" s="42"/>
    </row>
    <row r="165" hidden="1">
      <c r="A165" s="34" t="str">
        <f>hyperlink("https://issues.sierrawireless.com/browse/OEMPRI-6562", "OEMPRI-6562")</f>
        <v>OEMPRI-6562</v>
      </c>
      <c r="B165" s="36" t="s">
        <v>1226</v>
      </c>
      <c r="C165" s="36" t="s">
        <v>175</v>
      </c>
      <c r="D165" s="38">
        <v>43181.0</v>
      </c>
      <c r="E165" s="39">
        <v>43192.0</v>
      </c>
      <c r="F165" s="36" t="s">
        <v>160</v>
      </c>
      <c r="G165" s="36" t="s">
        <v>148</v>
      </c>
      <c r="H165" s="40" t="s">
        <v>244</v>
      </c>
      <c r="I165" s="41">
        <v>43185.0</v>
      </c>
      <c r="J165" s="41">
        <v>43187.0</v>
      </c>
      <c r="K165" s="42"/>
      <c r="L165" s="42"/>
      <c r="M165" s="42"/>
      <c r="N165" s="42"/>
      <c r="O165" s="42"/>
      <c r="P165" s="42"/>
      <c r="Q165" s="42"/>
      <c r="R165" s="42"/>
      <c r="S165" s="42"/>
      <c r="T165" s="42"/>
      <c r="U165" s="42"/>
      <c r="V165" s="42"/>
      <c r="W165" s="42"/>
      <c r="X165" s="42"/>
      <c r="Y165" s="42"/>
      <c r="Z165" s="42"/>
    </row>
    <row r="166" hidden="1">
      <c r="A166" s="34" t="str">
        <f>hyperlink("https://issues.sierrawireless.com/browse/OEMPRI-6563", "OEMPRI-6563")</f>
        <v>OEMPRI-6563</v>
      </c>
      <c r="B166" s="36" t="s">
        <v>1233</v>
      </c>
      <c r="C166" s="36" t="s">
        <v>139</v>
      </c>
      <c r="D166" s="38">
        <v>43181.0</v>
      </c>
      <c r="E166" s="39" t="s">
        <v>92</v>
      </c>
      <c r="F166" s="36" t="s">
        <v>160</v>
      </c>
      <c r="G166" s="36" t="s">
        <v>140</v>
      </c>
      <c r="H166" s="40" t="s">
        <v>1235</v>
      </c>
      <c r="I166" s="41">
        <v>43185.0</v>
      </c>
      <c r="J166" s="41">
        <v>43182.0</v>
      </c>
      <c r="K166" s="42"/>
      <c r="L166" s="42"/>
      <c r="M166" s="42"/>
      <c r="N166" s="42"/>
      <c r="O166" s="42"/>
      <c r="P166" s="42"/>
      <c r="Q166" s="42"/>
      <c r="R166" s="42"/>
      <c r="S166" s="42"/>
      <c r="T166" s="42"/>
      <c r="U166" s="42"/>
      <c r="V166" s="42"/>
      <c r="W166" s="42"/>
      <c r="X166" s="42"/>
      <c r="Y166" s="42"/>
      <c r="Z166" s="42"/>
    </row>
    <row r="167" hidden="1">
      <c r="A167" s="34" t="str">
        <f>hyperlink("https://issues.sierrawireless.com/browse/OEMPRI-6551", "OEMPRI-6551")</f>
        <v>OEMPRI-6551</v>
      </c>
      <c r="B167" s="36" t="s">
        <v>1242</v>
      </c>
      <c r="C167" s="36" t="s">
        <v>139</v>
      </c>
      <c r="D167" s="38">
        <v>43180.0</v>
      </c>
      <c r="E167" s="39">
        <v>43180.0</v>
      </c>
      <c r="F167" s="36" t="s">
        <v>160</v>
      </c>
      <c r="G167" s="36" t="s">
        <v>148</v>
      </c>
      <c r="H167" s="40" t="s">
        <v>141</v>
      </c>
      <c r="I167" s="41">
        <v>43178.0</v>
      </c>
      <c r="J167" s="41">
        <v>43182.0</v>
      </c>
      <c r="K167" s="42"/>
      <c r="L167" s="42"/>
      <c r="M167" s="42"/>
      <c r="N167" s="42"/>
      <c r="O167" s="42"/>
      <c r="P167" s="42"/>
      <c r="Q167" s="42"/>
      <c r="R167" s="42"/>
      <c r="S167" s="42"/>
      <c r="T167" s="42"/>
      <c r="U167" s="42"/>
      <c r="V167" s="42"/>
      <c r="W167" s="42"/>
      <c r="X167" s="42"/>
      <c r="Y167" s="42"/>
      <c r="Z167" s="42"/>
    </row>
    <row r="168" hidden="1">
      <c r="A168" s="34" t="str">
        <f>hyperlink("https://issues.sierrawireless.com/browse/OEMPRI-6552", "OEMPRI-6552")</f>
        <v>OEMPRI-6552</v>
      </c>
      <c r="B168" s="36" t="s">
        <v>1249</v>
      </c>
      <c r="C168" s="36" t="s">
        <v>139</v>
      </c>
      <c r="D168" s="38">
        <v>43180.0</v>
      </c>
      <c r="E168" s="39" t="s">
        <v>92</v>
      </c>
      <c r="F168" s="36" t="s">
        <v>166</v>
      </c>
      <c r="G168" s="36" t="s">
        <v>310</v>
      </c>
      <c r="H168" s="40" t="s">
        <v>310</v>
      </c>
      <c r="I168" s="41">
        <v>43178.0</v>
      </c>
      <c r="J168" s="41">
        <v>43182.0</v>
      </c>
      <c r="K168" s="42"/>
      <c r="L168" s="42"/>
      <c r="M168" s="42"/>
      <c r="N168" s="42"/>
      <c r="O168" s="42"/>
      <c r="P168" s="42"/>
      <c r="Q168" s="42"/>
      <c r="R168" s="42"/>
      <c r="S168" s="42"/>
      <c r="T168" s="42"/>
      <c r="U168" s="42"/>
      <c r="V168" s="42"/>
      <c r="W168" s="42"/>
      <c r="X168" s="42"/>
      <c r="Y168" s="42"/>
      <c r="Z168" s="42"/>
    </row>
    <row r="169" hidden="1">
      <c r="A169" s="34" t="str">
        <f>hyperlink("https://issues.sierrawireless.com/browse/OEMPRI-6558", "OEMPRI-6558")</f>
        <v>OEMPRI-6558</v>
      </c>
      <c r="B169" s="36" t="s">
        <v>1254</v>
      </c>
      <c r="C169" s="36" t="s">
        <v>139</v>
      </c>
      <c r="D169" s="38">
        <v>43180.0</v>
      </c>
      <c r="E169" s="39" t="s">
        <v>92</v>
      </c>
      <c r="F169" s="36" t="s">
        <v>166</v>
      </c>
      <c r="G169" s="36" t="s">
        <v>310</v>
      </c>
      <c r="H169" s="40" t="s">
        <v>310</v>
      </c>
      <c r="I169" s="41">
        <v>43178.0</v>
      </c>
      <c r="J169" s="41">
        <v>43182.0</v>
      </c>
      <c r="K169" s="42"/>
      <c r="L169" s="42"/>
      <c r="M169" s="42"/>
      <c r="N169" s="42"/>
      <c r="O169" s="42"/>
      <c r="P169" s="42"/>
      <c r="Q169" s="42"/>
      <c r="R169" s="42"/>
      <c r="S169" s="42"/>
      <c r="T169" s="42"/>
      <c r="U169" s="42"/>
      <c r="V169" s="42"/>
      <c r="W169" s="42"/>
      <c r="X169" s="42"/>
      <c r="Y169" s="42"/>
      <c r="Z169" s="42"/>
    </row>
    <row r="170" hidden="1">
      <c r="A170" s="34" t="str">
        <f>hyperlink("https://issues.sierrawireless.com/browse/OEMPRI-6525", "OEMPRI-6525")</f>
        <v>OEMPRI-6525</v>
      </c>
      <c r="B170" s="36" t="s">
        <v>1260</v>
      </c>
      <c r="C170" s="36" t="s">
        <v>139</v>
      </c>
      <c r="D170" s="38">
        <v>43179.0</v>
      </c>
      <c r="E170" s="39" t="s">
        <v>92</v>
      </c>
      <c r="F170" s="36" t="s">
        <v>176</v>
      </c>
      <c r="G170" s="36" t="s">
        <v>140</v>
      </c>
      <c r="H170" s="40" t="s">
        <v>140</v>
      </c>
      <c r="I170" s="41">
        <v>43178.0</v>
      </c>
      <c r="J170" s="41">
        <v>43182.0</v>
      </c>
      <c r="K170" s="42"/>
      <c r="L170" s="42"/>
      <c r="M170" s="42"/>
      <c r="N170" s="42"/>
      <c r="O170" s="42"/>
      <c r="P170" s="42"/>
      <c r="Q170" s="42"/>
      <c r="R170" s="42"/>
      <c r="S170" s="42"/>
      <c r="T170" s="42"/>
      <c r="U170" s="42"/>
      <c r="V170" s="42"/>
      <c r="W170" s="42"/>
      <c r="X170" s="42"/>
      <c r="Y170" s="42"/>
      <c r="Z170" s="42"/>
    </row>
    <row r="171" hidden="1">
      <c r="A171" s="34" t="str">
        <f>hyperlink("https://issues.sierrawireless.com/browse/OEMPRI-6533", "OEMPRI-6533")</f>
        <v>OEMPRI-6533</v>
      </c>
      <c r="B171" s="36" t="s">
        <v>1265</v>
      </c>
      <c r="C171" s="36" t="s">
        <v>225</v>
      </c>
      <c r="D171" s="38">
        <v>43179.0</v>
      </c>
      <c r="E171" s="39">
        <v>43059.0</v>
      </c>
      <c r="F171" s="36" t="s">
        <v>160</v>
      </c>
      <c r="G171" s="36" t="s">
        <v>155</v>
      </c>
      <c r="H171" s="40" t="s">
        <v>155</v>
      </c>
      <c r="I171" s="41">
        <v>43178.0</v>
      </c>
      <c r="J171" s="41">
        <v>43182.0</v>
      </c>
      <c r="K171" s="42"/>
      <c r="L171" s="42"/>
      <c r="M171" s="42"/>
      <c r="N171" s="42"/>
      <c r="O171" s="42"/>
      <c r="P171" s="42"/>
      <c r="Q171" s="42"/>
      <c r="R171" s="42"/>
      <c r="S171" s="42"/>
      <c r="T171" s="42"/>
      <c r="U171" s="42"/>
      <c r="V171" s="42"/>
      <c r="W171" s="42"/>
      <c r="X171" s="42"/>
      <c r="Y171" s="42"/>
      <c r="Z171" s="42"/>
    </row>
    <row r="172" hidden="1">
      <c r="A172" s="34" t="str">
        <f>hyperlink("https://issues.sierrawireless.com/browse/OEMPRI-6504", "OEMPRI-6504")</f>
        <v>OEMPRI-6504</v>
      </c>
      <c r="B172" s="36" t="s">
        <v>1273</v>
      </c>
      <c r="C172" s="36" t="s">
        <v>139</v>
      </c>
      <c r="D172" s="38">
        <v>43178.0</v>
      </c>
      <c r="E172" s="39">
        <v>43173.0</v>
      </c>
      <c r="F172" s="36" t="s">
        <v>166</v>
      </c>
      <c r="G172" s="36" t="s">
        <v>155</v>
      </c>
      <c r="H172" s="40" t="s">
        <v>155</v>
      </c>
      <c r="I172" s="41">
        <v>43178.0</v>
      </c>
      <c r="J172" s="41">
        <v>43182.0</v>
      </c>
      <c r="K172" s="42"/>
      <c r="L172" s="42"/>
      <c r="M172" s="42"/>
      <c r="N172" s="42"/>
      <c r="O172" s="42"/>
      <c r="P172" s="42"/>
      <c r="Q172" s="42"/>
      <c r="R172" s="42"/>
      <c r="S172" s="42"/>
      <c r="T172" s="42"/>
      <c r="U172" s="42"/>
      <c r="V172" s="42"/>
      <c r="W172" s="42"/>
      <c r="X172" s="42"/>
      <c r="Y172" s="42"/>
      <c r="Z172" s="42"/>
    </row>
    <row r="173" hidden="1">
      <c r="A173" s="34" t="str">
        <f>hyperlink("https://issues.sierrawireless.com/browse/OEMPRI-6486", "OEMPRI-6486")</f>
        <v>OEMPRI-6486</v>
      </c>
      <c r="B173" s="36" t="s">
        <v>1281</v>
      </c>
      <c r="C173" s="36" t="s">
        <v>139</v>
      </c>
      <c r="D173" s="38">
        <v>43175.0</v>
      </c>
      <c r="E173" s="39">
        <v>43180.0</v>
      </c>
      <c r="F173" s="36" t="s">
        <v>166</v>
      </c>
      <c r="G173" s="36" t="s">
        <v>140</v>
      </c>
      <c r="H173" s="40" t="s">
        <v>141</v>
      </c>
      <c r="I173" s="41">
        <v>43178.0</v>
      </c>
      <c r="J173" s="41">
        <v>43179.0</v>
      </c>
      <c r="K173" s="42"/>
      <c r="L173" s="42"/>
      <c r="M173" s="42"/>
      <c r="N173" s="42"/>
      <c r="O173" s="42"/>
      <c r="P173" s="42"/>
      <c r="Q173" s="42"/>
      <c r="R173" s="42"/>
      <c r="S173" s="42"/>
      <c r="T173" s="42"/>
      <c r="U173" s="42"/>
      <c r="V173" s="42"/>
      <c r="W173" s="42"/>
      <c r="X173" s="42"/>
      <c r="Y173" s="42"/>
      <c r="Z173" s="42"/>
    </row>
    <row r="174" hidden="1">
      <c r="A174" s="34" t="str">
        <f>hyperlink("https://issues.sierrawireless.com/browse/OEMPRI-6487", "OEMPRI-6487")</f>
        <v>OEMPRI-6487</v>
      </c>
      <c r="B174" s="36" t="s">
        <v>1290</v>
      </c>
      <c r="C174" s="36" t="s">
        <v>139</v>
      </c>
      <c r="D174" s="38">
        <v>43175.0</v>
      </c>
      <c r="E174" s="39">
        <v>43182.0</v>
      </c>
      <c r="F174" s="36" t="s">
        <v>274</v>
      </c>
      <c r="G174" s="36" t="s">
        <v>148</v>
      </c>
      <c r="H174" s="40" t="s">
        <v>609</v>
      </c>
      <c r="I174" s="41">
        <v>43178.0</v>
      </c>
      <c r="J174" s="41">
        <v>43180.0</v>
      </c>
      <c r="K174" s="42"/>
      <c r="L174" s="42"/>
      <c r="M174" s="42"/>
      <c r="N174" s="42"/>
      <c r="O174" s="42"/>
      <c r="P174" s="42"/>
      <c r="Q174" s="42"/>
      <c r="R174" s="42"/>
      <c r="S174" s="42"/>
      <c r="T174" s="42"/>
      <c r="U174" s="42"/>
      <c r="V174" s="42"/>
      <c r="W174" s="42"/>
      <c r="X174" s="42"/>
      <c r="Y174" s="42"/>
      <c r="Z174" s="42"/>
    </row>
    <row r="175" hidden="1">
      <c r="A175" s="34" t="str">
        <f>hyperlink("https://issues.sierrawireless.com/browse/OEMPRI-6489", "OEMPRI-6489")</f>
        <v>OEMPRI-6489</v>
      </c>
      <c r="B175" s="36" t="s">
        <v>1296</v>
      </c>
      <c r="C175" s="36" t="s">
        <v>139</v>
      </c>
      <c r="D175" s="38">
        <v>43175.0</v>
      </c>
      <c r="E175" s="39">
        <v>43049.0</v>
      </c>
      <c r="F175" s="36" t="s">
        <v>723</v>
      </c>
      <c r="G175" s="36" t="s">
        <v>148</v>
      </c>
      <c r="H175" s="40" t="s">
        <v>122</v>
      </c>
      <c r="I175" s="41">
        <v>43178.0</v>
      </c>
      <c r="J175" s="41">
        <v>43182.0</v>
      </c>
      <c r="K175" s="42"/>
      <c r="L175" s="42"/>
      <c r="M175" s="42"/>
      <c r="N175" s="42"/>
      <c r="O175" s="42"/>
      <c r="P175" s="42"/>
      <c r="Q175" s="42"/>
      <c r="R175" s="42"/>
      <c r="S175" s="42"/>
      <c r="T175" s="42"/>
      <c r="U175" s="42"/>
      <c r="V175" s="42"/>
      <c r="W175" s="42"/>
      <c r="X175" s="42"/>
      <c r="Y175" s="42"/>
      <c r="Z175" s="42"/>
    </row>
    <row r="176" hidden="1">
      <c r="A176" s="34" t="str">
        <f>hyperlink("https://issues.sierrawireless.com/browse/OEMPRI-6494", "OEMPRI-6494")</f>
        <v>OEMPRI-6494</v>
      </c>
      <c r="B176" s="36" t="s">
        <v>1304</v>
      </c>
      <c r="C176" s="36" t="s">
        <v>139</v>
      </c>
      <c r="D176" s="38">
        <v>43175.0</v>
      </c>
      <c r="E176" s="39" t="s">
        <v>92</v>
      </c>
      <c r="F176" s="36" t="s">
        <v>176</v>
      </c>
      <c r="G176" s="36" t="s">
        <v>337</v>
      </c>
      <c r="H176" s="40" t="s">
        <v>337</v>
      </c>
      <c r="I176" s="41">
        <v>43178.0</v>
      </c>
      <c r="J176" s="41">
        <v>43181.0</v>
      </c>
      <c r="K176" s="42"/>
      <c r="L176" s="42"/>
      <c r="M176" s="42"/>
      <c r="N176" s="42"/>
      <c r="O176" s="42"/>
      <c r="P176" s="42"/>
      <c r="Q176" s="42"/>
      <c r="R176" s="42"/>
      <c r="S176" s="42"/>
      <c r="T176" s="42"/>
      <c r="U176" s="42"/>
      <c r="V176" s="42"/>
      <c r="W176" s="42"/>
      <c r="X176" s="42"/>
      <c r="Y176" s="42"/>
      <c r="Z176" s="42"/>
    </row>
    <row r="177" hidden="1">
      <c r="A177" s="34" t="str">
        <f>hyperlink("https://issues.sierrawireless.com/browse/OEMPRI-6496", "OEMPRI-6496")</f>
        <v>OEMPRI-6496</v>
      </c>
      <c r="B177" s="36" t="s">
        <v>1310</v>
      </c>
      <c r="C177" s="36" t="s">
        <v>139</v>
      </c>
      <c r="D177" s="38">
        <v>43175.0</v>
      </c>
      <c r="E177" s="39">
        <v>42965.0</v>
      </c>
      <c r="F177" s="36" t="s">
        <v>215</v>
      </c>
      <c r="G177" s="36" t="s">
        <v>1313</v>
      </c>
      <c r="H177" s="40" t="s">
        <v>1313</v>
      </c>
      <c r="I177" s="41">
        <v>43213.0</v>
      </c>
      <c r="J177" s="41">
        <v>43213.0</v>
      </c>
      <c r="K177" s="42"/>
      <c r="L177" s="42"/>
      <c r="M177" s="42"/>
      <c r="N177" s="42"/>
      <c r="O177" s="42"/>
      <c r="P177" s="42"/>
      <c r="Q177" s="42"/>
      <c r="R177" s="42"/>
      <c r="S177" s="42"/>
      <c r="T177" s="42"/>
      <c r="U177" s="42"/>
      <c r="V177" s="42"/>
      <c r="W177" s="42"/>
      <c r="X177" s="42"/>
      <c r="Y177" s="42"/>
      <c r="Z177" s="42"/>
    </row>
    <row r="178" hidden="1">
      <c r="A178" s="34" t="str">
        <f>hyperlink("https://issues.sierrawireless.com/browse/OEMPRI-6498", "OEMPRI-6498")</f>
        <v>OEMPRI-6498</v>
      </c>
      <c r="B178" s="36" t="s">
        <v>1319</v>
      </c>
      <c r="C178" s="36" t="s">
        <v>469</v>
      </c>
      <c r="D178" s="38">
        <v>43175.0</v>
      </c>
      <c r="E178" s="39">
        <v>42965.0</v>
      </c>
      <c r="F178" s="36" t="s">
        <v>215</v>
      </c>
      <c r="G178" s="36" t="s">
        <v>1313</v>
      </c>
      <c r="H178" s="40" t="s">
        <v>1313</v>
      </c>
      <c r="I178" s="41">
        <v>43213.0</v>
      </c>
      <c r="J178" s="41">
        <v>43216.0</v>
      </c>
      <c r="K178" s="42"/>
      <c r="L178" s="42"/>
      <c r="M178" s="42"/>
      <c r="N178" s="42"/>
      <c r="O178" s="42"/>
      <c r="P178" s="42"/>
      <c r="Q178" s="42"/>
      <c r="R178" s="42"/>
      <c r="S178" s="42"/>
      <c r="T178" s="42"/>
      <c r="U178" s="42"/>
      <c r="V178" s="42"/>
      <c r="W178" s="42"/>
      <c r="X178" s="42"/>
      <c r="Y178" s="42"/>
      <c r="Z178" s="42"/>
    </row>
    <row r="179" hidden="1">
      <c r="A179" s="34" t="str">
        <f>hyperlink("https://issues.sierrawireless.com/browse/OEMPRI-6534", "OEMPRI-6534")</f>
        <v>OEMPRI-6534</v>
      </c>
      <c r="B179" s="36" t="s">
        <v>1325</v>
      </c>
      <c r="C179" s="36" t="s">
        <v>139</v>
      </c>
      <c r="D179" s="38">
        <v>43175.0</v>
      </c>
      <c r="E179" s="39">
        <v>43182.0</v>
      </c>
      <c r="F179" s="36" t="s">
        <v>166</v>
      </c>
      <c r="G179" s="36" t="s">
        <v>140</v>
      </c>
      <c r="H179" s="40" t="s">
        <v>537</v>
      </c>
      <c r="I179" s="41">
        <v>43178.0</v>
      </c>
      <c r="J179" s="41">
        <v>43181.0</v>
      </c>
      <c r="K179" s="42"/>
      <c r="L179" s="42"/>
      <c r="M179" s="42"/>
      <c r="N179" s="42"/>
      <c r="O179" s="42"/>
      <c r="P179" s="42"/>
      <c r="Q179" s="42"/>
      <c r="R179" s="42"/>
      <c r="S179" s="42"/>
      <c r="T179" s="42"/>
      <c r="U179" s="42"/>
      <c r="V179" s="42"/>
      <c r="W179" s="42"/>
      <c r="X179" s="42"/>
      <c r="Y179" s="42"/>
      <c r="Z179" s="42"/>
    </row>
    <row r="180" hidden="1">
      <c r="A180" s="17" t="str">
        <f>hyperlink("https://issues.sierrawireless.com/browse/OEMPRI-6470", "OEMPRI-6470")</f>
        <v>OEMPRI-6470</v>
      </c>
      <c r="B180" s="19" t="s">
        <v>1331</v>
      </c>
      <c r="C180" s="19" t="s">
        <v>139</v>
      </c>
      <c r="D180" s="20">
        <v>43174.0</v>
      </c>
      <c r="E180" s="27">
        <v>43039.0</v>
      </c>
      <c r="F180" s="19" t="s">
        <v>166</v>
      </c>
      <c r="G180" s="19" t="s">
        <v>140</v>
      </c>
      <c r="H180" s="65" t="s">
        <v>140</v>
      </c>
      <c r="I180" s="32">
        <v>43185.0</v>
      </c>
      <c r="J180" s="32">
        <v>43185.0</v>
      </c>
      <c r="K180" s="9"/>
      <c r="L180" s="9"/>
      <c r="M180" s="9"/>
      <c r="N180" s="9"/>
      <c r="O180" s="9"/>
      <c r="P180" s="9"/>
      <c r="Q180" s="9"/>
      <c r="R180" s="9"/>
      <c r="S180" s="9"/>
      <c r="T180" s="9"/>
      <c r="U180" s="9"/>
      <c r="V180" s="9"/>
      <c r="W180" s="9"/>
      <c r="X180" s="9"/>
      <c r="Y180" s="9"/>
      <c r="Z180" s="9"/>
    </row>
    <row r="181" hidden="1">
      <c r="A181" s="34" t="str">
        <f>hyperlink("https://issues.sierrawireless.com/browse/OEMPRI-6457", "OEMPRI-6457")</f>
        <v>OEMPRI-6457</v>
      </c>
      <c r="B181" s="36" t="s">
        <v>1337</v>
      </c>
      <c r="C181" s="36" t="s">
        <v>139</v>
      </c>
      <c r="D181" s="38">
        <v>43173.0</v>
      </c>
      <c r="E181" s="39">
        <v>43179.0</v>
      </c>
      <c r="F181" s="36" t="s">
        <v>723</v>
      </c>
      <c r="G181" s="36" t="s">
        <v>122</v>
      </c>
      <c r="H181" s="40" t="s">
        <v>122</v>
      </c>
      <c r="I181" s="41">
        <v>43178.0</v>
      </c>
      <c r="J181" s="41">
        <v>43182.0</v>
      </c>
      <c r="K181" s="89"/>
      <c r="L181" s="42"/>
      <c r="M181" s="42"/>
      <c r="N181" s="42"/>
      <c r="O181" s="42"/>
      <c r="P181" s="42"/>
      <c r="Q181" s="42"/>
      <c r="R181" s="42"/>
      <c r="S181" s="42"/>
      <c r="T181" s="42"/>
      <c r="U181" s="42"/>
      <c r="V181" s="42"/>
      <c r="W181" s="42"/>
      <c r="X181" s="42"/>
      <c r="Y181" s="42"/>
      <c r="Z181" s="42"/>
    </row>
    <row r="182" hidden="1">
      <c r="A182" s="34" t="str">
        <f>hyperlink("https://issues.sierrawireless.com/browse/OEMPRI-6458", "OEMPRI-6458")</f>
        <v>OEMPRI-6458</v>
      </c>
      <c r="B182" s="36" t="s">
        <v>1355</v>
      </c>
      <c r="C182" s="36" t="s">
        <v>139</v>
      </c>
      <c r="D182" s="38">
        <v>43173.0</v>
      </c>
      <c r="E182" s="39">
        <v>43179.0</v>
      </c>
      <c r="F182" s="36" t="s">
        <v>723</v>
      </c>
      <c r="G182" s="36" t="s">
        <v>148</v>
      </c>
      <c r="H182" s="40" t="s">
        <v>122</v>
      </c>
      <c r="I182" s="41">
        <v>43178.0</v>
      </c>
      <c r="J182" s="41">
        <v>43181.0</v>
      </c>
      <c r="K182" s="42"/>
      <c r="L182" s="42"/>
      <c r="M182" s="42"/>
      <c r="N182" s="42"/>
      <c r="O182" s="42"/>
      <c r="P182" s="42"/>
      <c r="Q182" s="42"/>
      <c r="R182" s="42"/>
      <c r="S182" s="42"/>
      <c r="T182" s="42"/>
      <c r="U182" s="42"/>
      <c r="V182" s="42"/>
      <c r="W182" s="42"/>
      <c r="X182" s="42"/>
      <c r="Y182" s="42"/>
      <c r="Z182" s="42"/>
    </row>
    <row r="183" hidden="1">
      <c r="A183" s="34" t="str">
        <f>hyperlink("https://issues.sierrawireless.com/browse/OEMPRI-6440", "OEMPRI-6440")</f>
        <v>OEMPRI-6440</v>
      </c>
      <c r="B183" s="36" t="s">
        <v>1359</v>
      </c>
      <c r="C183" s="36" t="s">
        <v>139</v>
      </c>
      <c r="D183" s="38">
        <v>43172.0</v>
      </c>
      <c r="E183" s="39" t="s">
        <v>92</v>
      </c>
      <c r="F183" s="36" t="s">
        <v>176</v>
      </c>
      <c r="G183" s="36" t="s">
        <v>148</v>
      </c>
      <c r="H183" s="40" t="s">
        <v>337</v>
      </c>
      <c r="I183" s="41">
        <v>43171.0</v>
      </c>
      <c r="J183" s="41">
        <v>43172.0</v>
      </c>
      <c r="K183" s="42"/>
      <c r="L183" s="42"/>
      <c r="M183" s="42"/>
      <c r="N183" s="42"/>
      <c r="O183" s="42"/>
      <c r="P183" s="42"/>
      <c r="Q183" s="42"/>
      <c r="R183" s="42"/>
      <c r="S183" s="42"/>
      <c r="T183" s="42"/>
      <c r="U183" s="42"/>
      <c r="V183" s="42"/>
      <c r="W183" s="42"/>
      <c r="X183" s="42"/>
      <c r="Y183" s="42"/>
      <c r="Z183" s="42"/>
    </row>
    <row r="184" hidden="1">
      <c r="A184" s="34" t="str">
        <f>hyperlink("https://issues.sierrawireless.com/browse/OEMPRI-6441", "OEMPRI-6441")</f>
        <v>OEMPRI-6441</v>
      </c>
      <c r="B184" s="36" t="s">
        <v>1046</v>
      </c>
      <c r="C184" s="36" t="s">
        <v>139</v>
      </c>
      <c r="D184" s="38">
        <v>43172.0</v>
      </c>
      <c r="E184" s="39">
        <v>43059.0</v>
      </c>
      <c r="F184" s="36" t="s">
        <v>166</v>
      </c>
      <c r="G184" s="36" t="s">
        <v>155</v>
      </c>
      <c r="H184" s="40" t="s">
        <v>155</v>
      </c>
      <c r="I184" s="41">
        <v>43171.0</v>
      </c>
      <c r="J184" s="41">
        <v>43174.0</v>
      </c>
      <c r="K184" s="42"/>
      <c r="L184" s="42"/>
      <c r="M184" s="42"/>
      <c r="N184" s="42"/>
      <c r="O184" s="42"/>
      <c r="P184" s="42"/>
      <c r="Q184" s="42"/>
      <c r="R184" s="42"/>
      <c r="S184" s="42"/>
      <c r="T184" s="42"/>
      <c r="U184" s="42"/>
      <c r="V184" s="42"/>
      <c r="W184" s="42"/>
      <c r="X184" s="42"/>
      <c r="Y184" s="42"/>
      <c r="Z184" s="42"/>
    </row>
    <row r="185" hidden="1">
      <c r="A185" s="34" t="str">
        <f>hyperlink("https://issues.sierrawireless.com/browse/OEMPRI-6442", "OEMPRI-6442")</f>
        <v>OEMPRI-6442</v>
      </c>
      <c r="B185" s="36" t="s">
        <v>1379</v>
      </c>
      <c r="C185" s="36" t="s">
        <v>139</v>
      </c>
      <c r="D185" s="38">
        <v>43172.0</v>
      </c>
      <c r="E185" s="39">
        <v>43111.0</v>
      </c>
      <c r="F185" s="36" t="s">
        <v>160</v>
      </c>
      <c r="G185" s="36" t="s">
        <v>155</v>
      </c>
      <c r="H185" s="40" t="s">
        <v>155</v>
      </c>
      <c r="I185" s="41">
        <v>43171.0</v>
      </c>
      <c r="J185" s="41">
        <v>43175.0</v>
      </c>
      <c r="K185" s="42"/>
      <c r="L185" s="42"/>
      <c r="M185" s="42"/>
      <c r="N185" s="42"/>
      <c r="O185" s="42"/>
      <c r="P185" s="42"/>
      <c r="Q185" s="42"/>
      <c r="R185" s="42"/>
      <c r="S185" s="42"/>
      <c r="T185" s="42"/>
      <c r="U185" s="42"/>
      <c r="V185" s="42"/>
      <c r="W185" s="42"/>
      <c r="X185" s="42"/>
      <c r="Y185" s="42"/>
      <c r="Z185" s="42"/>
    </row>
    <row r="186" hidden="1">
      <c r="A186" s="34" t="str">
        <f>hyperlink("https://issues.sierrawireless.com/browse/OEMPRI-6444", "OEMPRI-6444")</f>
        <v>OEMPRI-6444</v>
      </c>
      <c r="B186" s="36" t="s">
        <v>1388</v>
      </c>
      <c r="C186" s="36" t="s">
        <v>139</v>
      </c>
      <c r="D186" s="38">
        <v>43172.0</v>
      </c>
      <c r="E186" s="39">
        <v>43129.0</v>
      </c>
      <c r="F186" s="36" t="s">
        <v>147</v>
      </c>
      <c r="G186" s="36" t="s">
        <v>148</v>
      </c>
      <c r="H186" s="40" t="s">
        <v>148</v>
      </c>
      <c r="I186" s="41">
        <v>43171.0</v>
      </c>
      <c r="J186" s="41">
        <v>43173.0</v>
      </c>
      <c r="K186" s="42"/>
      <c r="L186" s="42"/>
      <c r="M186" s="42"/>
      <c r="N186" s="42"/>
      <c r="O186" s="42"/>
      <c r="P186" s="42"/>
      <c r="Q186" s="42"/>
      <c r="R186" s="42"/>
      <c r="S186" s="42"/>
      <c r="T186" s="42"/>
      <c r="U186" s="42"/>
      <c r="V186" s="42"/>
      <c r="W186" s="42"/>
      <c r="X186" s="42"/>
      <c r="Y186" s="42"/>
      <c r="Z186" s="42"/>
    </row>
    <row r="187" hidden="1">
      <c r="A187" s="34" t="str">
        <f>hyperlink("https://issues.sierrawireless.com/browse/OEMPRI-6427", "OEMPRI-6427")</f>
        <v>OEMPRI-6427</v>
      </c>
      <c r="B187" s="36" t="s">
        <v>1398</v>
      </c>
      <c r="C187" s="36" t="s">
        <v>139</v>
      </c>
      <c r="D187" s="38">
        <v>43171.0</v>
      </c>
      <c r="E187" s="39">
        <v>43175.0</v>
      </c>
      <c r="F187" s="36" t="s">
        <v>1399</v>
      </c>
      <c r="G187" s="36" t="s">
        <v>148</v>
      </c>
      <c r="H187" s="40" t="s">
        <v>1400</v>
      </c>
      <c r="I187" s="41">
        <v>43171.0</v>
      </c>
      <c r="J187" s="41">
        <v>43174.0</v>
      </c>
      <c r="K187" s="42"/>
      <c r="L187" s="42"/>
      <c r="M187" s="42"/>
      <c r="N187" s="42"/>
      <c r="O187" s="42"/>
      <c r="P187" s="42"/>
      <c r="Q187" s="42"/>
      <c r="R187" s="42"/>
      <c r="S187" s="42"/>
      <c r="T187" s="42"/>
      <c r="U187" s="42"/>
      <c r="V187" s="42"/>
      <c r="W187" s="42"/>
      <c r="X187" s="42"/>
      <c r="Y187" s="42"/>
      <c r="Z187" s="42"/>
    </row>
    <row r="188" hidden="1">
      <c r="A188" s="34" t="str">
        <f>hyperlink("https://issues.sierrawireless.com/browse/OEMPRI-6407", "OEMPRI-6407")</f>
        <v>OEMPRI-6407</v>
      </c>
      <c r="B188" s="36" t="s">
        <v>1406</v>
      </c>
      <c r="C188" s="36" t="s">
        <v>139</v>
      </c>
      <c r="D188" s="38">
        <v>43168.0</v>
      </c>
      <c r="E188" s="39">
        <v>43174.0</v>
      </c>
      <c r="F188" s="36" t="s">
        <v>160</v>
      </c>
      <c r="G188" s="36" t="s">
        <v>148</v>
      </c>
      <c r="H188" s="40" t="s">
        <v>141</v>
      </c>
      <c r="I188" s="41">
        <v>43178.0</v>
      </c>
      <c r="J188" s="41">
        <v>43178.0</v>
      </c>
      <c r="K188" s="89"/>
      <c r="L188" s="42"/>
      <c r="M188" s="42"/>
      <c r="N188" s="42"/>
      <c r="O188" s="42"/>
      <c r="P188" s="42"/>
      <c r="Q188" s="42"/>
      <c r="R188" s="42"/>
      <c r="S188" s="42"/>
      <c r="T188" s="42"/>
      <c r="U188" s="42"/>
      <c r="V188" s="42"/>
      <c r="W188" s="42"/>
      <c r="X188" s="42"/>
      <c r="Y188" s="42"/>
      <c r="Z188" s="42"/>
    </row>
    <row r="189" hidden="1">
      <c r="A189" s="34" t="str">
        <f>hyperlink("https://issues.sierrawireless.com/browse/OEMPRI-6408", "OEMPRI-6408")</f>
        <v>OEMPRI-6408</v>
      </c>
      <c r="B189" s="36" t="s">
        <v>1413</v>
      </c>
      <c r="C189" s="36" t="s">
        <v>469</v>
      </c>
      <c r="D189" s="38">
        <v>43168.0</v>
      </c>
      <c r="E189" s="39" t="s">
        <v>92</v>
      </c>
      <c r="F189" s="36" t="s">
        <v>119</v>
      </c>
      <c r="G189" s="36" t="s">
        <v>122</v>
      </c>
      <c r="H189" s="40" t="s">
        <v>122</v>
      </c>
      <c r="I189" s="41">
        <v>43171.0</v>
      </c>
      <c r="J189" s="41">
        <v>43172.0</v>
      </c>
      <c r="K189" s="42"/>
      <c r="L189" s="42"/>
      <c r="M189" s="42"/>
      <c r="N189" s="42"/>
      <c r="O189" s="42"/>
      <c r="P189" s="42"/>
      <c r="Q189" s="42"/>
      <c r="R189" s="42"/>
      <c r="S189" s="42"/>
      <c r="T189" s="42"/>
      <c r="U189" s="42"/>
      <c r="V189" s="42"/>
      <c r="W189" s="42"/>
      <c r="X189" s="42"/>
      <c r="Y189" s="42"/>
      <c r="Z189" s="42"/>
    </row>
    <row r="190" hidden="1">
      <c r="A190" s="34" t="str">
        <f>hyperlink("https://issues.sierrawireless.com/browse/OEMPRI-6409", "OEMPRI-6409")</f>
        <v>OEMPRI-6409</v>
      </c>
      <c r="B190" s="36" t="s">
        <v>1420</v>
      </c>
      <c r="C190" s="36" t="s">
        <v>139</v>
      </c>
      <c r="D190" s="38">
        <v>43168.0</v>
      </c>
      <c r="E190" s="39" t="s">
        <v>92</v>
      </c>
      <c r="F190" s="36" t="s">
        <v>1421</v>
      </c>
      <c r="G190" s="36" t="s">
        <v>140</v>
      </c>
      <c r="H190" s="40" t="s">
        <v>140</v>
      </c>
      <c r="I190" s="41">
        <v>43171.0</v>
      </c>
      <c r="J190" s="41">
        <v>43171.0</v>
      </c>
      <c r="K190" s="42"/>
      <c r="L190" s="42"/>
      <c r="M190" s="42"/>
      <c r="N190" s="42"/>
      <c r="O190" s="42"/>
      <c r="P190" s="42"/>
      <c r="Q190" s="42"/>
      <c r="R190" s="42"/>
      <c r="S190" s="42"/>
      <c r="T190" s="42"/>
      <c r="U190" s="42"/>
      <c r="V190" s="42"/>
      <c r="W190" s="42"/>
      <c r="X190" s="42"/>
      <c r="Y190" s="42"/>
      <c r="Z190" s="42"/>
    </row>
    <row r="191" hidden="1">
      <c r="A191" s="17" t="str">
        <f>hyperlink("https://issues.sierrawireless.com/browse/OEMPRI-6401", "OEMPRI-6401")</f>
        <v>OEMPRI-6401</v>
      </c>
      <c r="B191" s="19" t="s">
        <v>1426</v>
      </c>
      <c r="C191" s="19" t="s">
        <v>139</v>
      </c>
      <c r="D191" s="20">
        <v>43167.0</v>
      </c>
      <c r="E191" s="27" t="s">
        <v>92</v>
      </c>
      <c r="F191" s="19" t="s">
        <v>176</v>
      </c>
      <c r="G191" s="19" t="s">
        <v>140</v>
      </c>
      <c r="H191" s="65" t="s">
        <v>140</v>
      </c>
      <c r="I191" s="32">
        <v>43185.0</v>
      </c>
      <c r="J191" s="32">
        <v>43185.0</v>
      </c>
      <c r="K191" s="9"/>
      <c r="L191" s="9"/>
      <c r="M191" s="9"/>
      <c r="N191" s="9"/>
      <c r="O191" s="9"/>
      <c r="P191" s="9"/>
      <c r="Q191" s="9"/>
      <c r="R191" s="9"/>
      <c r="S191" s="9"/>
      <c r="T191" s="9"/>
      <c r="U191" s="9"/>
      <c r="V191" s="9"/>
      <c r="W191" s="9"/>
      <c r="X191" s="9"/>
      <c r="Y191" s="9"/>
      <c r="Z191" s="9"/>
    </row>
    <row r="192" hidden="1">
      <c r="A192" s="34" t="str">
        <f>hyperlink("https://issues.sierrawireless.com/browse/OEMPRI-6402", "OEMPRI-6402")</f>
        <v>OEMPRI-6402</v>
      </c>
      <c r="B192" s="36" t="s">
        <v>1432</v>
      </c>
      <c r="C192" s="36" t="s">
        <v>139</v>
      </c>
      <c r="D192" s="38">
        <v>43167.0</v>
      </c>
      <c r="E192" s="39">
        <v>43173.0</v>
      </c>
      <c r="F192" s="36" t="s">
        <v>160</v>
      </c>
      <c r="G192" s="36" t="s">
        <v>148</v>
      </c>
      <c r="H192" s="40" t="s">
        <v>155</v>
      </c>
      <c r="I192" s="41">
        <v>43164.0</v>
      </c>
      <c r="J192" s="41">
        <v>43168.0</v>
      </c>
      <c r="K192" s="42"/>
      <c r="L192" s="42"/>
      <c r="M192" s="42"/>
      <c r="N192" s="42"/>
      <c r="O192" s="42"/>
      <c r="P192" s="42"/>
      <c r="Q192" s="42"/>
      <c r="R192" s="42"/>
      <c r="S192" s="42"/>
      <c r="T192" s="42"/>
      <c r="U192" s="42"/>
      <c r="V192" s="42"/>
      <c r="W192" s="42"/>
      <c r="X192" s="42"/>
      <c r="Y192" s="42"/>
      <c r="Z192" s="42"/>
    </row>
    <row r="193" hidden="1">
      <c r="A193" s="34" t="str">
        <f>hyperlink("https://issues.sierrawireless.com/browse/OEMPRI-6332", "OEMPRI-6332")</f>
        <v>OEMPRI-6332</v>
      </c>
      <c r="B193" s="36" t="s">
        <v>1438</v>
      </c>
      <c r="C193" s="36" t="s">
        <v>139</v>
      </c>
      <c r="D193" s="38">
        <v>43161.0</v>
      </c>
      <c r="E193" s="39" t="s">
        <v>92</v>
      </c>
      <c r="F193" s="36" t="s">
        <v>176</v>
      </c>
      <c r="G193" s="36" t="s">
        <v>148</v>
      </c>
      <c r="H193" s="40" t="s">
        <v>337</v>
      </c>
      <c r="I193" s="41">
        <v>43171.0</v>
      </c>
      <c r="J193" s="41">
        <v>43171.0</v>
      </c>
      <c r="K193" s="42"/>
      <c r="L193" s="42"/>
      <c r="M193" s="42"/>
      <c r="N193" s="42"/>
      <c r="O193" s="42"/>
      <c r="P193" s="42"/>
      <c r="Q193" s="42"/>
      <c r="R193" s="42"/>
      <c r="S193" s="42"/>
      <c r="T193" s="42"/>
      <c r="U193" s="42"/>
      <c r="V193" s="42"/>
      <c r="W193" s="42"/>
      <c r="X193" s="42"/>
      <c r="Y193" s="42"/>
      <c r="Z193" s="42"/>
    </row>
    <row r="194" hidden="1">
      <c r="A194" s="34" t="str">
        <f>hyperlink("https://issues.sierrawireless.com/browse/OEMPRI-6333", "OEMPRI-6333")</f>
        <v>OEMPRI-6333</v>
      </c>
      <c r="B194" s="36" t="s">
        <v>1444</v>
      </c>
      <c r="C194" s="36" t="s">
        <v>139</v>
      </c>
      <c r="D194" s="38">
        <v>43161.0</v>
      </c>
      <c r="E194" s="39" t="s">
        <v>92</v>
      </c>
      <c r="F194" s="36" t="s">
        <v>176</v>
      </c>
      <c r="G194" s="36" t="s">
        <v>148</v>
      </c>
      <c r="H194" s="40" t="s">
        <v>337</v>
      </c>
      <c r="I194" s="41">
        <v>43171.0</v>
      </c>
      <c r="J194" s="41">
        <v>43171.0</v>
      </c>
      <c r="K194" s="42"/>
      <c r="L194" s="42"/>
      <c r="M194" s="42"/>
      <c r="N194" s="42"/>
      <c r="O194" s="42"/>
      <c r="P194" s="42"/>
      <c r="Q194" s="42"/>
      <c r="R194" s="42"/>
      <c r="S194" s="42"/>
      <c r="T194" s="42"/>
      <c r="U194" s="42"/>
      <c r="V194" s="42"/>
      <c r="W194" s="42"/>
      <c r="X194" s="42"/>
      <c r="Y194" s="42"/>
      <c r="Z194" s="42"/>
    </row>
    <row r="195" hidden="1">
      <c r="A195" s="90" t="str">
        <f>hyperlink("https://issues.sierrawireless.com/browse/OEMPRI-6334", "OEMPRI-6334")</f>
        <v>OEMPRI-6334</v>
      </c>
      <c r="B195" s="91" t="s">
        <v>1456</v>
      </c>
      <c r="C195" s="91" t="s">
        <v>469</v>
      </c>
      <c r="D195" s="92">
        <v>43161.0</v>
      </c>
      <c r="E195" s="93" t="s">
        <v>92</v>
      </c>
      <c r="F195" s="91" t="s">
        <v>119</v>
      </c>
      <c r="G195" s="91" t="s">
        <v>122</v>
      </c>
      <c r="H195" s="94" t="s">
        <v>1128</v>
      </c>
      <c r="I195" s="95">
        <v>43192.0</v>
      </c>
      <c r="J195" s="95">
        <v>43194.0</v>
      </c>
      <c r="K195" s="96"/>
      <c r="L195" s="96"/>
      <c r="M195" s="96"/>
      <c r="N195" s="96"/>
      <c r="O195" s="96"/>
      <c r="P195" s="96"/>
      <c r="Q195" s="96"/>
      <c r="R195" s="96"/>
      <c r="S195" s="96"/>
      <c r="T195" s="96"/>
      <c r="U195" s="96"/>
      <c r="V195" s="96"/>
      <c r="W195" s="96"/>
      <c r="X195" s="96"/>
      <c r="Y195" s="96"/>
      <c r="Z195" s="96"/>
    </row>
    <row r="196" hidden="1">
      <c r="A196" s="97" t="s">
        <v>1479</v>
      </c>
      <c r="B196" s="98" t="s">
        <v>1485</v>
      </c>
      <c r="C196" s="98" t="s">
        <v>139</v>
      </c>
      <c r="D196" s="99">
        <v>43160.0</v>
      </c>
      <c r="E196" s="100">
        <v>43164.0</v>
      </c>
      <c r="F196" s="101" t="s">
        <v>160</v>
      </c>
      <c r="G196" s="98" t="s">
        <v>148</v>
      </c>
      <c r="H196" s="102" t="s">
        <v>244</v>
      </c>
      <c r="I196" s="103">
        <v>43157.0</v>
      </c>
      <c r="J196" s="103">
        <v>43161.0</v>
      </c>
      <c r="K196" s="89"/>
      <c r="L196" s="42"/>
      <c r="M196" s="42"/>
      <c r="N196" s="42"/>
      <c r="O196" s="42"/>
      <c r="P196" s="42"/>
      <c r="Q196" s="42"/>
      <c r="R196" s="42"/>
      <c r="S196" s="42"/>
      <c r="T196" s="42"/>
      <c r="U196" s="42"/>
      <c r="V196" s="42"/>
      <c r="W196" s="42"/>
      <c r="X196" s="42"/>
      <c r="Y196" s="42"/>
      <c r="Z196" s="42"/>
    </row>
    <row r="197" hidden="1">
      <c r="A197" s="34" t="str">
        <f>hyperlink("https://issues.sierrawireless.com/browse/OEMPRI-6314", "OEMPRI-6314")</f>
        <v>OEMPRI-6314</v>
      </c>
      <c r="B197" s="36" t="s">
        <v>1505</v>
      </c>
      <c r="C197" s="36" t="s">
        <v>139</v>
      </c>
      <c r="D197" s="38">
        <v>43160.0</v>
      </c>
      <c r="E197" s="39">
        <v>43039.0</v>
      </c>
      <c r="F197" s="36" t="s">
        <v>166</v>
      </c>
      <c r="G197" s="36" t="s">
        <v>140</v>
      </c>
      <c r="H197" s="40" t="s">
        <v>140</v>
      </c>
      <c r="I197" s="41">
        <v>43171.0</v>
      </c>
      <c r="J197" s="41">
        <v>43164.0</v>
      </c>
      <c r="K197" s="42"/>
      <c r="L197" s="42"/>
      <c r="M197" s="42"/>
      <c r="N197" s="42"/>
      <c r="O197" s="42"/>
      <c r="P197" s="42"/>
      <c r="Q197" s="42"/>
      <c r="R197" s="42"/>
      <c r="S197" s="42"/>
      <c r="T197" s="42"/>
      <c r="U197" s="42"/>
      <c r="V197" s="42"/>
      <c r="W197" s="42"/>
      <c r="X197" s="42"/>
      <c r="Y197" s="42"/>
      <c r="Z197" s="42"/>
    </row>
    <row r="198" hidden="1">
      <c r="A198" s="34" t="str">
        <f>hyperlink("https://issues.sierrawireless.com/browse/OEMPRI-6316", "OEMPRI-6316")</f>
        <v>OEMPRI-6316</v>
      </c>
      <c r="B198" s="36" t="s">
        <v>1513</v>
      </c>
      <c r="C198" s="36" t="s">
        <v>139</v>
      </c>
      <c r="D198" s="38">
        <v>43160.0</v>
      </c>
      <c r="E198" s="39">
        <v>43059.0</v>
      </c>
      <c r="F198" s="36" t="s">
        <v>160</v>
      </c>
      <c r="G198" s="36" t="s">
        <v>155</v>
      </c>
      <c r="H198" s="40" t="s">
        <v>155</v>
      </c>
      <c r="I198" s="41">
        <v>43164.0</v>
      </c>
      <c r="J198" s="41">
        <v>43165.0</v>
      </c>
      <c r="K198" s="89" t="s">
        <v>1516</v>
      </c>
      <c r="L198" s="42"/>
      <c r="M198" s="42"/>
      <c r="N198" s="42"/>
      <c r="O198" s="42"/>
      <c r="P198" s="42"/>
      <c r="Q198" s="42"/>
      <c r="R198" s="42"/>
      <c r="S198" s="42"/>
      <c r="T198" s="42"/>
      <c r="U198" s="42"/>
      <c r="V198" s="42"/>
      <c r="W198" s="42"/>
      <c r="X198" s="42"/>
      <c r="Y198" s="42"/>
      <c r="Z198" s="42"/>
    </row>
    <row r="199" hidden="1">
      <c r="A199" s="34" t="str">
        <f>hyperlink("https://issues.sierrawireless.com/browse/OEMPRI-6324", "OEMPRI-6324")</f>
        <v>OEMPRI-6324</v>
      </c>
      <c r="B199" s="36" t="s">
        <v>1265</v>
      </c>
      <c r="C199" s="36" t="s">
        <v>139</v>
      </c>
      <c r="D199" s="38">
        <v>43160.0</v>
      </c>
      <c r="E199" s="39">
        <v>43059.0</v>
      </c>
      <c r="F199" s="36" t="s">
        <v>160</v>
      </c>
      <c r="G199" s="36" t="s">
        <v>155</v>
      </c>
      <c r="H199" s="40" t="s">
        <v>155</v>
      </c>
      <c r="I199" s="41">
        <v>43164.0</v>
      </c>
      <c r="J199" s="41">
        <v>43166.0</v>
      </c>
      <c r="K199" s="42"/>
      <c r="L199" s="42"/>
      <c r="M199" s="42"/>
      <c r="N199" s="42"/>
      <c r="O199" s="42"/>
      <c r="P199" s="42"/>
      <c r="Q199" s="42"/>
      <c r="R199" s="42"/>
      <c r="S199" s="42"/>
      <c r="T199" s="42"/>
      <c r="U199" s="42"/>
      <c r="V199" s="42"/>
      <c r="W199" s="42"/>
      <c r="X199" s="42"/>
      <c r="Y199" s="42"/>
      <c r="Z199" s="42"/>
    </row>
    <row r="200" hidden="1">
      <c r="A200" s="34" t="str">
        <f>hyperlink("https://issues.sierrawireless.com/browse/OEMPRI-6325", "OEMPRI-6325")</f>
        <v>OEMPRI-6325</v>
      </c>
      <c r="B200" s="36" t="s">
        <v>1432</v>
      </c>
      <c r="C200" s="36" t="s">
        <v>139</v>
      </c>
      <c r="D200" s="38">
        <v>43160.0</v>
      </c>
      <c r="E200" s="39">
        <v>43164.0</v>
      </c>
      <c r="F200" s="36" t="s">
        <v>160</v>
      </c>
      <c r="G200" s="36" t="s">
        <v>148</v>
      </c>
      <c r="H200" s="40" t="s">
        <v>244</v>
      </c>
      <c r="I200" s="41">
        <v>43157.0</v>
      </c>
      <c r="J200" s="41">
        <v>43161.0</v>
      </c>
      <c r="K200" s="42"/>
      <c r="L200" s="42"/>
      <c r="M200" s="42"/>
      <c r="N200" s="42"/>
      <c r="O200" s="42"/>
      <c r="P200" s="42"/>
      <c r="Q200" s="42"/>
      <c r="R200" s="42"/>
      <c r="S200" s="42"/>
      <c r="T200" s="42"/>
      <c r="U200" s="42"/>
      <c r="V200" s="42"/>
      <c r="W200" s="42"/>
      <c r="X200" s="42"/>
      <c r="Y200" s="42"/>
      <c r="Z200" s="42"/>
    </row>
    <row r="201" hidden="1">
      <c r="A201" s="34" t="str">
        <f>hyperlink("https://issues.sierrawireless.com/browse/OEMPRI-6312", "OEMPRI-6312")</f>
        <v>OEMPRI-6312</v>
      </c>
      <c r="B201" s="36" t="s">
        <v>1533</v>
      </c>
      <c r="C201" s="36" t="s">
        <v>139</v>
      </c>
      <c r="D201" s="38">
        <v>43159.0</v>
      </c>
      <c r="E201" s="39" t="s">
        <v>92</v>
      </c>
      <c r="F201" s="36" t="s">
        <v>119</v>
      </c>
      <c r="G201" s="36" t="s">
        <v>120</v>
      </c>
      <c r="H201" s="40" t="s">
        <v>726</v>
      </c>
      <c r="I201" s="41">
        <v>43185.0</v>
      </c>
      <c r="J201" s="41">
        <v>43185.0</v>
      </c>
      <c r="K201" s="42"/>
      <c r="L201" s="42"/>
      <c r="M201" s="42"/>
      <c r="N201" s="42"/>
      <c r="O201" s="42"/>
      <c r="P201" s="42"/>
      <c r="Q201" s="42"/>
      <c r="R201" s="42"/>
      <c r="S201" s="42"/>
      <c r="T201" s="42"/>
      <c r="U201" s="42"/>
      <c r="V201" s="42"/>
      <c r="W201" s="42"/>
      <c r="X201" s="42"/>
      <c r="Y201" s="42"/>
      <c r="Z201" s="42"/>
    </row>
    <row r="202" hidden="1">
      <c r="A202" s="34" t="str">
        <f>hyperlink("https://issues.sierrawireless.com/browse/OEMPRI-6299", "OEMPRI-6299")</f>
        <v>OEMPRI-6299</v>
      </c>
      <c r="B202" s="36" t="s">
        <v>1537</v>
      </c>
      <c r="C202" s="36" t="s">
        <v>139</v>
      </c>
      <c r="D202" s="38">
        <v>43157.0</v>
      </c>
      <c r="E202" s="39">
        <v>43171.0</v>
      </c>
      <c r="F202" s="36" t="s">
        <v>160</v>
      </c>
      <c r="G202" s="36" t="s">
        <v>148</v>
      </c>
      <c r="H202" s="40" t="s">
        <v>609</v>
      </c>
      <c r="I202" s="41">
        <v>43171.0</v>
      </c>
      <c r="J202" s="41">
        <v>43171.0</v>
      </c>
      <c r="K202" s="42"/>
      <c r="L202" s="42"/>
      <c r="M202" s="42"/>
      <c r="N202" s="42"/>
      <c r="O202" s="42"/>
      <c r="P202" s="42"/>
      <c r="Q202" s="42"/>
      <c r="R202" s="42"/>
      <c r="S202" s="42"/>
      <c r="T202" s="42"/>
      <c r="U202" s="42"/>
      <c r="V202" s="42"/>
      <c r="W202" s="42"/>
      <c r="X202" s="42"/>
      <c r="Y202" s="42"/>
      <c r="Z202" s="42"/>
    </row>
    <row r="203" hidden="1">
      <c r="A203" s="34" t="str">
        <f>hyperlink("https://issues.sierrawireless.com/browse/OEMPRI-6300", "OEMPRI-6300")</f>
        <v>OEMPRI-6300</v>
      </c>
      <c r="B203" s="36" t="s">
        <v>1545</v>
      </c>
      <c r="C203" s="36" t="s">
        <v>139</v>
      </c>
      <c r="D203" s="38">
        <v>43157.0</v>
      </c>
      <c r="E203" s="39">
        <v>43173.0</v>
      </c>
      <c r="F203" s="36" t="s">
        <v>160</v>
      </c>
      <c r="G203" s="36" t="s">
        <v>155</v>
      </c>
      <c r="H203" s="40" t="s">
        <v>609</v>
      </c>
      <c r="I203" s="41">
        <v>43164.0</v>
      </c>
      <c r="J203" s="41">
        <v>43164.0</v>
      </c>
      <c r="K203" s="89"/>
      <c r="L203" s="42"/>
      <c r="M203" s="42"/>
      <c r="N203" s="42"/>
      <c r="O203" s="42"/>
      <c r="P203" s="42"/>
      <c r="Q203" s="42"/>
      <c r="R203" s="42"/>
      <c r="S203" s="42"/>
      <c r="T203" s="42"/>
      <c r="U203" s="42"/>
      <c r="V203" s="42"/>
      <c r="W203" s="42"/>
      <c r="X203" s="42"/>
      <c r="Y203" s="42"/>
      <c r="Z203" s="42"/>
    </row>
    <row r="204" hidden="1">
      <c r="A204" s="34" t="str">
        <f>hyperlink("https://issues.sierrawireless.com/browse/OEMPRI-6301", "OEMPRI-6301")</f>
        <v>OEMPRI-6301</v>
      </c>
      <c r="B204" s="36" t="s">
        <v>1549</v>
      </c>
      <c r="C204" s="36" t="s">
        <v>139</v>
      </c>
      <c r="D204" s="38">
        <v>43157.0</v>
      </c>
      <c r="E204" s="39">
        <v>43172.0</v>
      </c>
      <c r="F204" s="36" t="s">
        <v>160</v>
      </c>
      <c r="G204" s="36" t="s">
        <v>148</v>
      </c>
      <c r="H204" s="40" t="s">
        <v>609</v>
      </c>
      <c r="I204" s="41">
        <v>43171.0</v>
      </c>
      <c r="J204" s="41">
        <v>43164.0</v>
      </c>
      <c r="K204" s="42"/>
      <c r="L204" s="42"/>
      <c r="M204" s="42"/>
      <c r="N204" s="42"/>
      <c r="O204" s="42"/>
      <c r="P204" s="42"/>
      <c r="Q204" s="42"/>
      <c r="R204" s="42"/>
      <c r="S204" s="42"/>
      <c r="T204" s="42"/>
      <c r="U204" s="42"/>
      <c r="V204" s="42"/>
      <c r="W204" s="42"/>
      <c r="X204" s="42"/>
      <c r="Y204" s="42"/>
      <c r="Z204" s="42"/>
    </row>
    <row r="205" hidden="1">
      <c r="A205" s="34" t="str">
        <f>hyperlink("https://issues.sierrawireless.com/browse/OEMPRI-6272", "OEMPRI-6272")</f>
        <v>OEMPRI-6272</v>
      </c>
      <c r="B205" s="36" t="s">
        <v>1553</v>
      </c>
      <c r="C205" s="36" t="s">
        <v>469</v>
      </c>
      <c r="D205" s="38">
        <v>43154.0</v>
      </c>
      <c r="E205" s="39">
        <v>43061.0</v>
      </c>
      <c r="F205" s="36" t="s">
        <v>723</v>
      </c>
      <c r="G205" s="36" t="s">
        <v>122</v>
      </c>
      <c r="H205" s="40" t="s">
        <v>122</v>
      </c>
      <c r="I205" s="41">
        <v>43171.0</v>
      </c>
      <c r="J205" s="41">
        <v>43171.0</v>
      </c>
      <c r="K205" s="42"/>
      <c r="L205" s="42"/>
      <c r="M205" s="42"/>
      <c r="N205" s="42"/>
      <c r="O205" s="42"/>
      <c r="P205" s="42"/>
      <c r="Q205" s="42"/>
      <c r="R205" s="42"/>
      <c r="S205" s="42"/>
      <c r="T205" s="42"/>
      <c r="U205" s="42"/>
      <c r="V205" s="42"/>
      <c r="W205" s="42"/>
      <c r="X205" s="42"/>
      <c r="Y205" s="42"/>
      <c r="Z205" s="42"/>
    </row>
    <row r="206" hidden="1">
      <c r="A206" s="34" t="str">
        <f>hyperlink("https://issues.sierrawireless.com/browse/OEMPRI-6275", "OEMPRI-6275")</f>
        <v>OEMPRI-6275</v>
      </c>
      <c r="B206" s="36" t="s">
        <v>1559</v>
      </c>
      <c r="C206" s="36" t="s">
        <v>139</v>
      </c>
      <c r="D206" s="38">
        <v>43154.0</v>
      </c>
      <c r="E206" s="39">
        <v>43061.0</v>
      </c>
      <c r="F206" s="36" t="s">
        <v>723</v>
      </c>
      <c r="G206" s="36" t="s">
        <v>120</v>
      </c>
      <c r="H206" s="40" t="s">
        <v>122</v>
      </c>
      <c r="I206" s="41">
        <v>43171.0</v>
      </c>
      <c r="J206" s="41">
        <v>43171.0</v>
      </c>
      <c r="K206" s="42"/>
      <c r="L206" s="42"/>
      <c r="M206" s="42"/>
      <c r="N206" s="42"/>
      <c r="O206" s="42"/>
      <c r="P206" s="42"/>
      <c r="Q206" s="42"/>
      <c r="R206" s="42"/>
      <c r="S206" s="42"/>
      <c r="T206" s="42"/>
      <c r="U206" s="42"/>
      <c r="V206" s="42"/>
      <c r="W206" s="42"/>
      <c r="X206" s="42"/>
      <c r="Y206" s="42"/>
      <c r="Z206" s="42"/>
    </row>
    <row r="207" hidden="1">
      <c r="A207" s="34" t="str">
        <f>hyperlink("https://issues.sierrawireless.com/browse/OEMPRI-6274", "OEMPRI-6274")</f>
        <v>OEMPRI-6274</v>
      </c>
      <c r="B207" s="36" t="s">
        <v>1561</v>
      </c>
      <c r="C207" s="36" t="s">
        <v>139</v>
      </c>
      <c r="D207" s="38">
        <v>43154.0</v>
      </c>
      <c r="E207" s="39">
        <v>43119.0</v>
      </c>
      <c r="F207" s="36" t="s">
        <v>723</v>
      </c>
      <c r="G207" s="36" t="s">
        <v>120</v>
      </c>
      <c r="H207" s="40" t="s">
        <v>122</v>
      </c>
      <c r="I207" s="41">
        <v>43171.0</v>
      </c>
      <c r="J207" s="41">
        <v>43171.0</v>
      </c>
      <c r="K207" s="42"/>
      <c r="L207" s="42"/>
      <c r="M207" s="42"/>
      <c r="N207" s="42"/>
      <c r="O207" s="42"/>
      <c r="P207" s="42"/>
      <c r="Q207" s="42"/>
      <c r="R207" s="42"/>
      <c r="S207" s="42"/>
      <c r="T207" s="42"/>
      <c r="U207" s="42"/>
      <c r="V207" s="42"/>
      <c r="W207" s="42"/>
      <c r="X207" s="42"/>
      <c r="Y207" s="42"/>
      <c r="Z207" s="42"/>
    </row>
    <row r="208" hidden="1">
      <c r="A208" s="97" t="s">
        <v>1565</v>
      </c>
      <c r="B208" s="98" t="s">
        <v>1566</v>
      </c>
      <c r="C208" s="98" t="s">
        <v>139</v>
      </c>
      <c r="D208" s="99">
        <v>43144.0</v>
      </c>
      <c r="E208" s="100">
        <v>43161.0</v>
      </c>
      <c r="F208" s="101" t="s">
        <v>160</v>
      </c>
      <c r="G208" s="98" t="s">
        <v>148</v>
      </c>
      <c r="H208" s="102" t="s">
        <v>244</v>
      </c>
      <c r="I208" s="103">
        <v>43157.0</v>
      </c>
      <c r="J208" s="103">
        <v>43157.0</v>
      </c>
      <c r="K208" s="89"/>
      <c r="L208" s="42"/>
      <c r="M208" s="42"/>
      <c r="N208" s="42"/>
      <c r="O208" s="42"/>
      <c r="P208" s="42"/>
      <c r="Q208" s="42"/>
      <c r="R208" s="42"/>
      <c r="S208" s="42"/>
      <c r="T208" s="42"/>
      <c r="U208" s="42"/>
      <c r="V208" s="42"/>
      <c r="W208" s="42"/>
      <c r="X208" s="42"/>
      <c r="Y208" s="42"/>
      <c r="Z208" s="42"/>
    </row>
    <row r="209" hidden="1">
      <c r="A209" s="34" t="str">
        <f>hyperlink("https://issues.sierrawireless.com/browse/OEMPRI-6210", "OEMPRI-6210")</f>
        <v>OEMPRI-6210</v>
      </c>
      <c r="B209" s="36" t="s">
        <v>1545</v>
      </c>
      <c r="C209" s="36" t="s">
        <v>139</v>
      </c>
      <c r="D209" s="38">
        <v>43144.0</v>
      </c>
      <c r="E209" s="39" t="s">
        <v>92</v>
      </c>
      <c r="F209" s="36" t="s">
        <v>723</v>
      </c>
      <c r="G209" s="36" t="s">
        <v>155</v>
      </c>
      <c r="H209" s="40" t="s">
        <v>122</v>
      </c>
      <c r="I209" s="41">
        <v>43164.0</v>
      </c>
      <c r="J209" s="41">
        <v>43164.0</v>
      </c>
      <c r="K209" s="89" t="s">
        <v>1516</v>
      </c>
      <c r="L209" s="42"/>
      <c r="M209" s="42"/>
      <c r="N209" s="42"/>
      <c r="O209" s="42"/>
      <c r="P209" s="42"/>
      <c r="Q209" s="42"/>
      <c r="R209" s="42"/>
      <c r="S209" s="42"/>
      <c r="T209" s="42"/>
      <c r="U209" s="42"/>
      <c r="V209" s="42"/>
      <c r="W209" s="42"/>
      <c r="X209" s="42"/>
      <c r="Y209" s="42"/>
      <c r="Z209" s="42"/>
    </row>
    <row r="210" hidden="1">
      <c r="A210" s="34" t="str">
        <f>hyperlink("https://issues.sierrawireless.com/browse/OEMPRI-6211", "OEMPRI-6211")</f>
        <v>OEMPRI-6211</v>
      </c>
      <c r="B210" s="36" t="s">
        <v>1566</v>
      </c>
      <c r="C210" s="36" t="s">
        <v>469</v>
      </c>
      <c r="D210" s="38">
        <v>43144.0</v>
      </c>
      <c r="E210" s="39">
        <v>43161.0</v>
      </c>
      <c r="F210" s="36" t="s">
        <v>160</v>
      </c>
      <c r="G210" s="36" t="s">
        <v>329</v>
      </c>
      <c r="H210" s="40" t="s">
        <v>244</v>
      </c>
      <c r="I210" s="41">
        <v>43157.0</v>
      </c>
      <c r="J210" s="41">
        <v>43157.0</v>
      </c>
      <c r="K210" s="42"/>
      <c r="L210" s="42"/>
      <c r="M210" s="42"/>
      <c r="N210" s="42"/>
      <c r="O210" s="42"/>
      <c r="P210" s="42"/>
      <c r="Q210" s="42"/>
      <c r="R210" s="42"/>
      <c r="S210" s="42"/>
      <c r="T210" s="42"/>
      <c r="U210" s="42"/>
      <c r="V210" s="42"/>
      <c r="W210" s="42"/>
      <c r="X210" s="42"/>
      <c r="Y210" s="42"/>
      <c r="Z210" s="42"/>
    </row>
    <row r="211" hidden="1">
      <c r="A211" s="17" t="str">
        <f>hyperlink("https://issues.sierrawireless.com/browse/OEMPRI-6194", "OEMPRI-6194")</f>
        <v>OEMPRI-6194</v>
      </c>
      <c r="B211" s="19" t="s">
        <v>1582</v>
      </c>
      <c r="C211" s="19" t="s">
        <v>139</v>
      </c>
      <c r="D211" s="20">
        <v>43139.0</v>
      </c>
      <c r="E211" s="27">
        <v>43039.0</v>
      </c>
      <c r="F211" s="19" t="s">
        <v>166</v>
      </c>
      <c r="G211" s="19" t="s">
        <v>140</v>
      </c>
      <c r="H211" s="65" t="s">
        <v>140</v>
      </c>
      <c r="I211" s="32">
        <v>43185.0</v>
      </c>
      <c r="J211" s="32">
        <v>43185.0</v>
      </c>
      <c r="K211" s="9"/>
      <c r="L211" s="9"/>
      <c r="M211" s="9"/>
      <c r="N211" s="9"/>
      <c r="O211" s="9"/>
      <c r="P211" s="9"/>
      <c r="Q211" s="9"/>
      <c r="R211" s="9"/>
      <c r="S211" s="9"/>
      <c r="T211" s="9"/>
      <c r="U211" s="9"/>
      <c r="V211" s="9"/>
      <c r="W211" s="9"/>
      <c r="X211" s="9"/>
      <c r="Y211" s="9"/>
      <c r="Z211" s="9"/>
    </row>
    <row r="212" hidden="1">
      <c r="A212" s="34" t="str">
        <f>hyperlink("https://issues.sierrawireless.com/browse/OEMPRI-6197", "OEMPRI-6197")</f>
        <v>OEMPRI-6197</v>
      </c>
      <c r="B212" s="36" t="s">
        <v>1585</v>
      </c>
      <c r="C212" s="36" t="s">
        <v>139</v>
      </c>
      <c r="D212" s="38">
        <v>43139.0</v>
      </c>
      <c r="E212" s="39" t="s">
        <v>92</v>
      </c>
      <c r="F212" s="36" t="s">
        <v>166</v>
      </c>
      <c r="G212" s="36" t="s">
        <v>310</v>
      </c>
      <c r="H212" s="40" t="s">
        <v>310</v>
      </c>
      <c r="I212" s="41">
        <v>43136.0</v>
      </c>
      <c r="J212" s="41">
        <v>43140.0</v>
      </c>
      <c r="K212" s="42"/>
      <c r="L212" s="42"/>
      <c r="M212" s="42"/>
      <c r="N212" s="42"/>
      <c r="O212" s="42"/>
      <c r="P212" s="42"/>
      <c r="Q212" s="42"/>
      <c r="R212" s="42"/>
      <c r="S212" s="42"/>
      <c r="T212" s="42"/>
      <c r="U212" s="42"/>
      <c r="V212" s="42"/>
      <c r="W212" s="42"/>
      <c r="X212" s="42"/>
      <c r="Y212" s="42"/>
      <c r="Z212" s="42"/>
    </row>
    <row r="213" hidden="1">
      <c r="A213" s="34" t="str">
        <f>hyperlink("https://issues.sierrawireless.com/browse/OEMPRI-6195", "OEMPRI-6195")</f>
        <v>OEMPRI-6195</v>
      </c>
      <c r="B213" s="36" t="s">
        <v>1589</v>
      </c>
      <c r="C213" s="36" t="s">
        <v>139</v>
      </c>
      <c r="D213" s="38">
        <v>43139.0</v>
      </c>
      <c r="E213" s="39" t="s">
        <v>92</v>
      </c>
      <c r="F213" s="36" t="s">
        <v>166</v>
      </c>
      <c r="G213" s="36" t="s">
        <v>310</v>
      </c>
      <c r="H213" s="40" t="s">
        <v>310</v>
      </c>
      <c r="I213" s="41">
        <v>43136.0</v>
      </c>
      <c r="J213" s="41">
        <v>43140.0</v>
      </c>
      <c r="K213" s="42"/>
      <c r="L213" s="42"/>
      <c r="M213" s="42"/>
      <c r="N213" s="42"/>
      <c r="O213" s="42"/>
      <c r="P213" s="42"/>
      <c r="Q213" s="42"/>
      <c r="R213" s="42"/>
      <c r="S213" s="42"/>
      <c r="T213" s="42"/>
      <c r="U213" s="42"/>
      <c r="V213" s="42"/>
      <c r="W213" s="42"/>
      <c r="X213" s="42"/>
      <c r="Y213" s="42"/>
      <c r="Z213" s="42"/>
    </row>
    <row r="214" hidden="1">
      <c r="A214" s="34" t="str">
        <f>hyperlink("https://issues.sierrawireless.com/browse/OEMPRI-6157", "OEMPRI-6157")</f>
        <v>OEMPRI-6157</v>
      </c>
      <c r="B214" s="36" t="s">
        <v>1594</v>
      </c>
      <c r="C214" s="36" t="s">
        <v>139</v>
      </c>
      <c r="D214" s="38">
        <v>43137.0</v>
      </c>
      <c r="E214" s="39">
        <v>43140.0</v>
      </c>
      <c r="F214" s="36" t="s">
        <v>160</v>
      </c>
      <c r="G214" s="36" t="s">
        <v>148</v>
      </c>
      <c r="H214" s="40" t="s">
        <v>244</v>
      </c>
      <c r="I214" s="41">
        <v>43136.0</v>
      </c>
      <c r="J214" s="41">
        <v>43137.0</v>
      </c>
      <c r="K214" s="42"/>
      <c r="L214" s="42"/>
      <c r="M214" s="42"/>
      <c r="N214" s="42"/>
      <c r="O214" s="42"/>
      <c r="P214" s="42"/>
      <c r="Q214" s="42"/>
      <c r="R214" s="42"/>
      <c r="S214" s="42"/>
      <c r="T214" s="42"/>
      <c r="U214" s="42"/>
      <c r="V214" s="42"/>
      <c r="W214" s="42"/>
      <c r="X214" s="42"/>
      <c r="Y214" s="42"/>
      <c r="Z214" s="42"/>
    </row>
    <row r="215" hidden="1">
      <c r="A215" s="34" t="str">
        <f>hyperlink("https://issues.sierrawireless.com/browse/OEMPRI-6162", "OEMPRI-6162")</f>
        <v>OEMPRI-6162</v>
      </c>
      <c r="B215" s="36" t="s">
        <v>1604</v>
      </c>
      <c r="C215" s="36" t="s">
        <v>139</v>
      </c>
      <c r="D215" s="38">
        <v>43137.0</v>
      </c>
      <c r="E215" s="39" t="s">
        <v>92</v>
      </c>
      <c r="F215" s="36" t="s">
        <v>166</v>
      </c>
      <c r="G215" s="36" t="s">
        <v>310</v>
      </c>
      <c r="H215" s="40" t="s">
        <v>310</v>
      </c>
      <c r="I215" s="41">
        <v>43136.0</v>
      </c>
      <c r="J215" s="41">
        <v>43137.0</v>
      </c>
      <c r="K215" s="42"/>
      <c r="L215" s="42"/>
      <c r="M215" s="42"/>
      <c r="N215" s="42"/>
      <c r="O215" s="42"/>
      <c r="P215" s="42"/>
      <c r="Q215" s="42"/>
      <c r="R215" s="42"/>
      <c r="S215" s="42"/>
      <c r="T215" s="42"/>
      <c r="U215" s="42"/>
      <c r="V215" s="42"/>
      <c r="W215" s="42"/>
      <c r="X215" s="42"/>
      <c r="Y215" s="42"/>
      <c r="Z215" s="42"/>
    </row>
    <row r="216" hidden="1">
      <c r="A216" s="34" t="str">
        <f>hyperlink("https://issues.sierrawireless.com/browse/OEMPRI-6148", "OEMPRI-6148")</f>
        <v>OEMPRI-6148</v>
      </c>
      <c r="B216" s="36" t="s">
        <v>1608</v>
      </c>
      <c r="C216" s="36" t="s">
        <v>139</v>
      </c>
      <c r="D216" s="38">
        <v>43136.0</v>
      </c>
      <c r="E216" s="39">
        <v>43137.0</v>
      </c>
      <c r="F216" s="36" t="s">
        <v>160</v>
      </c>
      <c r="G216" s="36" t="s">
        <v>141</v>
      </c>
      <c r="H216" s="40" t="s">
        <v>141</v>
      </c>
      <c r="I216" s="41">
        <v>43136.0</v>
      </c>
      <c r="J216" s="41">
        <v>43139.0</v>
      </c>
      <c r="K216" s="42"/>
      <c r="L216" s="42"/>
      <c r="M216" s="42"/>
      <c r="N216" s="42"/>
      <c r="O216" s="42"/>
      <c r="P216" s="42"/>
      <c r="Q216" s="42"/>
      <c r="R216" s="42"/>
      <c r="S216" s="42"/>
      <c r="T216" s="42"/>
      <c r="U216" s="42"/>
      <c r="V216" s="42"/>
      <c r="W216" s="42"/>
      <c r="X216" s="42"/>
      <c r="Y216" s="42"/>
      <c r="Z216" s="42"/>
    </row>
    <row r="217" hidden="1">
      <c r="A217" s="17" t="str">
        <f>hyperlink("https://issues.sierrawireless.com/browse/OEMPRI-6149", "OEMPRI-6149")</f>
        <v>OEMPRI-6149</v>
      </c>
      <c r="B217" s="19" t="s">
        <v>1613</v>
      </c>
      <c r="C217" s="19" t="s">
        <v>86</v>
      </c>
      <c r="D217" s="20">
        <v>43136.0</v>
      </c>
      <c r="E217" s="27" t="s">
        <v>92</v>
      </c>
      <c r="F217" s="19" t="s">
        <v>166</v>
      </c>
      <c r="G217" s="19" t="s">
        <v>140</v>
      </c>
      <c r="H217" s="65" t="s">
        <v>140</v>
      </c>
      <c r="I217" s="32">
        <v>43185.0</v>
      </c>
      <c r="J217" s="32">
        <v>43185.0</v>
      </c>
      <c r="K217" s="9"/>
      <c r="L217" s="9"/>
      <c r="M217" s="9"/>
      <c r="N217" s="9"/>
      <c r="O217" s="9"/>
      <c r="P217" s="9"/>
      <c r="Q217" s="9"/>
      <c r="R217" s="9"/>
      <c r="S217" s="9"/>
      <c r="T217" s="9"/>
      <c r="U217" s="9"/>
      <c r="V217" s="9"/>
      <c r="W217" s="9"/>
      <c r="X217" s="9"/>
      <c r="Y217" s="9"/>
      <c r="Z217" s="9"/>
    </row>
    <row r="218" hidden="1">
      <c r="A218" s="34" t="str">
        <f>hyperlink("https://issues.sierrawireless.com/browse/OEMPRI-6150", "OEMPRI-6150")</f>
        <v>OEMPRI-6150</v>
      </c>
      <c r="B218" s="36" t="s">
        <v>1618</v>
      </c>
      <c r="C218" s="36" t="s">
        <v>139</v>
      </c>
      <c r="D218" s="38">
        <v>43136.0</v>
      </c>
      <c r="E218" s="39" t="s">
        <v>92</v>
      </c>
      <c r="F218" s="36" t="s">
        <v>166</v>
      </c>
      <c r="G218" s="36" t="s">
        <v>310</v>
      </c>
      <c r="H218" s="40" t="s">
        <v>310</v>
      </c>
      <c r="I218" s="41">
        <v>43136.0</v>
      </c>
      <c r="J218" s="41">
        <v>43136.0</v>
      </c>
      <c r="K218" s="42"/>
      <c r="L218" s="42"/>
      <c r="M218" s="42"/>
      <c r="N218" s="42"/>
      <c r="O218" s="42"/>
      <c r="P218" s="42"/>
      <c r="Q218" s="42"/>
      <c r="R218" s="42"/>
      <c r="S218" s="42"/>
      <c r="T218" s="42"/>
      <c r="U218" s="42"/>
      <c r="V218" s="42"/>
      <c r="W218" s="42"/>
      <c r="X218" s="42"/>
      <c r="Y218" s="42"/>
      <c r="Z218" s="42"/>
    </row>
    <row r="219" hidden="1">
      <c r="A219" s="90" t="str">
        <f>hyperlink("https://issues.sierrawireless.com/browse/OEMPRI-6151", "OEMPRI-6151")</f>
        <v>OEMPRI-6151</v>
      </c>
      <c r="B219" s="91" t="s">
        <v>1624</v>
      </c>
      <c r="C219" s="91" t="s">
        <v>139</v>
      </c>
      <c r="D219" s="92">
        <v>43136.0</v>
      </c>
      <c r="E219" s="93" t="s">
        <v>92</v>
      </c>
      <c r="F219" s="91" t="s">
        <v>398</v>
      </c>
      <c r="G219" s="91" t="s">
        <v>140</v>
      </c>
      <c r="H219" s="65" t="s">
        <v>140</v>
      </c>
      <c r="I219" s="95">
        <v>43185.0</v>
      </c>
      <c r="J219" s="95">
        <v>43185.0</v>
      </c>
      <c r="K219" s="96"/>
      <c r="L219" s="96"/>
      <c r="M219" s="96"/>
      <c r="N219" s="96"/>
      <c r="O219" s="96"/>
      <c r="P219" s="96"/>
      <c r="Q219" s="96"/>
      <c r="R219" s="96"/>
      <c r="S219" s="96"/>
      <c r="T219" s="96"/>
      <c r="U219" s="96"/>
      <c r="V219" s="96"/>
      <c r="W219" s="96"/>
      <c r="X219" s="96"/>
      <c r="Y219" s="96"/>
      <c r="Z219" s="96"/>
    </row>
    <row r="220" hidden="1">
      <c r="A220" s="97" t="s">
        <v>1625</v>
      </c>
      <c r="B220" s="98" t="s">
        <v>1627</v>
      </c>
      <c r="C220" s="98" t="s">
        <v>175</v>
      </c>
      <c r="D220" s="99">
        <v>43133.0</v>
      </c>
      <c r="E220" s="101" t="s">
        <v>92</v>
      </c>
      <c r="F220" s="98" t="s">
        <v>1629</v>
      </c>
      <c r="G220" s="98" t="s">
        <v>148</v>
      </c>
      <c r="H220" s="102" t="s">
        <v>726</v>
      </c>
      <c r="I220" s="103">
        <v>43157.0</v>
      </c>
      <c r="J220" s="103">
        <v>43157.0</v>
      </c>
      <c r="K220" s="89"/>
      <c r="L220" s="42"/>
      <c r="M220" s="42"/>
      <c r="N220" s="42"/>
      <c r="O220" s="42"/>
      <c r="P220" s="42"/>
      <c r="Q220" s="42"/>
      <c r="R220" s="42"/>
      <c r="S220" s="42"/>
      <c r="T220" s="42"/>
      <c r="U220" s="42"/>
      <c r="V220" s="42"/>
      <c r="W220" s="42"/>
      <c r="X220" s="42"/>
      <c r="Y220" s="42"/>
      <c r="Z220" s="42"/>
    </row>
    <row r="221" hidden="1">
      <c r="A221" s="34" t="str">
        <f>hyperlink("https://issues.sierrawireless.com/browse/OEMPRI-6118", "OEMPRI-6118")</f>
        <v>OEMPRI-6118</v>
      </c>
      <c r="B221" s="36" t="s">
        <v>1633</v>
      </c>
      <c r="C221" s="36" t="s">
        <v>139</v>
      </c>
      <c r="D221" s="38">
        <v>43133.0</v>
      </c>
      <c r="E221" s="39">
        <v>43059.0</v>
      </c>
      <c r="F221" s="36" t="s">
        <v>160</v>
      </c>
      <c r="G221" s="36" t="s">
        <v>141</v>
      </c>
      <c r="H221" s="40" t="s">
        <v>155</v>
      </c>
      <c r="I221" s="41">
        <v>43136.0</v>
      </c>
      <c r="J221" s="41">
        <v>43138.0</v>
      </c>
      <c r="K221" s="42"/>
      <c r="L221" s="42"/>
      <c r="M221" s="42"/>
      <c r="N221" s="42"/>
      <c r="O221" s="42"/>
      <c r="P221" s="42"/>
      <c r="Q221" s="42"/>
      <c r="R221" s="42"/>
      <c r="S221" s="42"/>
      <c r="T221" s="42"/>
      <c r="U221" s="42"/>
      <c r="V221" s="42"/>
      <c r="W221" s="42"/>
      <c r="X221" s="42"/>
      <c r="Y221" s="42"/>
      <c r="Z221" s="42"/>
    </row>
    <row r="222" hidden="1">
      <c r="A222" s="34" t="str">
        <f>hyperlink("https://issues.sierrawireless.com/browse/OEMPRI-6119", "OEMPRI-6119")</f>
        <v>OEMPRI-6119</v>
      </c>
      <c r="B222" s="36" t="s">
        <v>1640</v>
      </c>
      <c r="C222" s="36" t="s">
        <v>139</v>
      </c>
      <c r="D222" s="38">
        <v>43133.0</v>
      </c>
      <c r="E222" s="39">
        <v>43059.0</v>
      </c>
      <c r="F222" s="36" t="s">
        <v>160</v>
      </c>
      <c r="G222" s="36" t="s">
        <v>155</v>
      </c>
      <c r="H222" s="40" t="s">
        <v>155</v>
      </c>
      <c r="I222" s="41">
        <v>43136.0</v>
      </c>
      <c r="J222" s="41">
        <v>43138.0</v>
      </c>
      <c r="K222" s="42"/>
      <c r="L222" s="42"/>
      <c r="M222" s="42"/>
      <c r="N222" s="42"/>
      <c r="O222" s="42"/>
      <c r="P222" s="42"/>
      <c r="Q222" s="42"/>
      <c r="R222" s="42"/>
      <c r="S222" s="42"/>
      <c r="T222" s="42"/>
      <c r="U222" s="42"/>
      <c r="V222" s="42"/>
      <c r="W222" s="42"/>
      <c r="X222" s="42"/>
      <c r="Y222" s="42"/>
      <c r="Z222" s="42"/>
    </row>
    <row r="223" hidden="1">
      <c r="A223" s="34" t="str">
        <f>hyperlink("https://issues.sierrawireless.com/browse/OEMPRI-6121", "OEMPRI-6121")</f>
        <v>OEMPRI-6121</v>
      </c>
      <c r="B223" s="36" t="s">
        <v>1645</v>
      </c>
      <c r="C223" s="36" t="s">
        <v>139</v>
      </c>
      <c r="D223" s="38">
        <v>43133.0</v>
      </c>
      <c r="E223" s="39" t="s">
        <v>92</v>
      </c>
      <c r="F223" s="36" t="s">
        <v>176</v>
      </c>
      <c r="G223" s="36" t="s">
        <v>140</v>
      </c>
      <c r="H223" s="40" t="s">
        <v>155</v>
      </c>
      <c r="I223" s="41">
        <v>43129.0</v>
      </c>
      <c r="J223" s="41">
        <v>43133.0</v>
      </c>
      <c r="K223" s="42"/>
      <c r="L223" s="42"/>
      <c r="M223" s="42"/>
      <c r="N223" s="42"/>
      <c r="O223" s="42"/>
      <c r="P223" s="42"/>
      <c r="Q223" s="42"/>
      <c r="R223" s="42"/>
      <c r="S223" s="42"/>
      <c r="T223" s="42"/>
      <c r="U223" s="42"/>
      <c r="V223" s="42"/>
      <c r="W223" s="42"/>
      <c r="X223" s="42"/>
      <c r="Y223" s="42"/>
      <c r="Z223" s="42"/>
    </row>
    <row r="224" hidden="1">
      <c r="A224" s="34" t="str">
        <f>hyperlink("https://issues.sierrawireless.com/browse/OEMPRI-6127", "OEMPRI-6127")</f>
        <v>OEMPRI-6127</v>
      </c>
      <c r="B224" s="36" t="s">
        <v>1648</v>
      </c>
      <c r="C224" s="36" t="s">
        <v>139</v>
      </c>
      <c r="D224" s="38">
        <v>43133.0</v>
      </c>
      <c r="E224" s="39" t="s">
        <v>92</v>
      </c>
      <c r="F224" s="36" t="s">
        <v>166</v>
      </c>
      <c r="G224" s="36" t="s">
        <v>310</v>
      </c>
      <c r="H224" s="40" t="s">
        <v>310</v>
      </c>
      <c r="I224" s="41">
        <v>43129.0</v>
      </c>
      <c r="J224" s="41">
        <v>43133.0</v>
      </c>
      <c r="K224" s="42"/>
      <c r="L224" s="42"/>
      <c r="M224" s="42"/>
      <c r="N224" s="42"/>
      <c r="O224" s="42"/>
      <c r="P224" s="42"/>
      <c r="Q224" s="42"/>
      <c r="R224" s="42"/>
      <c r="S224" s="42"/>
      <c r="T224" s="42"/>
      <c r="U224" s="42"/>
      <c r="V224" s="42"/>
      <c r="W224" s="42"/>
      <c r="X224" s="42"/>
      <c r="Y224" s="42"/>
      <c r="Z224" s="42"/>
    </row>
    <row r="225" hidden="1">
      <c r="A225" s="34" t="str">
        <f>hyperlink("https://issues.sierrawireless.com/browse/OEMPRI-6128", "OEMPRI-6128")</f>
        <v>OEMPRI-6128</v>
      </c>
      <c r="B225" s="36" t="s">
        <v>1627</v>
      </c>
      <c r="C225" s="36" t="s">
        <v>175</v>
      </c>
      <c r="D225" s="38">
        <v>43133.0</v>
      </c>
      <c r="E225" s="39" t="s">
        <v>92</v>
      </c>
      <c r="F225" s="36" t="s">
        <v>1629</v>
      </c>
      <c r="G225" s="36" t="s">
        <v>148</v>
      </c>
      <c r="H225" s="40" t="s">
        <v>726</v>
      </c>
      <c r="I225" s="41">
        <v>43157.0</v>
      </c>
      <c r="J225" s="41">
        <v>43157.0</v>
      </c>
      <c r="K225" s="42"/>
      <c r="L225" s="42"/>
      <c r="M225" s="42"/>
      <c r="N225" s="42"/>
      <c r="O225" s="42"/>
      <c r="P225" s="42"/>
      <c r="Q225" s="42"/>
      <c r="R225" s="42"/>
      <c r="S225" s="42"/>
      <c r="T225" s="42"/>
      <c r="U225" s="42"/>
      <c r="V225" s="42"/>
      <c r="W225" s="42"/>
      <c r="X225" s="42"/>
      <c r="Y225" s="42"/>
      <c r="Z225" s="42"/>
    </row>
    <row r="226" hidden="1">
      <c r="A226" s="34" t="str">
        <f>hyperlink("https://issues.sierrawireless.com/browse/OEMPRI-6092", "OEMPRI-6092")</f>
        <v>OEMPRI-6092</v>
      </c>
      <c r="B226" s="36" t="s">
        <v>1657</v>
      </c>
      <c r="C226" s="36" t="s">
        <v>139</v>
      </c>
      <c r="D226" s="38">
        <v>43131.0</v>
      </c>
      <c r="E226" s="39" t="s">
        <v>92</v>
      </c>
      <c r="F226" s="36" t="s">
        <v>166</v>
      </c>
      <c r="G226" s="36" t="s">
        <v>310</v>
      </c>
      <c r="H226" s="40" t="s">
        <v>310</v>
      </c>
      <c r="I226" s="41">
        <v>43129.0</v>
      </c>
      <c r="J226" s="41">
        <v>43129.0</v>
      </c>
      <c r="K226" s="42"/>
      <c r="L226" s="42"/>
      <c r="M226" s="42"/>
      <c r="N226" s="42"/>
      <c r="O226" s="42"/>
      <c r="P226" s="42"/>
      <c r="Q226" s="42"/>
      <c r="R226" s="42"/>
      <c r="S226" s="42"/>
      <c r="T226" s="42"/>
      <c r="U226" s="42"/>
      <c r="V226" s="42"/>
      <c r="W226" s="42"/>
      <c r="X226" s="42"/>
      <c r="Y226" s="42"/>
      <c r="Z226" s="42"/>
    </row>
    <row r="227" hidden="1">
      <c r="A227" s="34" t="str">
        <f>hyperlink("https://issues.sierrawireless.com/browse/OEMPRI-6093", "OEMPRI-6093")</f>
        <v>OEMPRI-6093</v>
      </c>
      <c r="B227" s="36" t="s">
        <v>1662</v>
      </c>
      <c r="C227" s="36" t="s">
        <v>139</v>
      </c>
      <c r="D227" s="38">
        <v>43131.0</v>
      </c>
      <c r="E227" s="39" t="s">
        <v>92</v>
      </c>
      <c r="F227" s="36" t="s">
        <v>166</v>
      </c>
      <c r="G227" s="36" t="s">
        <v>310</v>
      </c>
      <c r="H227" s="40" t="s">
        <v>310</v>
      </c>
      <c r="I227" s="41">
        <v>43129.0</v>
      </c>
      <c r="J227" s="41">
        <v>43129.0</v>
      </c>
      <c r="K227" s="42"/>
      <c r="L227" s="42"/>
      <c r="M227" s="42"/>
      <c r="N227" s="42"/>
      <c r="O227" s="42"/>
      <c r="P227" s="42"/>
      <c r="Q227" s="42"/>
      <c r="R227" s="42"/>
      <c r="S227" s="42"/>
      <c r="T227" s="42"/>
      <c r="U227" s="42"/>
      <c r="V227" s="42"/>
      <c r="W227" s="42"/>
      <c r="X227" s="42"/>
      <c r="Y227" s="42"/>
      <c r="Z227" s="42"/>
    </row>
    <row r="228" hidden="1">
      <c r="A228" s="34" t="str">
        <f>hyperlink("https://issues.sierrawireless.com/browse/OEMPRI-6089", "OEMPRI-6089")</f>
        <v>OEMPRI-6089</v>
      </c>
      <c r="B228" s="36" t="s">
        <v>1668</v>
      </c>
      <c r="C228" s="36" t="s">
        <v>139</v>
      </c>
      <c r="D228" s="38">
        <v>43130.0</v>
      </c>
      <c r="E228" s="39" t="s">
        <v>92</v>
      </c>
      <c r="F228" s="36" t="s">
        <v>166</v>
      </c>
      <c r="G228" s="36" t="s">
        <v>310</v>
      </c>
      <c r="H228" s="40" t="s">
        <v>310</v>
      </c>
      <c r="I228" s="41">
        <v>43129.0</v>
      </c>
      <c r="J228" s="41">
        <v>43129.0</v>
      </c>
      <c r="K228" s="42"/>
      <c r="L228" s="42"/>
      <c r="M228" s="42"/>
      <c r="N228" s="42"/>
      <c r="O228" s="42"/>
      <c r="P228" s="42"/>
      <c r="Q228" s="42"/>
      <c r="R228" s="42"/>
      <c r="S228" s="42"/>
      <c r="T228" s="42"/>
      <c r="U228" s="42"/>
      <c r="V228" s="42"/>
      <c r="W228" s="42"/>
      <c r="X228" s="42"/>
      <c r="Y228" s="42"/>
      <c r="Z228" s="42"/>
    </row>
    <row r="229" hidden="1">
      <c r="A229" s="34" t="str">
        <f>hyperlink("https://issues.sierrawireless.com/browse/OEMPRI-6074", "OEMPRI-6074")</f>
        <v>OEMPRI-6074</v>
      </c>
      <c r="B229" s="36" t="s">
        <v>1673</v>
      </c>
      <c r="C229" s="36" t="s">
        <v>139</v>
      </c>
      <c r="D229" s="38">
        <v>43129.0</v>
      </c>
      <c r="E229" s="39">
        <v>43131.0</v>
      </c>
      <c r="F229" s="36" t="s">
        <v>160</v>
      </c>
      <c r="G229" s="36" t="s">
        <v>140</v>
      </c>
      <c r="H229" s="40" t="s">
        <v>609</v>
      </c>
      <c r="I229" s="41">
        <v>43129.0</v>
      </c>
      <c r="J229" s="41">
        <v>43131.0</v>
      </c>
      <c r="K229" s="42"/>
      <c r="L229" s="42"/>
      <c r="M229" s="42"/>
      <c r="N229" s="42"/>
      <c r="O229" s="42"/>
      <c r="P229" s="42"/>
      <c r="Q229" s="42"/>
      <c r="R229" s="42"/>
      <c r="S229" s="42"/>
      <c r="T229" s="42"/>
      <c r="U229" s="42"/>
      <c r="V229" s="42"/>
      <c r="W229" s="42"/>
      <c r="X229" s="42"/>
      <c r="Y229" s="42"/>
      <c r="Z229" s="42"/>
    </row>
    <row r="230" hidden="1">
      <c r="A230" s="17" t="str">
        <f>hyperlink("https://issues.sierrawireless.com/browse/OEMPRI-6075", "OEMPRI-6075")</f>
        <v>OEMPRI-6075</v>
      </c>
      <c r="B230" s="19" t="s">
        <v>1679</v>
      </c>
      <c r="C230" s="19" t="s">
        <v>86</v>
      </c>
      <c r="D230" s="20">
        <v>43129.0</v>
      </c>
      <c r="E230" s="27" t="s">
        <v>92</v>
      </c>
      <c r="F230" s="19" t="s">
        <v>160</v>
      </c>
      <c r="G230" s="19" t="s">
        <v>140</v>
      </c>
      <c r="H230" s="65" t="s">
        <v>140</v>
      </c>
      <c r="I230" s="32">
        <v>43185.0</v>
      </c>
      <c r="J230" s="32">
        <v>43185.0</v>
      </c>
      <c r="K230" s="9"/>
      <c r="L230" s="9"/>
      <c r="M230" s="9"/>
      <c r="N230" s="9"/>
      <c r="O230" s="9"/>
      <c r="P230" s="9"/>
      <c r="Q230" s="9"/>
      <c r="R230" s="9"/>
      <c r="S230" s="9"/>
      <c r="T230" s="9"/>
      <c r="U230" s="9"/>
      <c r="V230" s="9"/>
      <c r="W230" s="9"/>
      <c r="X230" s="9"/>
      <c r="Y230" s="9"/>
      <c r="Z230" s="9"/>
    </row>
    <row r="231" hidden="1">
      <c r="A231" s="34" t="str">
        <f>hyperlink("https://issues.sierrawireless.com/browse/OEMPRI-6076", "OEMPRI-6076")</f>
        <v>OEMPRI-6076</v>
      </c>
      <c r="B231" s="36" t="s">
        <v>1684</v>
      </c>
      <c r="C231" s="36" t="s">
        <v>139</v>
      </c>
      <c r="D231" s="38">
        <v>43129.0</v>
      </c>
      <c r="E231" s="39">
        <v>43132.0</v>
      </c>
      <c r="F231" s="36" t="s">
        <v>160</v>
      </c>
      <c r="G231" s="36" t="s">
        <v>140</v>
      </c>
      <c r="H231" s="40" t="s">
        <v>609</v>
      </c>
      <c r="I231" s="41">
        <v>43129.0</v>
      </c>
      <c r="J231" s="41">
        <v>43132.0</v>
      </c>
      <c r="K231" s="42"/>
      <c r="L231" s="42"/>
      <c r="M231" s="42"/>
      <c r="N231" s="42"/>
      <c r="O231" s="42"/>
      <c r="P231" s="42"/>
      <c r="Q231" s="42"/>
      <c r="R231" s="42"/>
      <c r="S231" s="42"/>
      <c r="T231" s="42"/>
      <c r="U231" s="42"/>
      <c r="V231" s="42"/>
      <c r="W231" s="42"/>
      <c r="X231" s="42"/>
      <c r="Y231" s="42"/>
      <c r="Z231" s="42"/>
    </row>
    <row r="232" hidden="1">
      <c r="A232" s="34" t="str">
        <f>hyperlink("https://issues.sierrawireless.com/browse/ELAND-360", "ELAND-360")</f>
        <v>ELAND-360</v>
      </c>
      <c r="B232" s="36" t="s">
        <v>1690</v>
      </c>
      <c r="C232" s="36" t="s">
        <v>196</v>
      </c>
      <c r="D232" s="38">
        <v>43129.0</v>
      </c>
      <c r="E232" s="39">
        <v>43131.0</v>
      </c>
      <c r="F232" s="36" t="s">
        <v>166</v>
      </c>
      <c r="G232" s="36" t="s">
        <v>609</v>
      </c>
      <c r="H232" s="40" t="s">
        <v>609</v>
      </c>
      <c r="I232" s="41">
        <v>43129.0</v>
      </c>
      <c r="J232" s="41">
        <v>43131.0</v>
      </c>
      <c r="K232" s="42"/>
      <c r="L232" s="42"/>
      <c r="M232" s="42"/>
      <c r="N232" s="42"/>
      <c r="O232" s="42"/>
      <c r="P232" s="42"/>
      <c r="Q232" s="42"/>
      <c r="R232" s="42"/>
      <c r="S232" s="42"/>
      <c r="T232" s="42"/>
      <c r="U232" s="42"/>
      <c r="V232" s="42"/>
      <c r="W232" s="42"/>
      <c r="X232" s="42"/>
      <c r="Y232" s="42"/>
      <c r="Z232" s="42"/>
    </row>
    <row r="233" hidden="1">
      <c r="A233" s="34" t="str">
        <f>hyperlink("https://issues.sierrawireless.com/browse/ELAND-359", "ELAND-359")</f>
        <v>ELAND-359</v>
      </c>
      <c r="B233" s="36" t="s">
        <v>1695</v>
      </c>
      <c r="C233" s="36" t="s">
        <v>139</v>
      </c>
      <c r="D233" s="38">
        <v>43129.0</v>
      </c>
      <c r="E233" s="39">
        <v>43131.0</v>
      </c>
      <c r="F233" s="36" t="s">
        <v>166</v>
      </c>
      <c r="G233" s="36" t="s">
        <v>155</v>
      </c>
      <c r="H233" s="40" t="s">
        <v>609</v>
      </c>
      <c r="I233" s="41">
        <v>43129.0</v>
      </c>
      <c r="J233" s="41">
        <v>43131.0</v>
      </c>
      <c r="K233" s="42"/>
      <c r="L233" s="42"/>
      <c r="M233" s="42"/>
      <c r="N233" s="42"/>
      <c r="O233" s="42"/>
      <c r="P233" s="42"/>
      <c r="Q233" s="42"/>
      <c r="R233" s="42"/>
      <c r="S233" s="42"/>
      <c r="T233" s="42"/>
      <c r="U233" s="42"/>
      <c r="V233" s="42"/>
      <c r="W233" s="42"/>
      <c r="X233" s="42"/>
      <c r="Y233" s="42"/>
      <c r="Z233" s="42"/>
    </row>
    <row r="234" hidden="1">
      <c r="A234" s="34" t="str">
        <f>hyperlink("https://issues.sierrawireless.com/browse/OEMPRI-6065", "OEMPRI-6065")</f>
        <v>OEMPRI-6065</v>
      </c>
      <c r="B234" s="36" t="s">
        <v>1701</v>
      </c>
      <c r="C234" s="36" t="s">
        <v>139</v>
      </c>
      <c r="D234" s="38">
        <v>43126.0</v>
      </c>
      <c r="E234" s="39" t="s">
        <v>92</v>
      </c>
      <c r="F234" s="36" t="s">
        <v>176</v>
      </c>
      <c r="G234" s="36" t="s">
        <v>337</v>
      </c>
      <c r="H234" s="40" t="s">
        <v>337</v>
      </c>
      <c r="I234" s="41">
        <v>43136.0</v>
      </c>
      <c r="J234" s="41">
        <v>43133.0</v>
      </c>
      <c r="K234" s="42"/>
      <c r="L234" s="42"/>
      <c r="M234" s="42"/>
      <c r="N234" s="42"/>
      <c r="O234" s="42"/>
      <c r="P234" s="42"/>
      <c r="Q234" s="42"/>
      <c r="R234" s="42"/>
      <c r="S234" s="42"/>
      <c r="T234" s="42"/>
      <c r="U234" s="42"/>
      <c r="V234" s="42"/>
      <c r="W234" s="42"/>
      <c r="X234" s="42"/>
      <c r="Y234" s="42"/>
      <c r="Z234" s="42"/>
    </row>
    <row r="235" hidden="1">
      <c r="A235" s="97" t="s">
        <v>1704</v>
      </c>
      <c r="B235" s="98" t="s">
        <v>1706</v>
      </c>
      <c r="C235" s="98" t="s">
        <v>139</v>
      </c>
      <c r="D235" s="99">
        <v>43125.0</v>
      </c>
      <c r="E235" s="101" t="s">
        <v>92</v>
      </c>
      <c r="F235" s="98" t="s">
        <v>176</v>
      </c>
      <c r="G235" s="98" t="s">
        <v>148</v>
      </c>
      <c r="H235" s="102" t="s">
        <v>177</v>
      </c>
      <c r="I235" s="103">
        <v>43157.0</v>
      </c>
      <c r="J235" s="103">
        <v>43157.0</v>
      </c>
      <c r="K235" s="89"/>
      <c r="L235" s="42"/>
      <c r="M235" s="42"/>
      <c r="N235" s="42"/>
      <c r="O235" s="42"/>
      <c r="P235" s="42"/>
      <c r="Q235" s="42"/>
      <c r="R235" s="42"/>
      <c r="S235" s="42"/>
      <c r="T235" s="42"/>
      <c r="U235" s="42"/>
      <c r="V235" s="42"/>
      <c r="W235" s="42"/>
      <c r="X235" s="42"/>
      <c r="Y235" s="42"/>
      <c r="Z235" s="42"/>
    </row>
    <row r="236" hidden="1">
      <c r="A236" s="97" t="s">
        <v>1707</v>
      </c>
      <c r="B236" s="98" t="s">
        <v>1710</v>
      </c>
      <c r="C236" s="98" t="s">
        <v>139</v>
      </c>
      <c r="D236" s="99">
        <v>43125.0</v>
      </c>
      <c r="E236" s="100">
        <v>43021.0</v>
      </c>
      <c r="F236" s="101" t="s">
        <v>176</v>
      </c>
      <c r="G236" s="98" t="s">
        <v>148</v>
      </c>
      <c r="H236" s="102" t="s">
        <v>177</v>
      </c>
      <c r="I236" s="103">
        <v>43157.0</v>
      </c>
      <c r="J236" s="103">
        <v>43158.0</v>
      </c>
      <c r="K236" s="89"/>
      <c r="L236" s="42"/>
      <c r="M236" s="42"/>
      <c r="N236" s="42"/>
      <c r="O236" s="42"/>
      <c r="P236" s="42"/>
      <c r="Q236" s="42"/>
      <c r="R236" s="42"/>
      <c r="S236" s="42"/>
      <c r="T236" s="42"/>
      <c r="U236" s="42"/>
      <c r="V236" s="42"/>
      <c r="W236" s="42"/>
      <c r="X236" s="42"/>
      <c r="Y236" s="42"/>
      <c r="Z236" s="42"/>
    </row>
    <row r="237" hidden="1">
      <c r="A237" s="34" t="str">
        <f>hyperlink("https://issues.sierrawireless.com/browse/OEMPRI-6036", "OEMPRI-6036")</f>
        <v>OEMPRI-6036</v>
      </c>
      <c r="B237" s="36" t="s">
        <v>1710</v>
      </c>
      <c r="C237" s="36" t="s">
        <v>139</v>
      </c>
      <c r="D237" s="38">
        <v>43125.0</v>
      </c>
      <c r="E237" s="39">
        <v>43021.0</v>
      </c>
      <c r="F237" s="36" t="s">
        <v>176</v>
      </c>
      <c r="G237" s="36" t="s">
        <v>337</v>
      </c>
      <c r="H237" s="40" t="s">
        <v>177</v>
      </c>
      <c r="I237" s="41">
        <v>43157.0</v>
      </c>
      <c r="J237" s="41">
        <v>43158.0</v>
      </c>
      <c r="K237" s="89"/>
      <c r="L237" s="42"/>
      <c r="M237" s="42"/>
      <c r="N237" s="42"/>
      <c r="O237" s="42"/>
      <c r="P237" s="42"/>
      <c r="Q237" s="42"/>
      <c r="R237" s="42"/>
      <c r="S237" s="42"/>
      <c r="T237" s="42"/>
      <c r="U237" s="42"/>
      <c r="V237" s="42"/>
      <c r="W237" s="42"/>
      <c r="X237" s="42"/>
      <c r="Y237" s="42"/>
      <c r="Z237" s="42"/>
    </row>
    <row r="238" hidden="1">
      <c r="A238" s="34" t="str">
        <f>hyperlink("https://issues.sierrawireless.com/browse/OEMPRI-6051", "OEMPRI-6051")</f>
        <v>OEMPRI-6051</v>
      </c>
      <c r="B238" s="36" t="s">
        <v>1719</v>
      </c>
      <c r="C238" s="36" t="s">
        <v>139</v>
      </c>
      <c r="D238" s="38">
        <v>43125.0</v>
      </c>
      <c r="E238" s="39">
        <v>43131.0</v>
      </c>
      <c r="F238" s="36" t="s">
        <v>160</v>
      </c>
      <c r="G238" s="36" t="s">
        <v>140</v>
      </c>
      <c r="H238" s="40" t="s">
        <v>609</v>
      </c>
      <c r="I238" s="41">
        <v>43129.0</v>
      </c>
      <c r="J238" s="41">
        <v>43131.0</v>
      </c>
      <c r="K238" s="42"/>
      <c r="L238" s="42"/>
      <c r="M238" s="42"/>
      <c r="N238" s="42"/>
      <c r="O238" s="42"/>
      <c r="P238" s="42"/>
      <c r="Q238" s="42"/>
      <c r="R238" s="42"/>
      <c r="S238" s="42"/>
      <c r="T238" s="42"/>
      <c r="U238" s="42"/>
      <c r="V238" s="42"/>
      <c r="W238" s="42"/>
      <c r="X238" s="42"/>
      <c r="Y238" s="42"/>
      <c r="Z238" s="42"/>
    </row>
    <row r="239" hidden="1">
      <c r="A239" s="34" t="str">
        <f>hyperlink("https://issues.sierrawireless.com/browse/OEMPRI-6053", "OEMPRI-6053")</f>
        <v>OEMPRI-6053</v>
      </c>
      <c r="B239" s="36" t="s">
        <v>1723</v>
      </c>
      <c r="C239" s="36" t="s">
        <v>139</v>
      </c>
      <c r="D239" s="38">
        <v>43125.0</v>
      </c>
      <c r="E239" s="39">
        <v>43132.0</v>
      </c>
      <c r="F239" s="36" t="s">
        <v>160</v>
      </c>
      <c r="G239" s="36" t="s">
        <v>140</v>
      </c>
      <c r="H239" s="40" t="s">
        <v>609</v>
      </c>
      <c r="I239" s="41">
        <v>43129.0</v>
      </c>
      <c r="J239" s="41">
        <v>43132.0</v>
      </c>
      <c r="K239" s="42"/>
      <c r="L239" s="42"/>
      <c r="M239" s="42"/>
      <c r="N239" s="42"/>
      <c r="O239" s="42"/>
      <c r="P239" s="42"/>
      <c r="Q239" s="42"/>
      <c r="R239" s="42"/>
      <c r="S239" s="42"/>
      <c r="T239" s="42"/>
      <c r="U239" s="42"/>
      <c r="V239" s="42"/>
      <c r="W239" s="42"/>
      <c r="X239" s="42"/>
      <c r="Y239" s="42"/>
      <c r="Z239" s="42"/>
    </row>
    <row r="240" hidden="1">
      <c r="A240" s="34" t="str">
        <f>hyperlink("https://issues.sierrawireless.com/browse/OEMPRI-6055", "OEMPRI-6055")</f>
        <v>OEMPRI-6055</v>
      </c>
      <c r="B240" s="36" t="s">
        <v>1726</v>
      </c>
      <c r="C240" s="36" t="s">
        <v>139</v>
      </c>
      <c r="D240" s="38">
        <v>43125.0</v>
      </c>
      <c r="E240" s="39">
        <v>43133.0</v>
      </c>
      <c r="F240" s="36" t="s">
        <v>160</v>
      </c>
      <c r="G240" s="36" t="s">
        <v>148</v>
      </c>
      <c r="H240" s="40" t="s">
        <v>609</v>
      </c>
      <c r="I240" s="41">
        <v>43136.0</v>
      </c>
      <c r="J240" s="41">
        <v>43136.0</v>
      </c>
      <c r="K240" s="42"/>
      <c r="L240" s="42"/>
      <c r="M240" s="42"/>
      <c r="N240" s="42"/>
      <c r="O240" s="42"/>
      <c r="P240" s="42"/>
      <c r="Q240" s="42"/>
      <c r="R240" s="42"/>
      <c r="S240" s="42"/>
      <c r="T240" s="42"/>
      <c r="U240" s="42"/>
      <c r="V240" s="42"/>
      <c r="W240" s="42"/>
      <c r="X240" s="42"/>
      <c r="Y240" s="42"/>
      <c r="Z240" s="42"/>
    </row>
    <row r="241" hidden="1">
      <c r="A241" s="34" t="str">
        <f>hyperlink("https://issues.sierrawireless.com/browse/OEMPRI-5988", "OEMPRI-5988")</f>
        <v>OEMPRI-5988</v>
      </c>
      <c r="B241" s="36" t="s">
        <v>1733</v>
      </c>
      <c r="C241" s="36" t="s">
        <v>139</v>
      </c>
      <c r="D241" s="38">
        <v>43124.0</v>
      </c>
      <c r="E241" s="39">
        <v>43125.0</v>
      </c>
      <c r="F241" s="36" t="s">
        <v>176</v>
      </c>
      <c r="G241" s="36" t="s">
        <v>155</v>
      </c>
      <c r="H241" s="40" t="s">
        <v>155</v>
      </c>
      <c r="I241" s="41">
        <v>43122.0</v>
      </c>
      <c r="J241" s="41"/>
      <c r="K241" s="42"/>
      <c r="L241" s="42"/>
      <c r="M241" s="42"/>
      <c r="N241" s="42"/>
      <c r="O241" s="42"/>
      <c r="P241" s="42"/>
      <c r="Q241" s="42"/>
      <c r="R241" s="42"/>
      <c r="S241" s="42"/>
      <c r="T241" s="42"/>
      <c r="U241" s="42"/>
      <c r="V241" s="42"/>
      <c r="W241" s="42"/>
      <c r="X241" s="42"/>
      <c r="Y241" s="42"/>
      <c r="Z241" s="42"/>
    </row>
    <row r="242" hidden="1">
      <c r="A242" s="34" t="str">
        <f>hyperlink("https://issues.sierrawireless.com/browse/OEMPRI-6004", "OEMPRI-6004")</f>
        <v>OEMPRI-6004</v>
      </c>
      <c r="B242" s="36" t="s">
        <v>1738</v>
      </c>
      <c r="C242" s="36" t="s">
        <v>139</v>
      </c>
      <c r="D242" s="38">
        <v>43124.0</v>
      </c>
      <c r="E242" s="39">
        <v>43021.0</v>
      </c>
      <c r="F242" s="36" t="s">
        <v>176</v>
      </c>
      <c r="G242" s="36" t="s">
        <v>148</v>
      </c>
      <c r="H242" s="40" t="s">
        <v>177</v>
      </c>
      <c r="I242" s="41">
        <v>43136.0</v>
      </c>
      <c r="J242" s="41">
        <v>43133.0</v>
      </c>
      <c r="K242" s="89"/>
      <c r="L242" s="42"/>
      <c r="M242" s="42"/>
      <c r="N242" s="42"/>
      <c r="O242" s="42"/>
      <c r="P242" s="42"/>
      <c r="Q242" s="42"/>
      <c r="R242" s="42"/>
      <c r="S242" s="42"/>
      <c r="T242" s="42"/>
      <c r="U242" s="42"/>
      <c r="V242" s="42"/>
      <c r="W242" s="42"/>
      <c r="X242" s="42"/>
      <c r="Y242" s="42"/>
      <c r="Z242" s="42"/>
    </row>
    <row r="243" hidden="1">
      <c r="A243" s="34" t="str">
        <f>hyperlink("https://issues.sierrawireless.com/browse/OEMPRI-6010", "OEMPRI-6010")</f>
        <v>OEMPRI-6010</v>
      </c>
      <c r="B243" s="36" t="s">
        <v>1742</v>
      </c>
      <c r="C243" s="36" t="s">
        <v>139</v>
      </c>
      <c r="D243" s="38">
        <v>43124.0</v>
      </c>
      <c r="E243" s="39" t="s">
        <v>92</v>
      </c>
      <c r="F243" s="36" t="s">
        <v>166</v>
      </c>
      <c r="G243" s="36" t="s">
        <v>148</v>
      </c>
      <c r="H243" s="40" t="s">
        <v>310</v>
      </c>
      <c r="I243" s="41">
        <v>43122.0</v>
      </c>
      <c r="J243" s="41"/>
      <c r="K243" s="42"/>
      <c r="L243" s="42"/>
      <c r="M243" s="42"/>
      <c r="N243" s="42"/>
      <c r="O243" s="42"/>
      <c r="P243" s="42"/>
      <c r="Q243" s="42"/>
      <c r="R243" s="42"/>
      <c r="S243" s="42"/>
      <c r="T243" s="42"/>
      <c r="U243" s="42"/>
      <c r="V243" s="42"/>
      <c r="W243" s="42"/>
      <c r="X243" s="42"/>
      <c r="Y243" s="42"/>
      <c r="Z243" s="42"/>
    </row>
    <row r="244" hidden="1">
      <c r="A244" s="34" t="str">
        <f>hyperlink("https://issues.sierrawireless.com/browse/OEMPRI-6012", "OEMPRI-6012")</f>
        <v>OEMPRI-6012</v>
      </c>
      <c r="B244" s="36" t="s">
        <v>1388</v>
      </c>
      <c r="C244" s="36" t="s">
        <v>139</v>
      </c>
      <c r="D244" s="38">
        <v>43124.0</v>
      </c>
      <c r="E244" s="39">
        <v>43129.0</v>
      </c>
      <c r="F244" s="36" t="s">
        <v>147</v>
      </c>
      <c r="G244" s="36" t="s">
        <v>148</v>
      </c>
      <c r="H244" s="40" t="s">
        <v>149</v>
      </c>
      <c r="I244" s="41">
        <v>43136.0</v>
      </c>
      <c r="J244" s="41">
        <v>43136.0</v>
      </c>
      <c r="K244" s="89" t="s">
        <v>1746</v>
      </c>
      <c r="L244" s="42"/>
      <c r="M244" s="42"/>
      <c r="N244" s="42"/>
      <c r="O244" s="42"/>
      <c r="P244" s="42"/>
      <c r="Q244" s="42"/>
      <c r="R244" s="42"/>
      <c r="S244" s="42"/>
      <c r="T244" s="42"/>
      <c r="U244" s="42"/>
      <c r="V244" s="42"/>
      <c r="W244" s="42"/>
      <c r="X244" s="42"/>
      <c r="Y244" s="42"/>
      <c r="Z244" s="42"/>
    </row>
    <row r="245" hidden="1">
      <c r="A245" s="34" t="str">
        <f>hyperlink("https://issues.sierrawireless.com/browse/OEMPRI-6014", "OEMPRI-6014")</f>
        <v>OEMPRI-6014</v>
      </c>
      <c r="B245" s="36" t="s">
        <v>1752</v>
      </c>
      <c r="C245" s="36" t="s">
        <v>175</v>
      </c>
      <c r="D245" s="38">
        <v>43124.0</v>
      </c>
      <c r="E245" s="39" t="s">
        <v>92</v>
      </c>
      <c r="F245" s="36" t="s">
        <v>176</v>
      </c>
      <c r="G245" s="36" t="s">
        <v>148</v>
      </c>
      <c r="H245" s="40" t="s">
        <v>148</v>
      </c>
      <c r="I245" s="41">
        <v>43122.0</v>
      </c>
      <c r="J245" s="41">
        <v>43124.0</v>
      </c>
      <c r="K245" s="42"/>
      <c r="L245" s="42"/>
      <c r="M245" s="42"/>
      <c r="N245" s="42"/>
      <c r="O245" s="42"/>
      <c r="P245" s="42"/>
      <c r="Q245" s="42"/>
      <c r="R245" s="42"/>
      <c r="S245" s="42"/>
      <c r="T245" s="42"/>
      <c r="U245" s="42"/>
      <c r="V245" s="42"/>
      <c r="W245" s="42"/>
      <c r="X245" s="42"/>
      <c r="Y245" s="42"/>
      <c r="Z245" s="42"/>
    </row>
    <row r="246" hidden="1">
      <c r="A246" s="97" t="s">
        <v>1755</v>
      </c>
      <c r="B246" s="98" t="s">
        <v>1756</v>
      </c>
      <c r="C246" s="98" t="s">
        <v>175</v>
      </c>
      <c r="D246" s="99">
        <v>43123.0</v>
      </c>
      <c r="E246" s="101" t="s">
        <v>92</v>
      </c>
      <c r="F246" s="98" t="s">
        <v>1629</v>
      </c>
      <c r="G246" s="98" t="s">
        <v>148</v>
      </c>
      <c r="H246" s="102" t="s">
        <v>726</v>
      </c>
      <c r="I246" s="103">
        <v>43157.0</v>
      </c>
      <c r="J246" s="103">
        <v>43157.0</v>
      </c>
      <c r="K246" s="89"/>
      <c r="L246" s="42"/>
      <c r="M246" s="42"/>
      <c r="N246" s="42"/>
      <c r="O246" s="42"/>
      <c r="P246" s="42"/>
      <c r="Q246" s="42"/>
      <c r="R246" s="42"/>
      <c r="S246" s="42"/>
      <c r="T246" s="42"/>
      <c r="U246" s="42"/>
      <c r="V246" s="42"/>
      <c r="W246" s="42"/>
      <c r="X246" s="42"/>
      <c r="Y246" s="42"/>
      <c r="Z246" s="42"/>
    </row>
    <row r="247" hidden="1">
      <c r="A247" s="97" t="s">
        <v>1759</v>
      </c>
      <c r="B247" s="98" t="s">
        <v>1760</v>
      </c>
      <c r="C247" s="98" t="s">
        <v>175</v>
      </c>
      <c r="D247" s="99">
        <v>43123.0</v>
      </c>
      <c r="E247" s="101" t="s">
        <v>92</v>
      </c>
      <c r="F247" s="98" t="s">
        <v>1629</v>
      </c>
      <c r="G247" s="98" t="s">
        <v>148</v>
      </c>
      <c r="H247" s="102" t="s">
        <v>726</v>
      </c>
      <c r="I247" s="103">
        <v>43157.0</v>
      </c>
      <c r="J247" s="103">
        <v>43157.0</v>
      </c>
      <c r="K247" s="9"/>
      <c r="L247" s="9"/>
      <c r="M247" s="9"/>
      <c r="N247" s="9"/>
      <c r="O247" s="9"/>
      <c r="P247" s="9"/>
      <c r="Q247" s="9"/>
      <c r="R247" s="9"/>
      <c r="S247" s="9"/>
      <c r="T247" s="9"/>
      <c r="U247" s="9"/>
      <c r="V247" s="9"/>
      <c r="W247" s="9"/>
      <c r="X247" s="9"/>
      <c r="Y247" s="9"/>
      <c r="Z247" s="9"/>
    </row>
    <row r="248" hidden="1">
      <c r="A248" s="97" t="s">
        <v>1764</v>
      </c>
      <c r="B248" s="98" t="s">
        <v>1765</v>
      </c>
      <c r="C248" s="98" t="s">
        <v>175</v>
      </c>
      <c r="D248" s="99">
        <v>43123.0</v>
      </c>
      <c r="E248" s="101" t="s">
        <v>92</v>
      </c>
      <c r="F248" s="98" t="s">
        <v>1629</v>
      </c>
      <c r="G248" s="98" t="s">
        <v>148</v>
      </c>
      <c r="H248" s="102" t="s">
        <v>726</v>
      </c>
      <c r="I248" s="103">
        <v>43157.0</v>
      </c>
      <c r="J248" s="103">
        <v>43157.0</v>
      </c>
      <c r="K248" s="9"/>
      <c r="L248" s="9"/>
      <c r="M248" s="9"/>
      <c r="N248" s="9"/>
      <c r="O248" s="9"/>
      <c r="P248" s="9"/>
      <c r="Q248" s="9"/>
      <c r="R248" s="9"/>
      <c r="S248" s="9"/>
      <c r="T248" s="9"/>
      <c r="U248" s="9"/>
      <c r="V248" s="9"/>
      <c r="W248" s="9"/>
      <c r="X248" s="9"/>
      <c r="Y248" s="9"/>
      <c r="Z248" s="9"/>
    </row>
    <row r="249" hidden="1">
      <c r="A249" s="97" t="s">
        <v>1768</v>
      </c>
      <c r="B249" s="98" t="s">
        <v>1769</v>
      </c>
      <c r="C249" s="98" t="s">
        <v>175</v>
      </c>
      <c r="D249" s="99">
        <v>43123.0</v>
      </c>
      <c r="E249" s="101" t="s">
        <v>92</v>
      </c>
      <c r="F249" s="98" t="s">
        <v>1629</v>
      </c>
      <c r="G249" s="98" t="s">
        <v>148</v>
      </c>
      <c r="H249" s="102" t="s">
        <v>726</v>
      </c>
      <c r="I249" s="103">
        <v>43157.0</v>
      </c>
      <c r="J249" s="103">
        <v>43157.0</v>
      </c>
      <c r="K249" s="9"/>
      <c r="L249" s="9"/>
      <c r="M249" s="9"/>
      <c r="N249" s="9"/>
      <c r="O249" s="9"/>
      <c r="P249" s="9"/>
      <c r="Q249" s="9"/>
      <c r="R249" s="9"/>
      <c r="S249" s="9"/>
      <c r="T249" s="9"/>
      <c r="U249" s="9"/>
      <c r="V249" s="9"/>
      <c r="W249" s="9"/>
      <c r="X249" s="9"/>
      <c r="Y249" s="9"/>
      <c r="Z249" s="9"/>
    </row>
    <row r="250" hidden="1">
      <c r="A250" s="97" t="s">
        <v>1775</v>
      </c>
      <c r="B250" s="98" t="s">
        <v>1778</v>
      </c>
      <c r="C250" s="98" t="s">
        <v>175</v>
      </c>
      <c r="D250" s="99">
        <v>43123.0</v>
      </c>
      <c r="E250" s="101" t="s">
        <v>92</v>
      </c>
      <c r="F250" s="98" t="s">
        <v>1629</v>
      </c>
      <c r="G250" s="98" t="s">
        <v>148</v>
      </c>
      <c r="H250" s="102" t="s">
        <v>726</v>
      </c>
      <c r="I250" s="103">
        <v>43157.0</v>
      </c>
      <c r="J250" s="103">
        <v>43157.0</v>
      </c>
      <c r="K250" s="9"/>
      <c r="L250" s="9"/>
      <c r="M250" s="9"/>
      <c r="N250" s="9"/>
      <c r="O250" s="9"/>
      <c r="P250" s="9"/>
      <c r="Q250" s="9"/>
      <c r="R250" s="9"/>
      <c r="S250" s="9"/>
      <c r="T250" s="9"/>
      <c r="U250" s="9"/>
      <c r="V250" s="9"/>
      <c r="W250" s="9"/>
      <c r="X250" s="9"/>
      <c r="Y250" s="9"/>
      <c r="Z250" s="9"/>
    </row>
    <row r="251" hidden="1">
      <c r="A251" s="34" t="str">
        <f>hyperlink("https://issues.sierrawireless.com/browse/OEMPRI-5979", "OEMPRI-5979")</f>
        <v>OEMPRI-5979</v>
      </c>
      <c r="B251" s="36" t="s">
        <v>1783</v>
      </c>
      <c r="C251" s="36" t="s">
        <v>175</v>
      </c>
      <c r="D251" s="38">
        <v>43123.0</v>
      </c>
      <c r="E251" s="39" t="s">
        <v>92</v>
      </c>
      <c r="F251" s="36" t="s">
        <v>1629</v>
      </c>
      <c r="G251" s="36" t="s">
        <v>148</v>
      </c>
      <c r="H251" s="40" t="s">
        <v>726</v>
      </c>
      <c r="I251" s="41">
        <v>43136.0</v>
      </c>
      <c r="J251" s="41">
        <v>43133.0</v>
      </c>
      <c r="K251" s="89" t="s">
        <v>1746</v>
      </c>
      <c r="L251" s="42"/>
      <c r="M251" s="42"/>
      <c r="N251" s="42"/>
      <c r="O251" s="42"/>
      <c r="P251" s="42"/>
      <c r="Q251" s="42"/>
      <c r="R251" s="42"/>
      <c r="S251" s="42"/>
      <c r="T251" s="42"/>
      <c r="U251" s="42"/>
      <c r="V251" s="42"/>
      <c r="W251" s="42"/>
      <c r="X251" s="42"/>
      <c r="Y251" s="42"/>
      <c r="Z251" s="42"/>
    </row>
    <row r="252" hidden="1">
      <c r="A252" s="97" t="s">
        <v>1787</v>
      </c>
      <c r="B252" s="98" t="s">
        <v>1791</v>
      </c>
      <c r="C252" s="98" t="s">
        <v>175</v>
      </c>
      <c r="D252" s="99">
        <v>43123.0</v>
      </c>
      <c r="E252" s="101" t="s">
        <v>92</v>
      </c>
      <c r="F252" s="98" t="s">
        <v>1629</v>
      </c>
      <c r="G252" s="98" t="s">
        <v>148</v>
      </c>
      <c r="H252" s="102" t="s">
        <v>726</v>
      </c>
      <c r="I252" s="103">
        <v>43157.0</v>
      </c>
      <c r="J252" s="103">
        <v>43157.0</v>
      </c>
      <c r="K252" s="89"/>
      <c r="L252" s="42"/>
      <c r="M252" s="42"/>
      <c r="N252" s="42"/>
      <c r="O252" s="42"/>
      <c r="P252" s="42"/>
      <c r="Q252" s="42"/>
      <c r="R252" s="42"/>
      <c r="S252" s="42"/>
      <c r="T252" s="42"/>
      <c r="U252" s="42"/>
      <c r="V252" s="42"/>
      <c r="W252" s="42"/>
      <c r="X252" s="42"/>
      <c r="Y252" s="42"/>
      <c r="Z252" s="42"/>
    </row>
    <row r="253" hidden="1">
      <c r="A253" s="34" t="str">
        <f>hyperlink("https://issues.sierrawireless.com/browse/OEMPRI-5971", "OEMPRI-5971")</f>
        <v>OEMPRI-5971</v>
      </c>
      <c r="B253" s="36" t="s">
        <v>1796</v>
      </c>
      <c r="C253" s="36" t="s">
        <v>175</v>
      </c>
      <c r="D253" s="38">
        <v>43123.0</v>
      </c>
      <c r="E253" s="39" t="s">
        <v>92</v>
      </c>
      <c r="F253" s="36" t="s">
        <v>1629</v>
      </c>
      <c r="G253" s="36" t="s">
        <v>148</v>
      </c>
      <c r="H253" s="40" t="s">
        <v>726</v>
      </c>
      <c r="I253" s="41">
        <v>43136.0</v>
      </c>
      <c r="J253" s="41">
        <v>43133.0</v>
      </c>
      <c r="K253" s="89" t="s">
        <v>1746</v>
      </c>
      <c r="L253" s="42"/>
      <c r="M253" s="42"/>
      <c r="N253" s="42"/>
      <c r="O253" s="42"/>
      <c r="P253" s="42"/>
      <c r="Q253" s="42"/>
      <c r="R253" s="42"/>
      <c r="S253" s="42"/>
      <c r="T253" s="42"/>
      <c r="U253" s="42"/>
      <c r="V253" s="42"/>
      <c r="W253" s="42"/>
      <c r="X253" s="42"/>
      <c r="Y253" s="42"/>
      <c r="Z253" s="42"/>
    </row>
    <row r="254" hidden="1">
      <c r="A254" s="97" t="s">
        <v>1801</v>
      </c>
      <c r="B254" s="98" t="s">
        <v>1803</v>
      </c>
      <c r="C254" s="98" t="s">
        <v>175</v>
      </c>
      <c r="D254" s="99">
        <v>43123.0</v>
      </c>
      <c r="E254" s="101" t="s">
        <v>92</v>
      </c>
      <c r="F254" s="98" t="s">
        <v>1629</v>
      </c>
      <c r="G254" s="98" t="s">
        <v>148</v>
      </c>
      <c r="H254" s="102" t="s">
        <v>726</v>
      </c>
      <c r="I254" s="103">
        <v>43157.0</v>
      </c>
      <c r="J254" s="103">
        <v>43157.0</v>
      </c>
      <c r="K254" s="89"/>
      <c r="L254" s="42"/>
      <c r="M254" s="42"/>
      <c r="N254" s="42"/>
      <c r="O254" s="42"/>
      <c r="P254" s="42"/>
      <c r="Q254" s="42"/>
      <c r="R254" s="42"/>
      <c r="S254" s="42"/>
      <c r="T254" s="42"/>
      <c r="U254" s="42"/>
      <c r="V254" s="42"/>
      <c r="W254" s="42"/>
      <c r="X254" s="42"/>
      <c r="Y254" s="42"/>
      <c r="Z254" s="42"/>
    </row>
    <row r="255" hidden="1">
      <c r="A255" s="97" t="s">
        <v>1806</v>
      </c>
      <c r="B255" s="98" t="s">
        <v>1807</v>
      </c>
      <c r="C255" s="98" t="s">
        <v>175</v>
      </c>
      <c r="D255" s="99">
        <v>43123.0</v>
      </c>
      <c r="E255" s="101" t="s">
        <v>92</v>
      </c>
      <c r="F255" s="98" t="s">
        <v>1629</v>
      </c>
      <c r="G255" s="98" t="s">
        <v>148</v>
      </c>
      <c r="H255" s="102" t="s">
        <v>726</v>
      </c>
      <c r="I255" s="103">
        <v>43157.0</v>
      </c>
      <c r="J255" s="103">
        <v>43157.0</v>
      </c>
      <c r="K255" s="89"/>
      <c r="L255" s="42"/>
      <c r="M255" s="42"/>
      <c r="N255" s="42"/>
      <c r="O255" s="42"/>
      <c r="P255" s="42"/>
      <c r="Q255" s="42"/>
      <c r="R255" s="42"/>
      <c r="S255" s="42"/>
      <c r="T255" s="42"/>
      <c r="U255" s="42"/>
      <c r="V255" s="42"/>
      <c r="W255" s="42"/>
      <c r="X255" s="42"/>
      <c r="Y255" s="42"/>
      <c r="Z255" s="42"/>
    </row>
    <row r="256" hidden="1">
      <c r="A256" s="34" t="str">
        <f>hyperlink("https://issues.sierrawireless.com/browse/OEMPRI-5975", "OEMPRI-5975")</f>
        <v>OEMPRI-5975</v>
      </c>
      <c r="B256" s="36" t="s">
        <v>1812</v>
      </c>
      <c r="C256" s="36" t="s">
        <v>175</v>
      </c>
      <c r="D256" s="38">
        <v>43123.0</v>
      </c>
      <c r="E256" s="39" t="s">
        <v>92</v>
      </c>
      <c r="F256" s="36" t="s">
        <v>1629</v>
      </c>
      <c r="G256" s="36" t="s">
        <v>148</v>
      </c>
      <c r="H256" s="40" t="s">
        <v>726</v>
      </c>
      <c r="I256" s="41">
        <v>43136.0</v>
      </c>
      <c r="J256" s="41">
        <v>43137.0</v>
      </c>
      <c r="K256" s="89" t="s">
        <v>1746</v>
      </c>
      <c r="L256" s="42"/>
      <c r="M256" s="42"/>
      <c r="N256" s="42"/>
      <c r="O256" s="42"/>
      <c r="P256" s="42"/>
      <c r="Q256" s="42"/>
      <c r="R256" s="42"/>
      <c r="S256" s="42"/>
      <c r="T256" s="42"/>
      <c r="U256" s="42"/>
      <c r="V256" s="42"/>
      <c r="W256" s="42"/>
      <c r="X256" s="42"/>
      <c r="Y256" s="42"/>
      <c r="Z256" s="42"/>
    </row>
    <row r="257" hidden="1">
      <c r="A257" s="34" t="str">
        <f>hyperlink("https://issues.sierrawireless.com/browse/OEMPRI-5976", "OEMPRI-5976")</f>
        <v>OEMPRI-5976</v>
      </c>
      <c r="B257" s="36" t="s">
        <v>1815</v>
      </c>
      <c r="C257" s="36" t="s">
        <v>175</v>
      </c>
      <c r="D257" s="38">
        <v>43123.0</v>
      </c>
      <c r="E257" s="39" t="s">
        <v>92</v>
      </c>
      <c r="F257" s="36" t="s">
        <v>1629</v>
      </c>
      <c r="G257" s="36" t="s">
        <v>148</v>
      </c>
      <c r="H257" s="40" t="s">
        <v>726</v>
      </c>
      <c r="I257" s="41">
        <v>43136.0</v>
      </c>
      <c r="J257" s="41">
        <v>43137.0</v>
      </c>
      <c r="K257" s="89" t="s">
        <v>1746</v>
      </c>
      <c r="L257" s="42"/>
      <c r="M257" s="42"/>
      <c r="N257" s="42"/>
      <c r="O257" s="42"/>
      <c r="P257" s="42"/>
      <c r="Q257" s="42"/>
      <c r="R257" s="42"/>
      <c r="S257" s="42"/>
      <c r="T257" s="42"/>
      <c r="U257" s="42"/>
      <c r="V257" s="42"/>
      <c r="W257" s="42"/>
      <c r="X257" s="42"/>
      <c r="Y257" s="42"/>
      <c r="Z257" s="42"/>
    </row>
    <row r="258" hidden="1">
      <c r="A258" s="34" t="str">
        <f>hyperlink("https://issues.sierrawireless.com/browse/OEMPRI-5977", "OEMPRI-5977")</f>
        <v>OEMPRI-5977</v>
      </c>
      <c r="B258" s="36" t="s">
        <v>1821</v>
      </c>
      <c r="C258" s="36" t="s">
        <v>175</v>
      </c>
      <c r="D258" s="38">
        <v>43123.0</v>
      </c>
      <c r="E258" s="39" t="s">
        <v>92</v>
      </c>
      <c r="F258" s="36" t="s">
        <v>1629</v>
      </c>
      <c r="G258" s="36" t="s">
        <v>148</v>
      </c>
      <c r="H258" s="40" t="s">
        <v>726</v>
      </c>
      <c r="I258" s="41">
        <v>43136.0</v>
      </c>
      <c r="J258" s="41">
        <v>43137.0</v>
      </c>
      <c r="K258" s="89" t="s">
        <v>1746</v>
      </c>
      <c r="L258" s="42"/>
      <c r="M258" s="42"/>
      <c r="N258" s="42"/>
      <c r="O258" s="42"/>
      <c r="P258" s="42"/>
      <c r="Q258" s="42"/>
      <c r="R258" s="42"/>
      <c r="S258" s="42"/>
      <c r="T258" s="42"/>
      <c r="U258" s="42"/>
      <c r="V258" s="42"/>
      <c r="W258" s="42"/>
      <c r="X258" s="42"/>
      <c r="Y258" s="42"/>
      <c r="Z258" s="42"/>
    </row>
    <row r="259" hidden="1">
      <c r="A259" s="34" t="str">
        <f>hyperlink("https://issues.sierrawireless.com/browse/OEMPRI-5965", "OEMPRI-5965")</f>
        <v>OEMPRI-5965</v>
      </c>
      <c r="B259" s="36" t="s">
        <v>1828</v>
      </c>
      <c r="C259" s="36" t="s">
        <v>139</v>
      </c>
      <c r="D259" s="38">
        <v>43123.0</v>
      </c>
      <c r="E259" s="39" t="s">
        <v>92</v>
      </c>
      <c r="F259" s="36" t="s">
        <v>166</v>
      </c>
      <c r="G259" s="36" t="s">
        <v>140</v>
      </c>
      <c r="H259" s="40" t="s">
        <v>140</v>
      </c>
      <c r="I259" s="41">
        <v>43213.0</v>
      </c>
      <c r="J259" s="41">
        <v>43218.0</v>
      </c>
      <c r="K259" s="42"/>
      <c r="L259" s="42"/>
      <c r="M259" s="42"/>
      <c r="N259" s="42"/>
      <c r="O259" s="42"/>
      <c r="P259" s="42"/>
      <c r="Q259" s="42"/>
      <c r="R259" s="42"/>
      <c r="S259" s="42"/>
      <c r="T259" s="42"/>
      <c r="U259" s="42"/>
      <c r="V259" s="42"/>
      <c r="W259" s="42"/>
      <c r="X259" s="42"/>
      <c r="Y259" s="42"/>
      <c r="Z259" s="42"/>
    </row>
    <row r="260" hidden="1">
      <c r="A260" s="34" t="str">
        <f>hyperlink("https://issues.sierrawireless.com/browse/OEMPRI-5956", "OEMPRI-5956")</f>
        <v>OEMPRI-5956</v>
      </c>
      <c r="B260" s="36" t="s">
        <v>1833</v>
      </c>
      <c r="C260" s="36" t="s">
        <v>139</v>
      </c>
      <c r="D260" s="38">
        <v>43122.0</v>
      </c>
      <c r="E260" s="39">
        <v>43124.0</v>
      </c>
      <c r="F260" s="36" t="s">
        <v>160</v>
      </c>
      <c r="G260" s="36" t="s">
        <v>148</v>
      </c>
      <c r="H260" s="40" t="s">
        <v>141</v>
      </c>
      <c r="I260" s="41">
        <v>43129.0</v>
      </c>
      <c r="J260" s="41">
        <v>43129.0</v>
      </c>
      <c r="K260" s="42"/>
      <c r="L260" s="42"/>
      <c r="M260" s="42"/>
      <c r="N260" s="42"/>
      <c r="O260" s="42"/>
      <c r="P260" s="42"/>
      <c r="Q260" s="42"/>
      <c r="R260" s="42"/>
      <c r="S260" s="42"/>
      <c r="T260" s="42"/>
      <c r="U260" s="42"/>
      <c r="V260" s="42"/>
      <c r="W260" s="42"/>
      <c r="X260" s="42"/>
      <c r="Y260" s="42"/>
      <c r="Z260" s="42"/>
    </row>
    <row r="261" hidden="1">
      <c r="A261" s="34" t="str">
        <f>hyperlink("https://issues.sierrawireless.com/browse/OEMPRI-5954", "OEMPRI-5954")</f>
        <v>OEMPRI-5954</v>
      </c>
      <c r="B261" s="36" t="s">
        <v>1837</v>
      </c>
      <c r="C261" s="36" t="s">
        <v>139</v>
      </c>
      <c r="D261" s="38">
        <v>43122.0</v>
      </c>
      <c r="E261" s="39">
        <v>43129.0</v>
      </c>
      <c r="F261" s="36" t="s">
        <v>215</v>
      </c>
      <c r="G261" s="36" t="s">
        <v>148</v>
      </c>
      <c r="H261" s="40" t="s">
        <v>216</v>
      </c>
      <c r="I261" s="41">
        <v>43129.0</v>
      </c>
      <c r="J261" s="41">
        <v>43132.0</v>
      </c>
      <c r="K261" s="42"/>
      <c r="L261" s="42"/>
      <c r="M261" s="42"/>
      <c r="N261" s="42"/>
      <c r="O261" s="42"/>
      <c r="P261" s="42"/>
      <c r="Q261" s="42"/>
      <c r="R261" s="42"/>
      <c r="S261" s="42"/>
      <c r="T261" s="42"/>
      <c r="U261" s="42"/>
      <c r="V261" s="42"/>
      <c r="W261" s="42"/>
      <c r="X261" s="42"/>
      <c r="Y261" s="42"/>
      <c r="Z261" s="42"/>
    </row>
    <row r="262" hidden="1">
      <c r="A262" s="34" t="str">
        <f>hyperlink("https://issues.sierrawireless.com/browse/OEMPRI-5957", "OEMPRI-5957")</f>
        <v>OEMPRI-5957</v>
      </c>
      <c r="B262" s="36" t="s">
        <v>1842</v>
      </c>
      <c r="C262" s="36" t="s">
        <v>139</v>
      </c>
      <c r="D262" s="38">
        <v>43122.0</v>
      </c>
      <c r="E262" s="39" t="s">
        <v>92</v>
      </c>
      <c r="F262" s="36" t="s">
        <v>166</v>
      </c>
      <c r="G262" s="36" t="s">
        <v>310</v>
      </c>
      <c r="H262" s="40" t="s">
        <v>310</v>
      </c>
      <c r="I262" s="41">
        <v>43122.0</v>
      </c>
      <c r="J262" s="41">
        <v>43122.0</v>
      </c>
      <c r="K262" s="42"/>
      <c r="L262" s="42"/>
      <c r="M262" s="42"/>
      <c r="N262" s="42"/>
      <c r="O262" s="42"/>
      <c r="P262" s="42"/>
      <c r="Q262" s="42"/>
      <c r="R262" s="42"/>
      <c r="S262" s="42"/>
      <c r="T262" s="42"/>
      <c r="U262" s="42"/>
      <c r="V262" s="42"/>
      <c r="W262" s="42"/>
      <c r="X262" s="42"/>
      <c r="Y262" s="42"/>
      <c r="Z262" s="42"/>
    </row>
    <row r="263" hidden="1">
      <c r="A263" s="34" t="str">
        <f>hyperlink("https://issues.sierrawireless.com/browse/OEMPRI-5958", "OEMPRI-5958")</f>
        <v>OEMPRI-5958</v>
      </c>
      <c r="B263" s="36" t="s">
        <v>1847</v>
      </c>
      <c r="C263" s="36" t="s">
        <v>175</v>
      </c>
      <c r="D263" s="38">
        <v>43122.0</v>
      </c>
      <c r="E263" s="39" t="s">
        <v>92</v>
      </c>
      <c r="F263" s="36" t="s">
        <v>1629</v>
      </c>
      <c r="G263" s="36" t="s">
        <v>148</v>
      </c>
      <c r="H263" s="40" t="s">
        <v>726</v>
      </c>
      <c r="I263" s="41">
        <v>43136.0</v>
      </c>
      <c r="J263" s="41">
        <v>43133.0</v>
      </c>
      <c r="K263" s="89" t="s">
        <v>1746</v>
      </c>
      <c r="L263" s="42"/>
      <c r="M263" s="42"/>
      <c r="N263" s="42"/>
      <c r="O263" s="42"/>
      <c r="P263" s="42"/>
      <c r="Q263" s="42"/>
      <c r="R263" s="42"/>
      <c r="S263" s="42"/>
      <c r="T263" s="42"/>
      <c r="U263" s="42"/>
      <c r="V263" s="42"/>
      <c r="W263" s="42"/>
      <c r="X263" s="42"/>
      <c r="Y263" s="42"/>
      <c r="Z263" s="42"/>
    </row>
    <row r="264" hidden="1">
      <c r="A264" s="34" t="str">
        <f>hyperlink("https://issues.sierrawireless.com/browse/OEMPRI-5926", "OEMPRI-5926")</f>
        <v>OEMPRI-5926</v>
      </c>
      <c r="B264" s="36" t="s">
        <v>1853</v>
      </c>
      <c r="C264" s="36" t="s">
        <v>139</v>
      </c>
      <c r="D264" s="38">
        <v>43119.0</v>
      </c>
      <c r="E264" s="39" t="s">
        <v>92</v>
      </c>
      <c r="F264" s="36" t="s">
        <v>166</v>
      </c>
      <c r="G264" s="36" t="s">
        <v>310</v>
      </c>
      <c r="H264" s="40" t="s">
        <v>310</v>
      </c>
      <c r="I264" s="41">
        <v>43115.0</v>
      </c>
      <c r="J264" s="41">
        <v>43119.0</v>
      </c>
      <c r="K264" s="42"/>
      <c r="L264" s="42"/>
      <c r="M264" s="42"/>
      <c r="N264" s="42"/>
      <c r="O264" s="42"/>
      <c r="P264" s="42"/>
      <c r="Q264" s="42"/>
      <c r="R264" s="42"/>
      <c r="S264" s="42"/>
      <c r="T264" s="42"/>
      <c r="U264" s="42"/>
      <c r="V264" s="42"/>
      <c r="W264" s="42"/>
      <c r="X264" s="42"/>
      <c r="Y264" s="42"/>
      <c r="Z264" s="42"/>
    </row>
    <row r="265" hidden="1">
      <c r="A265" s="34" t="str">
        <f>hyperlink("https://issues.sierrawireless.com/browse/OEMPRI-5927", "OEMPRI-5927")</f>
        <v>OEMPRI-5927</v>
      </c>
      <c r="B265" s="36" t="s">
        <v>1859</v>
      </c>
      <c r="C265" s="36" t="s">
        <v>139</v>
      </c>
      <c r="D265" s="38">
        <v>43119.0</v>
      </c>
      <c r="E265" s="39">
        <v>42978.0</v>
      </c>
      <c r="F265" s="36" t="s">
        <v>176</v>
      </c>
      <c r="G265" s="36" t="s">
        <v>148</v>
      </c>
      <c r="H265" s="40" t="s">
        <v>177</v>
      </c>
      <c r="I265" s="41">
        <v>43129.0</v>
      </c>
      <c r="J265" s="41">
        <v>43133.0</v>
      </c>
      <c r="K265" s="89"/>
      <c r="L265" s="42"/>
      <c r="M265" s="42"/>
      <c r="N265" s="42"/>
      <c r="O265" s="42"/>
      <c r="P265" s="42"/>
      <c r="Q265" s="42"/>
      <c r="R265" s="42"/>
      <c r="S265" s="42"/>
      <c r="T265" s="42"/>
      <c r="U265" s="42"/>
      <c r="V265" s="42"/>
      <c r="W265" s="42"/>
      <c r="X265" s="42"/>
      <c r="Y265" s="42"/>
      <c r="Z265" s="42"/>
    </row>
    <row r="266" hidden="1">
      <c r="A266" s="34" t="str">
        <f>hyperlink("https://issues.sierrawireless.com/browse/OEMPRI-5933", "OEMPRI-5933")</f>
        <v>OEMPRI-5933</v>
      </c>
      <c r="B266" s="36" t="s">
        <v>1842</v>
      </c>
      <c r="C266" s="36" t="s">
        <v>139</v>
      </c>
      <c r="D266" s="38">
        <v>43119.0</v>
      </c>
      <c r="E266" s="39" t="s">
        <v>92</v>
      </c>
      <c r="F266" s="36" t="s">
        <v>166</v>
      </c>
      <c r="G266" s="36" t="s">
        <v>310</v>
      </c>
      <c r="H266" s="40" t="s">
        <v>310</v>
      </c>
      <c r="I266" s="41">
        <v>43115.0</v>
      </c>
      <c r="J266" s="41">
        <v>43119.0</v>
      </c>
      <c r="K266" s="42"/>
      <c r="L266" s="42"/>
      <c r="M266" s="42"/>
      <c r="N266" s="42"/>
      <c r="O266" s="42"/>
      <c r="P266" s="42"/>
      <c r="Q266" s="42"/>
      <c r="R266" s="42"/>
      <c r="S266" s="42"/>
      <c r="T266" s="42"/>
      <c r="U266" s="42"/>
      <c r="V266" s="42"/>
      <c r="W266" s="42"/>
      <c r="X266" s="42"/>
      <c r="Y266" s="42"/>
      <c r="Z266" s="42"/>
    </row>
    <row r="267" hidden="1">
      <c r="A267" s="34" t="str">
        <f>hyperlink("https://issues.sierrawireless.com/browse/OEMPRI-5934", "OEMPRI-5934")</f>
        <v>OEMPRI-5934</v>
      </c>
      <c r="B267" s="36" t="s">
        <v>1871</v>
      </c>
      <c r="C267" s="36" t="s">
        <v>139</v>
      </c>
      <c r="D267" s="38">
        <v>43119.0</v>
      </c>
      <c r="E267" s="39" t="s">
        <v>92</v>
      </c>
      <c r="F267" s="36" t="s">
        <v>166</v>
      </c>
      <c r="G267" s="36" t="s">
        <v>310</v>
      </c>
      <c r="H267" s="40" t="s">
        <v>310</v>
      </c>
      <c r="I267" s="41">
        <v>43115.0</v>
      </c>
      <c r="J267" s="41">
        <v>43119.0</v>
      </c>
      <c r="K267" s="42"/>
      <c r="L267" s="42"/>
      <c r="M267" s="42"/>
      <c r="N267" s="42"/>
      <c r="O267" s="42"/>
      <c r="P267" s="42"/>
      <c r="Q267" s="42"/>
      <c r="R267" s="42"/>
      <c r="S267" s="42"/>
      <c r="T267" s="42"/>
      <c r="U267" s="42"/>
      <c r="V267" s="42"/>
      <c r="W267" s="42"/>
      <c r="X267" s="42"/>
      <c r="Y267" s="42"/>
      <c r="Z267" s="42"/>
    </row>
    <row r="268" hidden="1">
      <c r="A268" s="34" t="str">
        <f>hyperlink("https://issues.sierrawireless.com/browse/OEMPRI-5935", "OEMPRI-5935")</f>
        <v>OEMPRI-5935</v>
      </c>
      <c r="B268" s="36" t="s">
        <v>1876</v>
      </c>
      <c r="C268" s="36" t="s">
        <v>139</v>
      </c>
      <c r="D268" s="38">
        <v>43119.0</v>
      </c>
      <c r="E268" s="39" t="s">
        <v>92</v>
      </c>
      <c r="F268" s="36" t="s">
        <v>166</v>
      </c>
      <c r="G268" s="36" t="s">
        <v>310</v>
      </c>
      <c r="H268" s="40" t="s">
        <v>310</v>
      </c>
      <c r="I268" s="41">
        <v>43115.0</v>
      </c>
      <c r="J268" s="41">
        <v>43119.0</v>
      </c>
      <c r="K268" s="42"/>
      <c r="L268" s="42"/>
      <c r="M268" s="42"/>
      <c r="N268" s="42"/>
      <c r="O268" s="42"/>
      <c r="P268" s="42"/>
      <c r="Q268" s="42"/>
      <c r="R268" s="42"/>
      <c r="S268" s="42"/>
      <c r="T268" s="42"/>
      <c r="U268" s="42"/>
      <c r="V268" s="42"/>
      <c r="W268" s="42"/>
      <c r="X268" s="42"/>
      <c r="Y268" s="42"/>
      <c r="Z268" s="42"/>
    </row>
    <row r="269" hidden="1">
      <c r="A269" s="17" t="str">
        <f>hyperlink("https://issues.sierrawireless.com/browse/OEMPRI-5936", "OEMPRI-5936")</f>
        <v>OEMPRI-5936</v>
      </c>
      <c r="B269" s="19" t="s">
        <v>1883</v>
      </c>
      <c r="C269" s="19" t="s">
        <v>139</v>
      </c>
      <c r="D269" s="20">
        <v>43119.0</v>
      </c>
      <c r="E269" s="27" t="s">
        <v>92</v>
      </c>
      <c r="F269" s="19" t="s">
        <v>166</v>
      </c>
      <c r="G269" s="19" t="s">
        <v>310</v>
      </c>
      <c r="H269" s="30" t="s">
        <v>310</v>
      </c>
      <c r="I269" s="32">
        <v>43115.0</v>
      </c>
      <c r="J269" s="32">
        <v>43119.0</v>
      </c>
      <c r="K269" s="9"/>
      <c r="L269" s="9"/>
      <c r="M269" s="9"/>
      <c r="N269" s="9"/>
      <c r="O269" s="9"/>
      <c r="P269" s="9"/>
      <c r="Q269" s="9"/>
      <c r="R269" s="9"/>
      <c r="S269" s="9"/>
      <c r="T269" s="9"/>
      <c r="U269" s="9"/>
      <c r="V269" s="9"/>
      <c r="W269" s="9"/>
      <c r="X269" s="9"/>
      <c r="Y269" s="9"/>
      <c r="Z269" s="9"/>
    </row>
    <row r="270" hidden="1">
      <c r="A270" s="17" t="str">
        <f>hyperlink("https://issues.sierrawireless.com/browse/OEMPRI-5940", "OEMPRI-5940")</f>
        <v>OEMPRI-5940</v>
      </c>
      <c r="B270" s="19" t="s">
        <v>1889</v>
      </c>
      <c r="C270" s="19" t="s">
        <v>139</v>
      </c>
      <c r="D270" s="20">
        <v>43119.0</v>
      </c>
      <c r="E270" s="27" t="s">
        <v>92</v>
      </c>
      <c r="F270" s="19" t="s">
        <v>166</v>
      </c>
      <c r="G270" s="19" t="s">
        <v>310</v>
      </c>
      <c r="H270" s="30" t="s">
        <v>310</v>
      </c>
      <c r="I270" s="32">
        <v>43115.0</v>
      </c>
      <c r="J270" s="32">
        <v>43119.0</v>
      </c>
      <c r="K270" s="9"/>
      <c r="L270" s="9"/>
      <c r="M270" s="9"/>
      <c r="N270" s="9"/>
      <c r="O270" s="9"/>
      <c r="P270" s="9"/>
      <c r="Q270" s="9"/>
      <c r="R270" s="9"/>
      <c r="S270" s="9"/>
      <c r="T270" s="9"/>
      <c r="U270" s="9"/>
      <c r="V270" s="9"/>
      <c r="W270" s="9"/>
      <c r="X270" s="9"/>
      <c r="Y270" s="9"/>
      <c r="Z270" s="9"/>
    </row>
    <row r="271" hidden="1">
      <c r="A271" s="34" t="str">
        <f>hyperlink("https://issues.sierrawireless.com/browse/OEMPRI-5882", "OEMPRI-5882")</f>
        <v>OEMPRI-5882</v>
      </c>
      <c r="B271" s="36" t="s">
        <v>1899</v>
      </c>
      <c r="C271" s="36" t="s">
        <v>139</v>
      </c>
      <c r="D271" s="38">
        <v>43117.0</v>
      </c>
      <c r="E271" s="39" t="s">
        <v>92</v>
      </c>
      <c r="F271" s="36" t="s">
        <v>176</v>
      </c>
      <c r="G271" s="36" t="s">
        <v>140</v>
      </c>
      <c r="H271" s="40" t="s">
        <v>140</v>
      </c>
      <c r="I271" s="41">
        <v>43171.0</v>
      </c>
      <c r="J271" s="41">
        <v>43171.0</v>
      </c>
      <c r="K271" s="42"/>
      <c r="L271" s="42"/>
      <c r="M271" s="42"/>
      <c r="N271" s="42"/>
      <c r="O271" s="42"/>
      <c r="P271" s="42"/>
      <c r="Q271" s="42"/>
      <c r="R271" s="42"/>
      <c r="S271" s="42"/>
      <c r="T271" s="42"/>
      <c r="U271" s="42"/>
      <c r="V271" s="42"/>
      <c r="W271" s="42"/>
      <c r="X271" s="42"/>
      <c r="Y271" s="42"/>
      <c r="Z271" s="42"/>
    </row>
    <row r="272" hidden="1">
      <c r="A272" s="34" t="str">
        <f>hyperlink("https://issues.sierrawireless.com/browse/OEMPRI-5883", "OEMPRI-5883")</f>
        <v>OEMPRI-5883</v>
      </c>
      <c r="B272" s="36" t="s">
        <v>1908</v>
      </c>
      <c r="C272" s="36" t="s">
        <v>139</v>
      </c>
      <c r="D272" s="38">
        <v>43117.0</v>
      </c>
      <c r="E272" s="39">
        <v>43039.0</v>
      </c>
      <c r="F272" s="36" t="s">
        <v>166</v>
      </c>
      <c r="G272" s="36" t="s">
        <v>140</v>
      </c>
      <c r="H272" s="40" t="s">
        <v>140</v>
      </c>
      <c r="I272" s="41">
        <v>43171.0</v>
      </c>
      <c r="J272" s="41">
        <v>43175.0</v>
      </c>
      <c r="K272" s="42"/>
      <c r="L272" s="42"/>
      <c r="M272" s="42"/>
      <c r="N272" s="42"/>
      <c r="O272" s="42"/>
      <c r="P272" s="42"/>
      <c r="Q272" s="42"/>
      <c r="R272" s="42"/>
      <c r="S272" s="42"/>
      <c r="T272" s="42"/>
      <c r="U272" s="42"/>
      <c r="V272" s="42"/>
      <c r="W272" s="42"/>
      <c r="X272" s="42"/>
      <c r="Y272" s="42"/>
      <c r="Z272" s="42"/>
    </row>
    <row r="273" hidden="1">
      <c r="A273" s="34" t="str">
        <f>hyperlink("https://issues.sierrawireless.com/browse/OEMPRI-5870", "OEMPRI-5870")</f>
        <v>OEMPRI-5870</v>
      </c>
      <c r="B273" s="36" t="s">
        <v>1913</v>
      </c>
      <c r="C273" s="36" t="s">
        <v>139</v>
      </c>
      <c r="D273" s="38">
        <v>43116.0</v>
      </c>
      <c r="E273" s="39" t="s">
        <v>92</v>
      </c>
      <c r="F273" s="36" t="s">
        <v>160</v>
      </c>
      <c r="G273" s="36" t="s">
        <v>140</v>
      </c>
      <c r="H273" s="40" t="s">
        <v>140</v>
      </c>
      <c r="I273" s="41">
        <v>43122.0</v>
      </c>
      <c r="J273" s="41">
        <v>43122.0</v>
      </c>
      <c r="K273" s="42"/>
      <c r="L273" s="42"/>
      <c r="M273" s="42"/>
      <c r="N273" s="42"/>
      <c r="O273" s="42"/>
      <c r="P273" s="42"/>
      <c r="Q273" s="42"/>
      <c r="R273" s="42"/>
      <c r="S273" s="42"/>
      <c r="T273" s="42"/>
      <c r="U273" s="42"/>
      <c r="V273" s="42"/>
      <c r="W273" s="42"/>
      <c r="X273" s="42"/>
      <c r="Y273" s="42"/>
      <c r="Z273" s="42"/>
    </row>
    <row r="274" hidden="1">
      <c r="A274" s="34" t="str">
        <f>hyperlink("https://issues.sierrawireless.com/browse/OEMPRI-5836", "OEMPRI-5836")</f>
        <v>OEMPRI-5836</v>
      </c>
      <c r="B274" s="36" t="s">
        <v>1920</v>
      </c>
      <c r="C274" s="36" t="s">
        <v>139</v>
      </c>
      <c r="D274" s="38">
        <v>43112.0</v>
      </c>
      <c r="E274" s="39">
        <v>43005.0</v>
      </c>
      <c r="F274" s="36" t="s">
        <v>215</v>
      </c>
      <c r="G274" s="36" t="s">
        <v>148</v>
      </c>
      <c r="H274" s="40" t="s">
        <v>216</v>
      </c>
      <c r="I274" s="41">
        <v>43115.0</v>
      </c>
      <c r="J274" s="41">
        <v>43119.0</v>
      </c>
      <c r="K274" s="42"/>
      <c r="L274" s="42"/>
      <c r="M274" s="42"/>
      <c r="N274" s="42"/>
      <c r="O274" s="42"/>
      <c r="P274" s="42"/>
      <c r="Q274" s="42"/>
      <c r="R274" s="42"/>
      <c r="S274" s="42"/>
      <c r="T274" s="42"/>
      <c r="U274" s="42"/>
      <c r="V274" s="42"/>
      <c r="W274" s="42"/>
      <c r="X274" s="42"/>
      <c r="Y274" s="42"/>
      <c r="Z274" s="42"/>
    </row>
    <row r="275" hidden="1">
      <c r="A275" s="34" t="str">
        <f>hyperlink("https://issues.sierrawireless.com/browse/OEMPRI-5821", "OEMPRI-5821")</f>
        <v>OEMPRI-5821</v>
      </c>
      <c r="B275" s="36" t="s">
        <v>1926</v>
      </c>
      <c r="C275" s="36" t="s">
        <v>139</v>
      </c>
      <c r="D275" s="38">
        <v>43111.0</v>
      </c>
      <c r="E275" s="39">
        <v>43059.0</v>
      </c>
      <c r="F275" s="36" t="s">
        <v>160</v>
      </c>
      <c r="G275" s="36" t="s">
        <v>155</v>
      </c>
      <c r="H275" s="40" t="s">
        <v>155</v>
      </c>
      <c r="I275" s="41">
        <v>43122.0</v>
      </c>
      <c r="J275" s="41">
        <v>43122.0</v>
      </c>
      <c r="K275" s="42"/>
      <c r="L275" s="42"/>
      <c r="M275" s="42"/>
      <c r="N275" s="42"/>
      <c r="O275" s="42"/>
      <c r="P275" s="42"/>
      <c r="Q275" s="42"/>
      <c r="R275" s="42"/>
      <c r="S275" s="42"/>
      <c r="T275" s="42"/>
      <c r="U275" s="42"/>
      <c r="V275" s="42"/>
      <c r="W275" s="42"/>
      <c r="X275" s="42"/>
      <c r="Y275" s="42"/>
      <c r="Z275" s="42"/>
    </row>
    <row r="276" hidden="1">
      <c r="A276" s="34" t="str">
        <f>hyperlink("https://issues.sierrawireless.com/browse/OEMPRI-5826", "OEMPRI-5826")</f>
        <v>OEMPRI-5826</v>
      </c>
      <c r="B276" s="36" t="s">
        <v>1933</v>
      </c>
      <c r="C276" s="36" t="s">
        <v>139</v>
      </c>
      <c r="D276" s="38">
        <v>43111.0</v>
      </c>
      <c r="E276" s="39" t="s">
        <v>92</v>
      </c>
      <c r="F276" s="36" t="s">
        <v>176</v>
      </c>
      <c r="G276" s="36" t="s">
        <v>140</v>
      </c>
      <c r="H276" s="40" t="s">
        <v>337</v>
      </c>
      <c r="I276" s="41">
        <v>43115.0</v>
      </c>
      <c r="J276" s="41">
        <v>43118.0</v>
      </c>
      <c r="K276" s="42"/>
      <c r="L276" s="42"/>
      <c r="M276" s="42"/>
      <c r="N276" s="42"/>
      <c r="O276" s="42"/>
      <c r="P276" s="42"/>
      <c r="Q276" s="42"/>
      <c r="R276" s="42"/>
      <c r="S276" s="42"/>
      <c r="T276" s="42"/>
      <c r="U276" s="42"/>
      <c r="V276" s="42"/>
      <c r="W276" s="42"/>
      <c r="X276" s="42"/>
      <c r="Y276" s="42"/>
      <c r="Z276" s="42"/>
    </row>
    <row r="277" hidden="1">
      <c r="A277" s="34" t="str">
        <f>hyperlink("https://issues.sierrawireless.com/browse/OEMPRI-5829", "OEMPRI-5829")</f>
        <v>OEMPRI-5829</v>
      </c>
      <c r="B277" s="36" t="s">
        <v>1939</v>
      </c>
      <c r="C277" s="36" t="s">
        <v>139</v>
      </c>
      <c r="D277" s="38">
        <v>43111.0</v>
      </c>
      <c r="E277" s="39" t="s">
        <v>92</v>
      </c>
      <c r="F277" s="36" t="s">
        <v>160</v>
      </c>
      <c r="G277" s="36" t="s">
        <v>140</v>
      </c>
      <c r="H277" s="40" t="s">
        <v>140</v>
      </c>
      <c r="I277" s="41">
        <v>43115.0</v>
      </c>
      <c r="J277" s="41">
        <v>43115.0</v>
      </c>
      <c r="K277" s="42"/>
      <c r="L277" s="42"/>
      <c r="M277" s="42"/>
      <c r="N277" s="42"/>
      <c r="O277" s="42"/>
      <c r="P277" s="42"/>
      <c r="Q277" s="42"/>
      <c r="R277" s="42"/>
      <c r="S277" s="42"/>
      <c r="T277" s="42"/>
      <c r="U277" s="42"/>
      <c r="V277" s="42"/>
      <c r="W277" s="42"/>
      <c r="X277" s="42"/>
      <c r="Y277" s="42"/>
      <c r="Z277" s="42"/>
    </row>
    <row r="278" hidden="1">
      <c r="A278" s="34" t="str">
        <f>hyperlink("https://issues.sierrawireless.com/browse/OEMPRI-5783", "OEMPRI-5783")</f>
        <v>OEMPRI-5783</v>
      </c>
      <c r="B278" s="36" t="s">
        <v>1947</v>
      </c>
      <c r="C278" s="36" t="s">
        <v>139</v>
      </c>
      <c r="D278" s="38">
        <v>43110.0</v>
      </c>
      <c r="E278" s="39" t="s">
        <v>92</v>
      </c>
      <c r="F278" s="36" t="s">
        <v>723</v>
      </c>
      <c r="G278" s="36" t="s">
        <v>122</v>
      </c>
      <c r="H278" s="40" t="s">
        <v>122</v>
      </c>
      <c r="I278" s="41">
        <v>43115.0</v>
      </c>
      <c r="J278" s="41">
        <v>43119.0</v>
      </c>
      <c r="K278" s="42"/>
      <c r="L278" s="42"/>
      <c r="M278" s="42"/>
      <c r="N278" s="42"/>
      <c r="O278" s="42"/>
      <c r="P278" s="42"/>
      <c r="Q278" s="42"/>
      <c r="R278" s="42"/>
      <c r="S278" s="42"/>
      <c r="T278" s="42"/>
      <c r="U278" s="42"/>
      <c r="V278" s="42"/>
      <c r="W278" s="42"/>
      <c r="X278" s="42"/>
      <c r="Y278" s="42"/>
      <c r="Z278" s="42"/>
    </row>
    <row r="279" hidden="1">
      <c r="A279" s="34" t="str">
        <f>hyperlink("https://issues.sierrawireless.com/browse/OEMPRI-5787", "OEMPRI-5787")</f>
        <v>OEMPRI-5787</v>
      </c>
      <c r="B279" s="36" t="s">
        <v>1953</v>
      </c>
      <c r="C279" s="36" t="s">
        <v>139</v>
      </c>
      <c r="D279" s="38">
        <v>43110.0</v>
      </c>
      <c r="E279" s="39" t="s">
        <v>92</v>
      </c>
      <c r="F279" s="36" t="s">
        <v>160</v>
      </c>
      <c r="G279" s="36" t="s">
        <v>148</v>
      </c>
      <c r="H279" s="40" t="s">
        <v>164</v>
      </c>
      <c r="I279" s="41">
        <v>43108.0</v>
      </c>
      <c r="J279" s="41">
        <v>43111.0</v>
      </c>
      <c r="K279" s="42"/>
      <c r="L279" s="42"/>
      <c r="M279" s="42"/>
      <c r="N279" s="42"/>
      <c r="O279" s="42"/>
      <c r="P279" s="42"/>
      <c r="Q279" s="42"/>
      <c r="R279" s="42"/>
      <c r="S279" s="42"/>
      <c r="T279" s="42"/>
      <c r="U279" s="42"/>
      <c r="V279" s="42"/>
      <c r="W279" s="42"/>
      <c r="X279" s="42"/>
      <c r="Y279" s="42"/>
      <c r="Z279" s="42"/>
    </row>
    <row r="280" hidden="1">
      <c r="A280" s="34" t="str">
        <f>hyperlink("https://issues.sierrawireless.com/browse/OEMPRI-5792", "OEMPRI-5792")</f>
        <v>OEMPRI-5792</v>
      </c>
      <c r="B280" s="36" t="s">
        <v>1960</v>
      </c>
      <c r="C280" s="36" t="s">
        <v>139</v>
      </c>
      <c r="D280" s="38">
        <v>43110.0</v>
      </c>
      <c r="E280" s="39">
        <v>43061.0</v>
      </c>
      <c r="F280" s="36" t="s">
        <v>723</v>
      </c>
      <c r="G280" s="36" t="s">
        <v>122</v>
      </c>
      <c r="H280" s="40" t="s">
        <v>122</v>
      </c>
      <c r="I280" s="41">
        <v>43122.0</v>
      </c>
      <c r="J280" s="41">
        <v>43124.0</v>
      </c>
      <c r="K280" s="42"/>
      <c r="L280" s="42"/>
      <c r="M280" s="42"/>
      <c r="N280" s="42"/>
      <c r="O280" s="42"/>
      <c r="P280" s="42"/>
      <c r="Q280" s="42"/>
      <c r="R280" s="42"/>
      <c r="S280" s="42"/>
      <c r="T280" s="42"/>
      <c r="U280" s="42"/>
      <c r="V280" s="42"/>
      <c r="W280" s="42"/>
      <c r="X280" s="42"/>
      <c r="Y280" s="42"/>
      <c r="Z280" s="42"/>
    </row>
    <row r="281" hidden="1">
      <c r="A281" s="34" t="str">
        <f>hyperlink("https://issues.sierrawireless.com/browse/OEMPRI-5797", "OEMPRI-5797")</f>
        <v>OEMPRI-5797</v>
      </c>
      <c r="B281" s="36" t="s">
        <v>1968</v>
      </c>
      <c r="C281" s="36" t="s">
        <v>139</v>
      </c>
      <c r="D281" s="38">
        <v>43110.0</v>
      </c>
      <c r="E281" s="39">
        <v>43119.0</v>
      </c>
      <c r="F281" s="36" t="s">
        <v>723</v>
      </c>
      <c r="G281" s="36" t="s">
        <v>122</v>
      </c>
      <c r="H281" s="40" t="s">
        <v>122</v>
      </c>
      <c r="I281" s="41">
        <v>43122.0</v>
      </c>
      <c r="J281" s="41">
        <v>43124.0</v>
      </c>
      <c r="K281" s="42"/>
      <c r="L281" s="42"/>
      <c r="M281" s="42"/>
      <c r="N281" s="42"/>
      <c r="O281" s="42"/>
      <c r="P281" s="42"/>
      <c r="Q281" s="42"/>
      <c r="R281" s="42"/>
      <c r="S281" s="42"/>
      <c r="T281" s="42"/>
      <c r="U281" s="42"/>
      <c r="V281" s="42"/>
      <c r="W281" s="42"/>
      <c r="X281" s="42"/>
      <c r="Y281" s="42"/>
      <c r="Z281" s="42"/>
    </row>
    <row r="282" hidden="1">
      <c r="A282" s="34" t="str">
        <f>hyperlink("https://issues.sierrawireless.com/browse/OEMPRI-5802", "OEMPRI-5802")</f>
        <v>OEMPRI-5802</v>
      </c>
      <c r="B282" s="36" t="s">
        <v>1975</v>
      </c>
      <c r="C282" s="36" t="s">
        <v>139</v>
      </c>
      <c r="D282" s="38">
        <v>43110.0</v>
      </c>
      <c r="E282" s="39">
        <v>43061.0</v>
      </c>
      <c r="F282" s="36" t="s">
        <v>723</v>
      </c>
      <c r="G282" s="36" t="s">
        <v>122</v>
      </c>
      <c r="H282" s="40" t="s">
        <v>122</v>
      </c>
      <c r="I282" s="41">
        <v>43122.0</v>
      </c>
      <c r="J282" s="41">
        <v>43124.0</v>
      </c>
      <c r="K282" s="42"/>
      <c r="L282" s="42"/>
      <c r="M282" s="42"/>
      <c r="N282" s="42"/>
      <c r="O282" s="42"/>
      <c r="P282" s="42"/>
      <c r="Q282" s="42"/>
      <c r="R282" s="42"/>
      <c r="S282" s="42"/>
      <c r="T282" s="42"/>
      <c r="U282" s="42"/>
      <c r="V282" s="42"/>
      <c r="W282" s="42"/>
      <c r="X282" s="42"/>
      <c r="Y282" s="42"/>
      <c r="Z282" s="42"/>
    </row>
    <row r="283" hidden="1">
      <c r="A283" s="34" t="str">
        <f>hyperlink("https://issues.sierrawireless.com/browse/OEMPRI-5774", "OEMPRI-5774")</f>
        <v>OEMPRI-5774</v>
      </c>
      <c r="B283" s="36" t="s">
        <v>1983</v>
      </c>
      <c r="C283" s="36" t="s">
        <v>139</v>
      </c>
      <c r="D283" s="38">
        <v>43109.0</v>
      </c>
      <c r="E283" s="39" t="s">
        <v>92</v>
      </c>
      <c r="F283" s="36" t="s">
        <v>176</v>
      </c>
      <c r="G283" s="36" t="s">
        <v>337</v>
      </c>
      <c r="H283" s="40" t="s">
        <v>337</v>
      </c>
      <c r="I283" s="41">
        <v>43115.0</v>
      </c>
      <c r="J283" s="41">
        <v>43117.0</v>
      </c>
      <c r="K283" s="42"/>
      <c r="L283" s="42"/>
      <c r="M283" s="42"/>
      <c r="N283" s="42"/>
      <c r="O283" s="42"/>
      <c r="P283" s="42"/>
      <c r="Q283" s="42"/>
      <c r="R283" s="42"/>
      <c r="S283" s="42"/>
      <c r="T283" s="42"/>
      <c r="U283" s="42"/>
      <c r="V283" s="42"/>
      <c r="W283" s="42"/>
      <c r="X283" s="42"/>
      <c r="Y283" s="42"/>
      <c r="Z283" s="42"/>
    </row>
    <row r="284" hidden="1">
      <c r="A284" s="34" t="str">
        <f>hyperlink("https://issues.sierrawireless.com/browse/OEMPRI-5770", "OEMPRI-5770")</f>
        <v>OEMPRI-5770</v>
      </c>
      <c r="B284" s="36" t="s">
        <v>1987</v>
      </c>
      <c r="C284" s="36" t="s">
        <v>139</v>
      </c>
      <c r="D284" s="38">
        <v>43109.0</v>
      </c>
      <c r="E284" s="39">
        <v>43039.0</v>
      </c>
      <c r="F284" s="36" t="s">
        <v>166</v>
      </c>
      <c r="G284" s="36" t="s">
        <v>140</v>
      </c>
      <c r="H284" s="40" t="s">
        <v>140</v>
      </c>
      <c r="I284" s="41">
        <v>43178.0</v>
      </c>
      <c r="J284" s="41">
        <v>43178.0</v>
      </c>
      <c r="K284" s="42"/>
      <c r="L284" s="42"/>
      <c r="M284" s="42"/>
      <c r="N284" s="42"/>
      <c r="O284" s="42"/>
      <c r="P284" s="42"/>
      <c r="Q284" s="42"/>
      <c r="R284" s="42"/>
      <c r="S284" s="42"/>
      <c r="T284" s="42"/>
      <c r="U284" s="42"/>
      <c r="V284" s="42"/>
      <c r="W284" s="42"/>
      <c r="X284" s="42"/>
      <c r="Y284" s="42"/>
      <c r="Z284" s="42"/>
    </row>
    <row r="285" hidden="1">
      <c r="A285" s="34" t="str">
        <f>hyperlink("https://issues.sierrawireless.com/browse/OEMPRI-5756", "OEMPRI-5756")</f>
        <v>OEMPRI-5756</v>
      </c>
      <c r="B285" s="36" t="s">
        <v>1993</v>
      </c>
      <c r="C285" s="36" t="s">
        <v>139</v>
      </c>
      <c r="D285" s="38">
        <v>43108.0</v>
      </c>
      <c r="E285" s="39" t="s">
        <v>92</v>
      </c>
      <c r="F285" s="36" t="s">
        <v>176</v>
      </c>
      <c r="G285" s="36" t="s">
        <v>148</v>
      </c>
      <c r="H285" s="40" t="s">
        <v>177</v>
      </c>
      <c r="I285" s="41">
        <v>43115.0</v>
      </c>
      <c r="J285" s="41">
        <v>43115.0</v>
      </c>
      <c r="K285" s="42"/>
      <c r="L285" s="42"/>
      <c r="M285" s="42"/>
      <c r="N285" s="42"/>
      <c r="O285" s="42"/>
      <c r="P285" s="42"/>
      <c r="Q285" s="42"/>
      <c r="R285" s="42"/>
      <c r="S285" s="42"/>
      <c r="T285" s="42"/>
      <c r="U285" s="42"/>
      <c r="V285" s="42"/>
      <c r="W285" s="42"/>
      <c r="X285" s="42"/>
      <c r="Y285" s="42"/>
      <c r="Z285" s="42"/>
    </row>
    <row r="286" hidden="1">
      <c r="A286" s="34" t="str">
        <f>hyperlink("https://issues.sierrawireless.com/browse/OEMPRI-5761", "OEMPRI-5761")</f>
        <v>OEMPRI-5761</v>
      </c>
      <c r="B286" s="36" t="s">
        <v>1998</v>
      </c>
      <c r="C286" s="36" t="s">
        <v>139</v>
      </c>
      <c r="D286" s="38">
        <v>43108.0</v>
      </c>
      <c r="E286" s="39" t="s">
        <v>92</v>
      </c>
      <c r="F286" s="36" t="s">
        <v>176</v>
      </c>
      <c r="G286" s="36" t="s">
        <v>337</v>
      </c>
      <c r="H286" s="40" t="s">
        <v>337</v>
      </c>
      <c r="I286" s="41">
        <v>43108.0</v>
      </c>
      <c r="J286" s="41">
        <v>43108.0</v>
      </c>
      <c r="K286" s="42"/>
      <c r="L286" s="42"/>
      <c r="M286" s="42"/>
      <c r="N286" s="42"/>
      <c r="O286" s="42"/>
      <c r="P286" s="42"/>
      <c r="Q286" s="42"/>
      <c r="R286" s="42"/>
      <c r="S286" s="42"/>
      <c r="T286" s="42"/>
      <c r="U286" s="42"/>
      <c r="V286" s="42"/>
      <c r="W286" s="42"/>
      <c r="X286" s="42"/>
      <c r="Y286" s="42"/>
      <c r="Z286" s="42"/>
    </row>
    <row r="287" hidden="1">
      <c r="A287" s="34" t="str">
        <f>hyperlink("https://issues.sierrawireless.com/browse/OEMPRI-5764", "OEMPRI-5764")</f>
        <v>OEMPRI-5764</v>
      </c>
      <c r="B287" s="36" t="s">
        <v>2004</v>
      </c>
      <c r="C287" s="36" t="s">
        <v>139</v>
      </c>
      <c r="D287" s="38">
        <v>43108.0</v>
      </c>
      <c r="E287" s="39">
        <v>43112.0</v>
      </c>
      <c r="F287" s="36" t="s">
        <v>160</v>
      </c>
      <c r="G287" s="36" t="s">
        <v>1367</v>
      </c>
      <c r="H287" s="40" t="s">
        <v>141</v>
      </c>
      <c r="I287" s="41">
        <v>43108.0</v>
      </c>
      <c r="J287" s="41">
        <v>43112.0</v>
      </c>
      <c r="K287" s="42"/>
      <c r="L287" s="42"/>
      <c r="M287" s="42"/>
      <c r="N287" s="42"/>
      <c r="O287" s="42"/>
      <c r="P287" s="42"/>
      <c r="Q287" s="42"/>
      <c r="R287" s="42"/>
      <c r="S287" s="42"/>
      <c r="T287" s="42"/>
      <c r="U287" s="42"/>
      <c r="V287" s="42"/>
      <c r="W287" s="42"/>
      <c r="X287" s="42"/>
      <c r="Y287" s="42"/>
      <c r="Z287" s="42"/>
    </row>
    <row r="288" hidden="1">
      <c r="A288" s="34" t="str">
        <f>hyperlink("https://issues.sierrawireless.com/browse/OEMPRI-5749", "OEMPRI-5749")</f>
        <v>OEMPRI-5749</v>
      </c>
      <c r="B288" s="36" t="s">
        <v>2009</v>
      </c>
      <c r="C288" s="36" t="s">
        <v>139</v>
      </c>
      <c r="D288" s="38">
        <v>43105.0</v>
      </c>
      <c r="E288" s="39">
        <v>42850.0</v>
      </c>
      <c r="F288" s="36" t="s">
        <v>176</v>
      </c>
      <c r="G288" s="36" t="s">
        <v>155</v>
      </c>
      <c r="H288" s="40" t="s">
        <v>155</v>
      </c>
      <c r="I288" s="41">
        <v>43101.0</v>
      </c>
      <c r="J288" s="41">
        <v>43105.0</v>
      </c>
      <c r="K288" s="42"/>
      <c r="L288" s="42"/>
      <c r="M288" s="42"/>
      <c r="N288" s="42"/>
      <c r="O288" s="42"/>
      <c r="P288" s="42"/>
      <c r="Q288" s="42"/>
      <c r="R288" s="42"/>
      <c r="S288" s="42"/>
      <c r="T288" s="42"/>
      <c r="U288" s="42"/>
      <c r="V288" s="42"/>
      <c r="W288" s="42"/>
      <c r="X288" s="42"/>
      <c r="Y288" s="42"/>
      <c r="Z288" s="42"/>
    </row>
    <row r="289" hidden="1">
      <c r="A289" s="34" t="str">
        <f>hyperlink("https://issues.sierrawireless.com/browse/OEMPRI-5753", "OEMPRI-5753")</f>
        <v>OEMPRI-5753</v>
      </c>
      <c r="B289" s="36" t="s">
        <v>2015</v>
      </c>
      <c r="C289" s="36" t="s">
        <v>139</v>
      </c>
      <c r="D289" s="38">
        <v>43105.0</v>
      </c>
      <c r="E289" s="39">
        <v>43111.0</v>
      </c>
      <c r="F289" s="36" t="s">
        <v>160</v>
      </c>
      <c r="G289" s="36" t="s">
        <v>148</v>
      </c>
      <c r="H289" s="40" t="s">
        <v>141</v>
      </c>
      <c r="I289" s="41">
        <v>43108.0</v>
      </c>
      <c r="J289" s="41">
        <v>43111.0</v>
      </c>
      <c r="K289" s="42"/>
      <c r="L289" s="42"/>
      <c r="M289" s="42"/>
      <c r="N289" s="42"/>
      <c r="O289" s="42"/>
      <c r="P289" s="42"/>
      <c r="Q289" s="42"/>
      <c r="R289" s="42"/>
      <c r="S289" s="42"/>
      <c r="T289" s="42"/>
      <c r="U289" s="42"/>
      <c r="V289" s="42"/>
      <c r="W289" s="42"/>
      <c r="X289" s="42"/>
      <c r="Y289" s="42"/>
      <c r="Z289" s="42"/>
    </row>
    <row r="290" hidden="1">
      <c r="A290" s="34" t="str">
        <f>hyperlink("https://issues.sierrawireless.com/browse/OEMPRI-5737", "OEMPRI-5737")</f>
        <v>OEMPRI-5737</v>
      </c>
      <c r="B290" s="36" t="s">
        <v>2024</v>
      </c>
      <c r="C290" s="36" t="s">
        <v>175</v>
      </c>
      <c r="D290" s="38">
        <v>43104.0</v>
      </c>
      <c r="E290" s="39">
        <v>43118.0</v>
      </c>
      <c r="F290" s="36" t="s">
        <v>176</v>
      </c>
      <c r="G290" s="36" t="s">
        <v>148</v>
      </c>
      <c r="H290" s="40" t="s">
        <v>177</v>
      </c>
      <c r="I290" s="41">
        <v>43108.0</v>
      </c>
      <c r="J290" s="41">
        <v>43112.0</v>
      </c>
      <c r="K290" s="42"/>
      <c r="L290" s="42"/>
      <c r="M290" s="42"/>
      <c r="N290" s="42"/>
      <c r="O290" s="42"/>
      <c r="P290" s="42"/>
      <c r="Q290" s="42"/>
      <c r="R290" s="42"/>
      <c r="S290" s="42"/>
      <c r="T290" s="42"/>
      <c r="U290" s="42"/>
      <c r="V290" s="42"/>
      <c r="W290" s="42"/>
      <c r="X290" s="42"/>
      <c r="Y290" s="42"/>
      <c r="Z290" s="42"/>
    </row>
    <row r="291" hidden="1">
      <c r="A291" s="34" t="str">
        <f>hyperlink("https://issues.sierrawireless.com/browse/OEMPRI-5723", "OEMPRI-5723")</f>
        <v>OEMPRI-5723</v>
      </c>
      <c r="B291" s="36" t="s">
        <v>2034</v>
      </c>
      <c r="C291" s="36" t="s">
        <v>139</v>
      </c>
      <c r="D291" s="38">
        <v>43103.0</v>
      </c>
      <c r="E291" s="39" t="s">
        <v>92</v>
      </c>
      <c r="F291" s="36" t="s">
        <v>1399</v>
      </c>
      <c r="G291" s="36" t="s">
        <v>148</v>
      </c>
      <c r="H291" s="40" t="s">
        <v>1400</v>
      </c>
      <c r="I291" s="41">
        <v>43101.0</v>
      </c>
      <c r="J291" s="41">
        <v>43104.0</v>
      </c>
      <c r="K291" s="42"/>
      <c r="L291" s="42"/>
      <c r="M291" s="42"/>
      <c r="N291" s="42"/>
      <c r="O291" s="42"/>
      <c r="P291" s="42"/>
      <c r="Q291" s="42"/>
      <c r="R291" s="42"/>
      <c r="S291" s="42"/>
      <c r="T291" s="42"/>
      <c r="U291" s="42"/>
      <c r="V291" s="42"/>
      <c r="W291" s="42"/>
      <c r="X291" s="42"/>
      <c r="Y291" s="42"/>
      <c r="Z291" s="42"/>
    </row>
    <row r="292" hidden="1">
      <c r="A292" s="34" t="str">
        <f>hyperlink("https://issues.sierrawireless.com/browse/OEMPRI-5683", "OEMPRI-5683")</f>
        <v>OEMPRI-5683</v>
      </c>
      <c r="B292" s="36" t="s">
        <v>2039</v>
      </c>
      <c r="C292" s="36" t="s">
        <v>139</v>
      </c>
      <c r="D292" s="38">
        <v>43098.0</v>
      </c>
      <c r="E292" s="39" t="s">
        <v>92</v>
      </c>
      <c r="F292" s="36" t="s">
        <v>176</v>
      </c>
      <c r="G292" s="36" t="s">
        <v>148</v>
      </c>
      <c r="H292" s="40" t="s">
        <v>177</v>
      </c>
      <c r="I292" s="41">
        <v>43108.0</v>
      </c>
      <c r="J292" s="41">
        <v>43109.0</v>
      </c>
      <c r="K292" s="42"/>
      <c r="L292" s="42"/>
      <c r="M292" s="42"/>
      <c r="N292" s="42"/>
      <c r="O292" s="42"/>
      <c r="P292" s="42"/>
      <c r="Q292" s="42"/>
      <c r="R292" s="42"/>
      <c r="S292" s="42"/>
      <c r="T292" s="42"/>
      <c r="U292" s="42"/>
      <c r="V292" s="42"/>
      <c r="W292" s="42"/>
      <c r="X292" s="42"/>
      <c r="Y292" s="42"/>
      <c r="Z292" s="42"/>
    </row>
    <row r="293" hidden="1">
      <c r="A293" s="34" t="str">
        <f>hyperlink("https://issues.sierrawireless.com/browse/OEMPRI-5688", "OEMPRI-5688")</f>
        <v>OEMPRI-5688</v>
      </c>
      <c r="B293" s="36" t="s">
        <v>2046</v>
      </c>
      <c r="C293" s="36" t="s">
        <v>139</v>
      </c>
      <c r="D293" s="38">
        <v>43098.0</v>
      </c>
      <c r="E293" s="39" t="s">
        <v>92</v>
      </c>
      <c r="F293" s="36" t="s">
        <v>176</v>
      </c>
      <c r="G293" s="36" t="s">
        <v>177</v>
      </c>
      <c r="H293" s="40" t="s">
        <v>177</v>
      </c>
      <c r="I293" s="41">
        <v>43108.0</v>
      </c>
      <c r="J293" s="41">
        <v>43110.0</v>
      </c>
      <c r="K293" s="42"/>
      <c r="L293" s="42"/>
      <c r="M293" s="42"/>
      <c r="N293" s="42"/>
      <c r="O293" s="42"/>
      <c r="P293" s="42"/>
      <c r="Q293" s="42"/>
      <c r="R293" s="42"/>
      <c r="S293" s="42"/>
      <c r="T293" s="42"/>
      <c r="U293" s="42"/>
      <c r="V293" s="42"/>
      <c r="W293" s="42"/>
      <c r="X293" s="42"/>
      <c r="Y293" s="42"/>
      <c r="Z293" s="42"/>
    </row>
    <row r="294" hidden="1">
      <c r="A294" s="34" t="str">
        <f>hyperlink("https://issues.sierrawireless.com/browse/OEMPRI-5697", "OEMPRI-5697")</f>
        <v>OEMPRI-5697</v>
      </c>
      <c r="B294" s="36" t="s">
        <v>2053</v>
      </c>
      <c r="C294" s="36" t="s">
        <v>139</v>
      </c>
      <c r="D294" s="38">
        <v>43098.0</v>
      </c>
      <c r="E294" s="39">
        <v>43021.0</v>
      </c>
      <c r="F294" s="36" t="s">
        <v>176</v>
      </c>
      <c r="G294" s="36" t="s">
        <v>177</v>
      </c>
      <c r="H294" s="40" t="s">
        <v>177</v>
      </c>
      <c r="I294" s="41">
        <v>43108.0</v>
      </c>
      <c r="J294" s="41">
        <v>43112.0</v>
      </c>
      <c r="K294" s="42"/>
      <c r="L294" s="42"/>
      <c r="M294" s="42"/>
      <c r="N294" s="42"/>
      <c r="O294" s="42"/>
      <c r="P294" s="42"/>
      <c r="Q294" s="42"/>
      <c r="R294" s="42"/>
      <c r="S294" s="42"/>
      <c r="T294" s="42"/>
      <c r="U294" s="42"/>
      <c r="V294" s="42"/>
      <c r="W294" s="42"/>
      <c r="X294" s="42"/>
      <c r="Y294" s="42"/>
      <c r="Z294" s="42"/>
    </row>
    <row r="295" hidden="1">
      <c r="A295" s="34" t="str">
        <f>hyperlink("https://issues.sierrawireless.com/browse/OEMPRI-5693", "OEMPRI-5693")</f>
        <v>OEMPRI-5693</v>
      </c>
      <c r="B295" s="36" t="s">
        <v>2060</v>
      </c>
      <c r="C295" s="36" t="s">
        <v>139</v>
      </c>
      <c r="D295" s="38">
        <v>43098.0</v>
      </c>
      <c r="E295" s="39">
        <v>43003.0</v>
      </c>
      <c r="F295" s="36" t="s">
        <v>176</v>
      </c>
      <c r="G295" s="36" t="s">
        <v>177</v>
      </c>
      <c r="H295" s="40" t="s">
        <v>177</v>
      </c>
      <c r="I295" s="41">
        <v>43108.0</v>
      </c>
      <c r="J295" s="41">
        <v>43112.0</v>
      </c>
      <c r="K295" s="42"/>
      <c r="L295" s="42"/>
      <c r="M295" s="42"/>
      <c r="N295" s="42"/>
      <c r="O295" s="42"/>
      <c r="P295" s="42"/>
      <c r="Q295" s="42"/>
      <c r="R295" s="42"/>
      <c r="S295" s="42"/>
      <c r="T295" s="42"/>
      <c r="U295" s="42"/>
      <c r="V295" s="42"/>
      <c r="W295" s="42"/>
      <c r="X295" s="42"/>
      <c r="Y295" s="42"/>
      <c r="Z295" s="42"/>
    </row>
    <row r="296" hidden="1">
      <c r="A296" s="17" t="str">
        <f>hyperlink("https://issues.sierrawireless.com/browse/OEMPRI-5704", "OEMPRI-5704")</f>
        <v>OEMPRI-5704</v>
      </c>
      <c r="B296" s="19" t="s">
        <v>2065</v>
      </c>
      <c r="C296" s="19" t="s">
        <v>139</v>
      </c>
      <c r="D296" s="20">
        <v>43098.0</v>
      </c>
      <c r="E296" s="27" t="s">
        <v>92</v>
      </c>
      <c r="F296" s="19" t="s">
        <v>1629</v>
      </c>
      <c r="G296" s="19" t="s">
        <v>148</v>
      </c>
      <c r="H296" s="30" t="s">
        <v>726</v>
      </c>
      <c r="I296" s="41">
        <v>43157.0</v>
      </c>
      <c r="J296" s="41">
        <v>43157.0</v>
      </c>
      <c r="K296" s="9"/>
      <c r="L296" s="9"/>
      <c r="M296" s="9"/>
      <c r="N296" s="9"/>
      <c r="O296" s="9"/>
      <c r="P296" s="9"/>
      <c r="Q296" s="9"/>
      <c r="R296" s="9"/>
      <c r="S296" s="9"/>
      <c r="T296" s="9"/>
      <c r="U296" s="9"/>
      <c r="V296" s="9"/>
      <c r="W296" s="9"/>
      <c r="X296" s="9"/>
      <c r="Y296" s="9"/>
      <c r="Z296" s="9"/>
    </row>
    <row r="297" hidden="1">
      <c r="A297" s="34" t="str">
        <f>hyperlink("https://issues.sierrawireless.com/browse/OEMPRI-5679", "OEMPRI-5679")</f>
        <v>OEMPRI-5679</v>
      </c>
      <c r="B297" s="36" t="s">
        <v>2071</v>
      </c>
      <c r="C297" s="36" t="s">
        <v>139</v>
      </c>
      <c r="D297" s="38">
        <v>43097.0</v>
      </c>
      <c r="E297" s="39" t="s">
        <v>92</v>
      </c>
      <c r="F297" s="36" t="s">
        <v>215</v>
      </c>
      <c r="G297" s="36" t="s">
        <v>148</v>
      </c>
      <c r="H297" s="40" t="s">
        <v>633</v>
      </c>
      <c r="I297" s="41"/>
      <c r="J297" s="41"/>
      <c r="K297" s="42"/>
      <c r="L297" s="42"/>
      <c r="M297" s="42"/>
      <c r="N297" s="42"/>
      <c r="O297" s="42"/>
      <c r="P297" s="42"/>
      <c r="Q297" s="42"/>
      <c r="R297" s="42"/>
      <c r="S297" s="42"/>
      <c r="T297" s="42"/>
      <c r="U297" s="42"/>
      <c r="V297" s="42"/>
      <c r="W297" s="42"/>
      <c r="X297" s="42"/>
      <c r="Y297" s="42"/>
      <c r="Z297" s="42"/>
    </row>
    <row r="298" hidden="1">
      <c r="A298" s="17" t="str">
        <f>hyperlink("https://issues.sierrawireless.com/browse/OEMPRI-5680", "OEMPRI-5680")</f>
        <v>OEMPRI-5680</v>
      </c>
      <c r="B298" s="19" t="s">
        <v>2075</v>
      </c>
      <c r="C298" s="19" t="s">
        <v>139</v>
      </c>
      <c r="D298" s="20">
        <v>43097.0</v>
      </c>
      <c r="E298" s="27" t="s">
        <v>92</v>
      </c>
      <c r="F298" s="19" t="s">
        <v>176</v>
      </c>
      <c r="G298" s="19" t="s">
        <v>140</v>
      </c>
      <c r="H298" s="30" t="s">
        <v>140</v>
      </c>
      <c r="I298" s="32">
        <v>43101.0</v>
      </c>
      <c r="J298" s="32">
        <v>43103.0</v>
      </c>
      <c r="K298" s="9"/>
      <c r="L298" s="9"/>
      <c r="M298" s="9"/>
      <c r="N298" s="9"/>
      <c r="O298" s="9"/>
      <c r="P298" s="9"/>
      <c r="Q298" s="9"/>
      <c r="R298" s="9"/>
      <c r="S298" s="9"/>
      <c r="T298" s="9"/>
      <c r="U298" s="9"/>
      <c r="V298" s="9"/>
      <c r="W298" s="9"/>
      <c r="X298" s="9"/>
      <c r="Y298" s="9"/>
      <c r="Z298" s="9"/>
    </row>
    <row r="299" hidden="1">
      <c r="A299" s="17" t="str">
        <f>hyperlink("https://issues.sierrawireless.com/browse/OEMPRI-5681", "OEMPRI-5681")</f>
        <v>OEMPRI-5681</v>
      </c>
      <c r="B299" s="19" t="s">
        <v>2082</v>
      </c>
      <c r="C299" s="19" t="s">
        <v>139</v>
      </c>
      <c r="D299" s="20">
        <v>43097.0</v>
      </c>
      <c r="E299" s="27">
        <v>43105.0</v>
      </c>
      <c r="F299" s="19" t="s">
        <v>166</v>
      </c>
      <c r="G299" s="19" t="s">
        <v>141</v>
      </c>
      <c r="H299" s="30" t="s">
        <v>141</v>
      </c>
      <c r="I299" s="32"/>
      <c r="J299" s="32"/>
      <c r="K299" s="9"/>
      <c r="L299" s="9"/>
      <c r="M299" s="9"/>
      <c r="N299" s="9"/>
      <c r="O299" s="9"/>
      <c r="P299" s="9"/>
      <c r="Q299" s="9"/>
      <c r="R299" s="9"/>
      <c r="S299" s="9"/>
      <c r="T299" s="9"/>
      <c r="U299" s="9"/>
      <c r="V299" s="9"/>
      <c r="W299" s="9"/>
      <c r="X299" s="9"/>
      <c r="Y299" s="9"/>
      <c r="Z299" s="9"/>
    </row>
    <row r="300" hidden="1">
      <c r="A300" s="34" t="str">
        <f>hyperlink("https://issues.sierrawireless.com/browse/OEMPRI-5672", "OEMPRI-5672")</f>
        <v>OEMPRI-5672</v>
      </c>
      <c r="B300" s="36" t="s">
        <v>2087</v>
      </c>
      <c r="C300" s="36" t="s">
        <v>139</v>
      </c>
      <c r="D300" s="38">
        <v>43096.0</v>
      </c>
      <c r="E300" s="39">
        <v>43112.0</v>
      </c>
      <c r="F300" s="36" t="s">
        <v>160</v>
      </c>
      <c r="G300" s="36" t="s">
        <v>148</v>
      </c>
      <c r="H300" s="40" t="s">
        <v>244</v>
      </c>
      <c r="I300" s="41">
        <v>43108.0</v>
      </c>
      <c r="J300" s="41">
        <v>43108.0</v>
      </c>
      <c r="K300" s="42"/>
      <c r="L300" s="42"/>
      <c r="M300" s="42"/>
      <c r="N300" s="42"/>
      <c r="O300" s="42"/>
      <c r="P300" s="42"/>
      <c r="Q300" s="42"/>
      <c r="R300" s="42"/>
      <c r="S300" s="42"/>
      <c r="T300" s="42"/>
      <c r="U300" s="42"/>
      <c r="V300" s="42"/>
      <c r="W300" s="42"/>
      <c r="X300" s="42"/>
      <c r="Y300" s="42"/>
      <c r="Z300" s="42"/>
    </row>
    <row r="301" hidden="1">
      <c r="A301" s="34" t="str">
        <f>hyperlink("https://issues.sierrawireless.com/browse/OEMPRI-5673", "OEMPRI-5673")</f>
        <v>OEMPRI-5673</v>
      </c>
      <c r="B301" s="36" t="s">
        <v>2092</v>
      </c>
      <c r="C301" s="36" t="s">
        <v>139</v>
      </c>
      <c r="D301" s="38">
        <v>43096.0</v>
      </c>
      <c r="E301" s="39" t="s">
        <v>92</v>
      </c>
      <c r="F301" s="36" t="s">
        <v>176</v>
      </c>
      <c r="G301" s="36" t="s">
        <v>320</v>
      </c>
      <c r="H301" s="40" t="s">
        <v>337</v>
      </c>
      <c r="I301" s="41">
        <v>43101.0</v>
      </c>
      <c r="J301" s="41">
        <v>43103.0</v>
      </c>
      <c r="K301" s="42"/>
      <c r="L301" s="42"/>
      <c r="M301" s="42"/>
      <c r="N301" s="42"/>
      <c r="O301" s="42"/>
      <c r="P301" s="42"/>
      <c r="Q301" s="42"/>
      <c r="R301" s="42"/>
      <c r="S301" s="42"/>
      <c r="T301" s="42"/>
      <c r="U301" s="42"/>
      <c r="V301" s="42"/>
      <c r="W301" s="42"/>
      <c r="X301" s="42"/>
      <c r="Y301" s="42"/>
      <c r="Z301" s="42"/>
    </row>
    <row r="302" hidden="1">
      <c r="A302" s="34" t="str">
        <f>hyperlink("https://issues.sierrawireless.com/browse/OEMPRI-5674", "OEMPRI-5674")</f>
        <v>OEMPRI-5674</v>
      </c>
      <c r="B302" s="36" t="s">
        <v>2098</v>
      </c>
      <c r="C302" s="36" t="s">
        <v>139</v>
      </c>
      <c r="D302" s="38">
        <v>43096.0</v>
      </c>
      <c r="E302" s="39">
        <v>43105.0</v>
      </c>
      <c r="F302" s="36" t="s">
        <v>160</v>
      </c>
      <c r="G302" s="36" t="s">
        <v>148</v>
      </c>
      <c r="H302" s="40" t="s">
        <v>244</v>
      </c>
      <c r="I302" s="41">
        <v>43101.0</v>
      </c>
      <c r="J302" s="41">
        <v>43102.0</v>
      </c>
      <c r="K302" s="42"/>
      <c r="L302" s="42"/>
      <c r="M302" s="42"/>
      <c r="N302" s="42"/>
      <c r="O302" s="42"/>
      <c r="P302" s="42"/>
      <c r="Q302" s="42"/>
      <c r="R302" s="42"/>
      <c r="S302" s="42"/>
      <c r="T302" s="42"/>
      <c r="U302" s="42"/>
      <c r="V302" s="42"/>
      <c r="W302" s="42"/>
      <c r="X302" s="42"/>
      <c r="Y302" s="42"/>
      <c r="Z302" s="42"/>
    </row>
    <row r="303" hidden="1">
      <c r="A303" s="34" t="str">
        <f>hyperlink("https://issues.sierrawireless.com/browse/OEMPRI-5671", "OEMPRI-5671")</f>
        <v>OEMPRI-5671</v>
      </c>
      <c r="B303" s="36" t="s">
        <v>2103</v>
      </c>
      <c r="C303" s="36" t="s">
        <v>139</v>
      </c>
      <c r="D303" s="38">
        <v>43095.0</v>
      </c>
      <c r="E303" s="39">
        <v>43112.0</v>
      </c>
      <c r="F303" s="36" t="s">
        <v>160</v>
      </c>
      <c r="G303" s="36" t="s">
        <v>148</v>
      </c>
      <c r="H303" s="40" t="s">
        <v>244</v>
      </c>
      <c r="I303" s="41">
        <v>43108.0</v>
      </c>
      <c r="J303" s="41">
        <v>43108.0</v>
      </c>
      <c r="K303" s="42"/>
      <c r="L303" s="42"/>
      <c r="M303" s="42"/>
      <c r="N303" s="42"/>
      <c r="O303" s="42"/>
      <c r="P303" s="42"/>
      <c r="Q303" s="42"/>
      <c r="R303" s="42"/>
      <c r="S303" s="42"/>
      <c r="T303" s="42"/>
      <c r="U303" s="42"/>
      <c r="V303" s="42"/>
      <c r="W303" s="42"/>
      <c r="X303" s="42"/>
      <c r="Y303" s="42"/>
      <c r="Z303" s="42"/>
    </row>
    <row r="304" hidden="1">
      <c r="A304" s="34" t="str">
        <f>hyperlink("https://issues.sierrawireless.com/browse/OEMPRI-5670", "OEMPRI-5670")</f>
        <v>OEMPRI-5670</v>
      </c>
      <c r="B304" s="36" t="s">
        <v>2110</v>
      </c>
      <c r="C304" s="36" t="s">
        <v>139</v>
      </c>
      <c r="D304" s="38">
        <v>43094.0</v>
      </c>
      <c r="E304" s="39" t="s">
        <v>92</v>
      </c>
      <c r="F304" s="36" t="s">
        <v>166</v>
      </c>
      <c r="G304" s="36" t="s">
        <v>141</v>
      </c>
      <c r="H304" s="40" t="s">
        <v>141</v>
      </c>
      <c r="I304" s="41">
        <v>43108.0</v>
      </c>
      <c r="J304" s="41">
        <v>43108.0</v>
      </c>
      <c r="K304" s="42"/>
      <c r="L304" s="42"/>
      <c r="M304" s="42"/>
      <c r="N304" s="42"/>
      <c r="O304" s="42"/>
      <c r="P304" s="42"/>
      <c r="Q304" s="42"/>
      <c r="R304" s="42"/>
      <c r="S304" s="42"/>
      <c r="T304" s="42"/>
      <c r="U304" s="42"/>
      <c r="V304" s="42"/>
      <c r="W304" s="42"/>
      <c r="X304" s="42"/>
      <c r="Y304" s="42"/>
      <c r="Z304" s="42"/>
    </row>
    <row r="305" hidden="1">
      <c r="A305" s="105" t="str">
        <f>hyperlink("https://issues.sierrawireless.com/browse/OEMPRI-5634", "OEMPRI-5634")</f>
        <v>OEMPRI-5634</v>
      </c>
      <c r="B305" s="5" t="s">
        <v>2123</v>
      </c>
      <c r="C305" s="5" t="s">
        <v>139</v>
      </c>
      <c r="D305" s="106">
        <v>43090.0</v>
      </c>
      <c r="E305" s="107">
        <v>43061.0</v>
      </c>
      <c r="F305" s="5" t="s">
        <v>723</v>
      </c>
      <c r="G305" s="5" t="s">
        <v>122</v>
      </c>
      <c r="H305" s="5" t="s">
        <v>122</v>
      </c>
      <c r="I305" s="108">
        <v>43094.0</v>
      </c>
      <c r="J305" s="108">
        <v>43097.0</v>
      </c>
      <c r="K305" s="42"/>
      <c r="L305" s="42"/>
      <c r="M305" s="42"/>
      <c r="N305" s="42"/>
      <c r="O305" s="42"/>
      <c r="P305" s="42"/>
      <c r="Q305" s="42"/>
      <c r="R305" s="42"/>
      <c r="S305" s="42"/>
      <c r="T305" s="42"/>
      <c r="U305" s="42"/>
      <c r="V305" s="42"/>
      <c r="W305" s="42"/>
      <c r="X305" s="42"/>
      <c r="Y305" s="42"/>
      <c r="Z305" s="42"/>
    </row>
    <row r="306" hidden="1">
      <c r="A306" s="34" t="str">
        <f>hyperlink("https://issues.sierrawireless.com/browse/OEMPRI-5629", "OEMPRI-5629")</f>
        <v>OEMPRI-5629</v>
      </c>
      <c r="B306" s="36" t="s">
        <v>2139</v>
      </c>
      <c r="C306" s="36" t="s">
        <v>139</v>
      </c>
      <c r="D306" s="38">
        <v>43090.0</v>
      </c>
      <c r="E306" s="39">
        <v>43061.0</v>
      </c>
      <c r="F306" s="36" t="s">
        <v>723</v>
      </c>
      <c r="G306" s="36" t="s">
        <v>122</v>
      </c>
      <c r="H306" s="36" t="s">
        <v>122</v>
      </c>
      <c r="I306" s="41">
        <v>43094.0</v>
      </c>
      <c r="J306" s="41">
        <v>43096.0</v>
      </c>
      <c r="K306" s="42"/>
      <c r="L306" s="42"/>
      <c r="M306" s="42"/>
      <c r="N306" s="42"/>
      <c r="O306" s="42"/>
      <c r="P306" s="42"/>
      <c r="Q306" s="42"/>
      <c r="R306" s="42"/>
      <c r="S306" s="42"/>
      <c r="T306" s="42"/>
      <c r="U306" s="42"/>
      <c r="V306" s="42"/>
      <c r="W306" s="42"/>
      <c r="X306" s="42"/>
      <c r="Y306" s="42"/>
      <c r="Z306" s="42"/>
    </row>
    <row r="307" hidden="1">
      <c r="A307" s="105" t="str">
        <f>hyperlink("https://issues.sierrawireless.com/browse/OEMPRI-5639", "OEMPRI-5639")</f>
        <v>OEMPRI-5639</v>
      </c>
      <c r="B307" s="5" t="s">
        <v>2146</v>
      </c>
      <c r="C307" s="5" t="s">
        <v>139</v>
      </c>
      <c r="D307" s="106">
        <v>43090.0</v>
      </c>
      <c r="E307" s="107">
        <v>43061.0</v>
      </c>
      <c r="F307" s="5" t="s">
        <v>723</v>
      </c>
      <c r="G307" s="5" t="s">
        <v>122</v>
      </c>
      <c r="H307" s="5" t="s">
        <v>122</v>
      </c>
      <c r="I307" s="108">
        <v>43094.0</v>
      </c>
      <c r="J307" s="108">
        <v>43098.0</v>
      </c>
      <c r="K307" s="42"/>
      <c r="L307" s="42"/>
      <c r="M307" s="42"/>
      <c r="N307" s="42"/>
      <c r="O307" s="42"/>
      <c r="P307" s="42"/>
      <c r="Q307" s="42"/>
      <c r="R307" s="42"/>
      <c r="S307" s="42"/>
      <c r="T307" s="42"/>
      <c r="U307" s="42"/>
      <c r="V307" s="42"/>
      <c r="W307" s="42"/>
      <c r="X307" s="42"/>
      <c r="Y307" s="42"/>
      <c r="Z307" s="42"/>
    </row>
    <row r="308" hidden="1">
      <c r="A308" s="105" t="str">
        <f>hyperlink("https://issues.sierrawireless.com/browse/OEMPRI-5652", "OEMPRI-5652")</f>
        <v>OEMPRI-5652</v>
      </c>
      <c r="B308" s="5" t="s">
        <v>2150</v>
      </c>
      <c r="C308" s="5" t="s">
        <v>175</v>
      </c>
      <c r="D308" s="106">
        <v>43090.0</v>
      </c>
      <c r="E308" s="107">
        <v>43097.0</v>
      </c>
      <c r="F308" s="5" t="s">
        <v>160</v>
      </c>
      <c r="G308" s="5" t="s">
        <v>148</v>
      </c>
      <c r="H308" s="5" t="s">
        <v>244</v>
      </c>
      <c r="I308" s="108">
        <v>43094.0</v>
      </c>
      <c r="J308" s="108">
        <v>43094.0</v>
      </c>
      <c r="K308" s="42"/>
      <c r="L308" s="42"/>
      <c r="M308" s="42"/>
      <c r="N308" s="42"/>
      <c r="O308" s="42"/>
      <c r="P308" s="42"/>
      <c r="Q308" s="42"/>
      <c r="R308" s="42"/>
      <c r="S308" s="42"/>
      <c r="T308" s="42"/>
      <c r="U308" s="42"/>
      <c r="V308" s="42"/>
      <c r="W308" s="42"/>
      <c r="X308" s="42"/>
      <c r="Y308" s="42"/>
      <c r="Z308" s="42"/>
    </row>
    <row r="309" hidden="1">
      <c r="A309" s="105" t="str">
        <f>hyperlink("https://issues.sierrawireless.com/browse/OEMPRI-5656", "OEMPRI-5656")</f>
        <v>OEMPRI-5656</v>
      </c>
      <c r="B309" s="5" t="s">
        <v>2160</v>
      </c>
      <c r="C309" s="5" t="s">
        <v>139</v>
      </c>
      <c r="D309" s="106">
        <v>43090.0</v>
      </c>
      <c r="E309" s="107">
        <v>43097.0</v>
      </c>
      <c r="F309" s="5" t="s">
        <v>160</v>
      </c>
      <c r="G309" s="5" t="s">
        <v>148</v>
      </c>
      <c r="H309" s="40" t="s">
        <v>244</v>
      </c>
      <c r="I309" s="108">
        <v>43094.0</v>
      </c>
      <c r="J309" s="108">
        <v>43094.0</v>
      </c>
      <c r="K309" s="42"/>
      <c r="L309" s="42"/>
      <c r="M309" s="42"/>
      <c r="N309" s="42"/>
      <c r="O309" s="42"/>
      <c r="P309" s="42"/>
      <c r="Q309" s="42"/>
      <c r="R309" s="42"/>
      <c r="S309" s="42"/>
      <c r="T309" s="42"/>
      <c r="U309" s="42"/>
      <c r="V309" s="42"/>
      <c r="W309" s="42"/>
      <c r="X309" s="42"/>
      <c r="Y309" s="42"/>
      <c r="Z309" s="42"/>
    </row>
    <row r="310" hidden="1">
      <c r="A310" s="97" t="s">
        <v>2164</v>
      </c>
      <c r="B310" s="98" t="s">
        <v>2167</v>
      </c>
      <c r="C310" s="98" t="s">
        <v>139</v>
      </c>
      <c r="D310" s="99">
        <v>43088.0</v>
      </c>
      <c r="E310" s="100">
        <v>43095.0</v>
      </c>
      <c r="F310" s="101" t="s">
        <v>398</v>
      </c>
      <c r="G310" s="98" t="s">
        <v>140</v>
      </c>
      <c r="H310" s="102" t="s">
        <v>140</v>
      </c>
      <c r="I310" s="103">
        <v>43157.0</v>
      </c>
      <c r="J310" s="103">
        <v>43161.0</v>
      </c>
      <c r="K310" s="89"/>
      <c r="L310" s="42"/>
      <c r="M310" s="42"/>
      <c r="N310" s="42"/>
      <c r="O310" s="42"/>
      <c r="P310" s="42"/>
      <c r="Q310" s="42"/>
      <c r="R310" s="42"/>
      <c r="S310" s="42"/>
      <c r="T310" s="42"/>
      <c r="U310" s="42"/>
      <c r="V310" s="42"/>
      <c r="W310" s="42"/>
      <c r="X310" s="42"/>
      <c r="Y310" s="42"/>
      <c r="Z310" s="42"/>
    </row>
    <row r="311" hidden="1">
      <c r="A311" s="34" t="str">
        <f>hyperlink("https://issues.sierrawireless.com/browse/OEMPRI-5624", "OEMPRI-5624")</f>
        <v>OEMPRI-5624</v>
      </c>
      <c r="B311" s="36" t="s">
        <v>2167</v>
      </c>
      <c r="C311" s="36" t="s">
        <v>139</v>
      </c>
      <c r="D311" s="38">
        <v>43088.0</v>
      </c>
      <c r="E311" s="39">
        <v>43095.0</v>
      </c>
      <c r="F311" s="36" t="s">
        <v>398</v>
      </c>
      <c r="G311" s="36" t="s">
        <v>140</v>
      </c>
      <c r="H311" s="40" t="s">
        <v>140</v>
      </c>
      <c r="I311" s="41">
        <v>43157.0</v>
      </c>
      <c r="J311" s="41">
        <v>43161.0</v>
      </c>
      <c r="K311" s="42"/>
      <c r="L311" s="42"/>
      <c r="M311" s="42"/>
      <c r="N311" s="42"/>
      <c r="O311" s="42"/>
      <c r="P311" s="42"/>
      <c r="Q311" s="42"/>
      <c r="R311" s="42"/>
      <c r="S311" s="42"/>
      <c r="T311" s="42"/>
      <c r="U311" s="42"/>
      <c r="V311" s="42"/>
      <c r="W311" s="42"/>
      <c r="X311" s="42"/>
      <c r="Y311" s="42"/>
      <c r="Z311" s="42"/>
    </row>
    <row r="312" hidden="1">
      <c r="A312" s="105" t="str">
        <f>hyperlink("https://issues.sierrawireless.com/browse/OEMPRI-5606", "OEMPRI-5606")</f>
        <v>OEMPRI-5606</v>
      </c>
      <c r="B312" s="5" t="s">
        <v>2180</v>
      </c>
      <c r="C312" s="5" t="s">
        <v>139</v>
      </c>
      <c r="D312" s="106">
        <v>43087.0</v>
      </c>
      <c r="E312" s="107">
        <v>43105.0</v>
      </c>
      <c r="F312" s="5" t="s">
        <v>166</v>
      </c>
      <c r="G312" s="5" t="s">
        <v>148</v>
      </c>
      <c r="H312" s="5" t="s">
        <v>141</v>
      </c>
      <c r="I312" s="108">
        <v>43087.0</v>
      </c>
      <c r="J312" s="109">
        <v>43088.0</v>
      </c>
      <c r="K312" s="42"/>
      <c r="L312" s="42"/>
      <c r="M312" s="42"/>
      <c r="N312" s="42"/>
      <c r="O312" s="42"/>
      <c r="P312" s="42"/>
      <c r="Q312" s="42"/>
      <c r="R312" s="42"/>
      <c r="S312" s="42"/>
      <c r="T312" s="42"/>
      <c r="U312" s="42"/>
      <c r="V312" s="42"/>
      <c r="W312" s="42"/>
      <c r="X312" s="42"/>
      <c r="Y312" s="42"/>
      <c r="Z312" s="42"/>
    </row>
    <row r="313" hidden="1">
      <c r="A313" s="110" t="str">
        <f>hyperlink("https://issues.sierrawireless.com/browse/OEMPRI-5577", "OEMPRI-5577")</f>
        <v>OEMPRI-5577</v>
      </c>
      <c r="B313" s="49" t="s">
        <v>2193</v>
      </c>
      <c r="C313" s="49" t="s">
        <v>225</v>
      </c>
      <c r="D313" s="50">
        <v>43083.0</v>
      </c>
      <c r="E313" s="54" t="s">
        <v>92</v>
      </c>
      <c r="F313" s="49" t="s">
        <v>119</v>
      </c>
      <c r="G313" s="49" t="s">
        <v>2197</v>
      </c>
      <c r="H313" s="49" t="s">
        <v>2197</v>
      </c>
      <c r="I313" s="111"/>
      <c r="J313" s="112"/>
      <c r="K313" s="9"/>
      <c r="L313" s="9"/>
      <c r="M313" s="9"/>
      <c r="N313" s="9"/>
      <c r="O313" s="9"/>
      <c r="P313" s="9"/>
      <c r="Q313" s="9"/>
      <c r="R313" s="9"/>
      <c r="S313" s="9"/>
      <c r="T313" s="9"/>
      <c r="U313" s="9"/>
      <c r="V313" s="9"/>
      <c r="W313" s="9"/>
      <c r="X313" s="9"/>
      <c r="Y313" s="9"/>
      <c r="Z313" s="9"/>
    </row>
    <row r="314" hidden="1">
      <c r="A314" s="110" t="str">
        <f>hyperlink("https://issues.sierrawireless.com/browse/OEMPRI-5575", "OEMPRI-5575")</f>
        <v>OEMPRI-5575</v>
      </c>
      <c r="B314" s="49" t="s">
        <v>2206</v>
      </c>
      <c r="C314" s="49" t="s">
        <v>86</v>
      </c>
      <c r="D314" s="50">
        <v>43082.0</v>
      </c>
      <c r="E314" s="54" t="s">
        <v>92</v>
      </c>
      <c r="F314" s="49" t="s">
        <v>215</v>
      </c>
      <c r="G314" s="49" t="s">
        <v>633</v>
      </c>
      <c r="H314" s="49" t="s">
        <v>633</v>
      </c>
      <c r="I314" s="111">
        <v>43094.0</v>
      </c>
      <c r="J314" s="111">
        <v>43095.0</v>
      </c>
      <c r="K314" s="9"/>
      <c r="L314" s="9"/>
      <c r="M314" s="9"/>
      <c r="N314" s="9"/>
      <c r="O314" s="9"/>
      <c r="P314" s="9"/>
      <c r="Q314" s="9"/>
      <c r="R314" s="9"/>
      <c r="S314" s="9"/>
      <c r="T314" s="9"/>
      <c r="U314" s="9"/>
      <c r="V314" s="9"/>
      <c r="W314" s="9"/>
      <c r="X314" s="9"/>
      <c r="Y314" s="9"/>
      <c r="Z314" s="9"/>
    </row>
    <row r="315" hidden="1">
      <c r="A315" s="105" t="str">
        <f>hyperlink("https://issues.sierrawireless.com/browse/OEMPRI-5567", "OEMPRI-5567")</f>
        <v>OEMPRI-5567</v>
      </c>
      <c r="B315" s="5" t="s">
        <v>2211</v>
      </c>
      <c r="C315" s="5" t="s">
        <v>139</v>
      </c>
      <c r="D315" s="106">
        <v>43081.0</v>
      </c>
      <c r="E315" s="107">
        <v>43081.0</v>
      </c>
      <c r="F315" s="5" t="s">
        <v>176</v>
      </c>
      <c r="G315" s="5" t="s">
        <v>140</v>
      </c>
      <c r="H315" s="5" t="s">
        <v>140</v>
      </c>
      <c r="I315" s="108">
        <v>43094.0</v>
      </c>
      <c r="J315" s="108">
        <v>43095.0</v>
      </c>
      <c r="K315" s="42"/>
      <c r="L315" s="42"/>
      <c r="M315" s="42"/>
      <c r="N315" s="42"/>
      <c r="O315" s="42"/>
      <c r="P315" s="42"/>
      <c r="Q315" s="42"/>
      <c r="R315" s="42"/>
      <c r="S315" s="42"/>
      <c r="T315" s="42"/>
      <c r="U315" s="42"/>
      <c r="V315" s="42"/>
      <c r="W315" s="42"/>
      <c r="X315" s="42"/>
      <c r="Y315" s="42"/>
      <c r="Z315" s="42"/>
    </row>
    <row r="316" hidden="1">
      <c r="A316" s="105" t="str">
        <f>hyperlink("https://issues.sierrawireless.com/browse/OEMPRI-5559", "OEMPRI-5559")</f>
        <v>OEMPRI-5559</v>
      </c>
      <c r="B316" s="5" t="s">
        <v>2218</v>
      </c>
      <c r="C316" s="5" t="s">
        <v>139</v>
      </c>
      <c r="D316" s="106">
        <v>43080.0</v>
      </c>
      <c r="E316" s="107" t="s">
        <v>92</v>
      </c>
      <c r="F316" s="5" t="s">
        <v>160</v>
      </c>
      <c r="G316" s="5" t="s">
        <v>155</v>
      </c>
      <c r="H316" s="5" t="s">
        <v>155</v>
      </c>
      <c r="I316" s="113">
        <v>43080.0</v>
      </c>
      <c r="J316" s="109">
        <v>43084.0</v>
      </c>
      <c r="K316" s="42"/>
      <c r="L316" s="42"/>
      <c r="M316" s="42"/>
      <c r="N316" s="42"/>
      <c r="O316" s="42"/>
      <c r="P316" s="42"/>
      <c r="Q316" s="42"/>
      <c r="R316" s="42"/>
      <c r="S316" s="42"/>
      <c r="T316" s="42"/>
      <c r="U316" s="42"/>
      <c r="V316" s="42"/>
      <c r="W316" s="42"/>
      <c r="X316" s="42"/>
      <c r="Y316" s="42"/>
      <c r="Z316" s="42"/>
    </row>
    <row r="317" hidden="1">
      <c r="A317" s="110" t="str">
        <f>hyperlink("https://issues.sierrawireless.com/browse/OEMPRI-5554", "OEMPRI-5554")</f>
        <v>OEMPRI-5554</v>
      </c>
      <c r="B317" s="49" t="s">
        <v>2226</v>
      </c>
      <c r="C317" s="49" t="s">
        <v>139</v>
      </c>
      <c r="D317" s="50">
        <v>43077.0</v>
      </c>
      <c r="E317" s="54">
        <v>43070.0</v>
      </c>
      <c r="F317" s="49" t="s">
        <v>166</v>
      </c>
      <c r="G317" s="49" t="s">
        <v>140</v>
      </c>
      <c r="H317" s="49" t="s">
        <v>140</v>
      </c>
      <c r="I317" s="114"/>
      <c r="J317" s="112"/>
      <c r="K317" s="9"/>
      <c r="L317" s="9"/>
      <c r="M317" s="9"/>
      <c r="N317" s="9"/>
      <c r="O317" s="9"/>
      <c r="P317" s="9"/>
      <c r="Q317" s="9"/>
      <c r="R317" s="9"/>
      <c r="S317" s="9"/>
      <c r="T317" s="9"/>
      <c r="U317" s="9"/>
      <c r="V317" s="9"/>
      <c r="W317" s="9"/>
      <c r="X317" s="9"/>
      <c r="Y317" s="9"/>
      <c r="Z317" s="9"/>
    </row>
    <row r="318" hidden="1">
      <c r="A318" s="105" t="str">
        <f>hyperlink("https://issues.sierrawireless.com/browse/OEMPRI-5556", "OEMPRI-5556")</f>
        <v>OEMPRI-5556</v>
      </c>
      <c r="B318" s="5" t="s">
        <v>2235</v>
      </c>
      <c r="C318" s="5" t="s">
        <v>139</v>
      </c>
      <c r="D318" s="106">
        <v>43077.0</v>
      </c>
      <c r="E318" s="107" t="s">
        <v>92</v>
      </c>
      <c r="F318" s="5" t="s">
        <v>176</v>
      </c>
      <c r="G318" s="5" t="s">
        <v>337</v>
      </c>
      <c r="H318" s="5" t="s">
        <v>337</v>
      </c>
      <c r="I318" s="108">
        <v>43087.0</v>
      </c>
      <c r="J318" s="108">
        <v>43088.0</v>
      </c>
      <c r="K318" s="42"/>
      <c r="L318" s="42"/>
      <c r="M318" s="42"/>
      <c r="N318" s="42"/>
      <c r="O318" s="42"/>
      <c r="P318" s="42"/>
      <c r="Q318" s="42"/>
      <c r="R318" s="42"/>
      <c r="S318" s="42"/>
      <c r="T318" s="42"/>
      <c r="U318" s="42"/>
      <c r="V318" s="42"/>
      <c r="W318" s="42"/>
      <c r="X318" s="42"/>
      <c r="Y318" s="42"/>
      <c r="Z318" s="42"/>
    </row>
    <row r="319" hidden="1">
      <c r="A319" s="105" t="str">
        <f>hyperlink("https://issues.sierrawireless.com/browse/OEMPRI-5555", "OEMPRI-5555")</f>
        <v>OEMPRI-5555</v>
      </c>
      <c r="B319" s="5" t="s">
        <v>2241</v>
      </c>
      <c r="C319" s="5" t="s">
        <v>139</v>
      </c>
      <c r="D319" s="106">
        <v>43077.0</v>
      </c>
      <c r="E319" s="107" t="s">
        <v>92</v>
      </c>
      <c r="F319" s="5" t="s">
        <v>176</v>
      </c>
      <c r="G319" s="5" t="s">
        <v>337</v>
      </c>
      <c r="H319" s="5" t="s">
        <v>337</v>
      </c>
      <c r="I319" s="108">
        <v>43087.0</v>
      </c>
      <c r="J319" s="108">
        <v>43087.0</v>
      </c>
      <c r="K319" s="42"/>
      <c r="L319" s="42"/>
      <c r="M319" s="42"/>
      <c r="N319" s="42"/>
      <c r="O319" s="42"/>
      <c r="P319" s="42"/>
      <c r="Q319" s="42"/>
      <c r="R319" s="42"/>
      <c r="S319" s="42"/>
      <c r="T319" s="42"/>
      <c r="U319" s="42"/>
      <c r="V319" s="42"/>
      <c r="W319" s="42"/>
      <c r="X319" s="42"/>
      <c r="Y319" s="42"/>
      <c r="Z319" s="42"/>
    </row>
    <row r="320" hidden="1">
      <c r="A320" s="105" t="str">
        <f>hyperlink("https://issues.sierrawireless.com/browse/OEMPRI-5538", "OEMPRI-5538")</f>
        <v>OEMPRI-5538</v>
      </c>
      <c r="B320" s="5" t="s">
        <v>2250</v>
      </c>
      <c r="C320" s="5" t="s">
        <v>139</v>
      </c>
      <c r="D320" s="106">
        <v>43075.0</v>
      </c>
      <c r="E320" s="107">
        <v>43126.0</v>
      </c>
      <c r="F320" s="5" t="s">
        <v>160</v>
      </c>
      <c r="G320" s="5" t="s">
        <v>140</v>
      </c>
      <c r="H320" s="5" t="s">
        <v>141</v>
      </c>
      <c r="I320" s="41">
        <v>43129.0</v>
      </c>
      <c r="J320" s="41">
        <v>43130.0</v>
      </c>
      <c r="K320" s="42"/>
      <c r="L320" s="42"/>
      <c r="M320" s="42"/>
      <c r="N320" s="42"/>
      <c r="O320" s="42"/>
      <c r="P320" s="42"/>
      <c r="Q320" s="42"/>
      <c r="R320" s="42"/>
      <c r="S320" s="42"/>
      <c r="T320" s="42"/>
      <c r="U320" s="42"/>
      <c r="V320" s="42"/>
      <c r="W320" s="42"/>
      <c r="X320" s="42"/>
      <c r="Y320" s="42"/>
      <c r="Z320" s="42"/>
    </row>
    <row r="321" hidden="1">
      <c r="A321" s="105" t="str">
        <f>hyperlink("https://issues.sierrawireless.com/browse/OEMPRI-5537", "OEMPRI-5537")</f>
        <v>OEMPRI-5537</v>
      </c>
      <c r="B321" s="5" t="s">
        <v>2258</v>
      </c>
      <c r="C321" s="5" t="s">
        <v>139</v>
      </c>
      <c r="D321" s="106">
        <v>43075.0</v>
      </c>
      <c r="E321" s="107">
        <v>43117.0</v>
      </c>
      <c r="F321" s="5" t="s">
        <v>160</v>
      </c>
      <c r="G321" s="5" t="s">
        <v>148</v>
      </c>
      <c r="H321" s="5" t="s">
        <v>141</v>
      </c>
      <c r="I321" s="41">
        <v>43115.0</v>
      </c>
      <c r="J321" s="41">
        <v>43116.0</v>
      </c>
      <c r="K321" s="42"/>
      <c r="L321" s="42"/>
      <c r="M321" s="42"/>
      <c r="N321" s="42"/>
      <c r="O321" s="42"/>
      <c r="P321" s="42"/>
      <c r="Q321" s="42"/>
      <c r="R321" s="42"/>
      <c r="S321" s="42"/>
      <c r="T321" s="42"/>
      <c r="U321" s="42"/>
      <c r="V321" s="42"/>
      <c r="W321" s="42"/>
      <c r="X321" s="42"/>
      <c r="Y321" s="42"/>
      <c r="Z321" s="42"/>
    </row>
    <row r="322" hidden="1">
      <c r="A322" s="105" t="str">
        <f>hyperlink("https://issues.sierrawireless.com/browse/OEMPRI-5536", "OEMPRI-5536")</f>
        <v>OEMPRI-5536</v>
      </c>
      <c r="B322" s="5" t="s">
        <v>2264</v>
      </c>
      <c r="C322" s="5" t="s">
        <v>139</v>
      </c>
      <c r="D322" s="106">
        <v>43075.0</v>
      </c>
      <c r="E322" s="107" t="s">
        <v>92</v>
      </c>
      <c r="F322" s="5" t="s">
        <v>160</v>
      </c>
      <c r="G322" s="5" t="s">
        <v>140</v>
      </c>
      <c r="H322" s="5" t="s">
        <v>141</v>
      </c>
      <c r="I322" s="41">
        <v>43108.0</v>
      </c>
      <c r="J322" s="41">
        <v>43111.0</v>
      </c>
      <c r="K322" s="42"/>
      <c r="L322" s="42"/>
      <c r="M322" s="42"/>
      <c r="N322" s="42"/>
      <c r="O322" s="42"/>
      <c r="P322" s="42"/>
      <c r="Q322" s="42"/>
      <c r="R322" s="42"/>
      <c r="S322" s="42"/>
      <c r="T322" s="42"/>
      <c r="U322" s="42"/>
      <c r="V322" s="42"/>
      <c r="W322" s="42"/>
      <c r="X322" s="42"/>
      <c r="Y322" s="42"/>
      <c r="Z322" s="42"/>
    </row>
    <row r="323" hidden="1">
      <c r="A323" s="105" t="str">
        <f>hyperlink("https://issues.sierrawireless.com/browse/OEMPRI-5539", "OEMPRI-5539")</f>
        <v>OEMPRI-5539</v>
      </c>
      <c r="B323" s="5" t="s">
        <v>2269</v>
      </c>
      <c r="C323" s="5" t="s">
        <v>139</v>
      </c>
      <c r="D323" s="106">
        <v>43075.0</v>
      </c>
      <c r="E323" s="107">
        <v>43130.0</v>
      </c>
      <c r="F323" s="5" t="s">
        <v>160</v>
      </c>
      <c r="G323" s="5" t="s">
        <v>140</v>
      </c>
      <c r="H323" s="5" t="s">
        <v>141</v>
      </c>
      <c r="I323" s="41">
        <v>43129.0</v>
      </c>
      <c r="J323" s="41">
        <v>43130.0</v>
      </c>
      <c r="K323" s="42"/>
      <c r="L323" s="42"/>
      <c r="M323" s="42"/>
      <c r="N323" s="42"/>
      <c r="O323" s="42"/>
      <c r="P323" s="42"/>
      <c r="Q323" s="42"/>
      <c r="R323" s="42"/>
      <c r="S323" s="42"/>
      <c r="T323" s="42"/>
      <c r="U323" s="42"/>
      <c r="V323" s="42"/>
      <c r="W323" s="42"/>
      <c r="X323" s="42"/>
      <c r="Y323" s="42"/>
      <c r="Z323" s="42"/>
    </row>
    <row r="324" hidden="1">
      <c r="A324" s="105" t="str">
        <f>hyperlink("https://issues.sierrawireless.com/browse/OEMPRI-5520", "OEMPRI-5520")</f>
        <v>OEMPRI-5520</v>
      </c>
      <c r="B324" s="5" t="s">
        <v>2273</v>
      </c>
      <c r="C324" s="5" t="s">
        <v>139</v>
      </c>
      <c r="D324" s="106">
        <v>43074.0</v>
      </c>
      <c r="E324" s="107">
        <v>43077.0</v>
      </c>
      <c r="F324" s="5" t="s">
        <v>147</v>
      </c>
      <c r="G324" s="5" t="s">
        <v>148</v>
      </c>
      <c r="H324" s="5" t="s">
        <v>149</v>
      </c>
      <c r="I324" s="113">
        <v>43080.0</v>
      </c>
      <c r="J324" s="109">
        <v>43081.0</v>
      </c>
      <c r="K324" s="42"/>
      <c r="L324" s="42"/>
      <c r="M324" s="42"/>
      <c r="N324" s="42"/>
      <c r="O324" s="42"/>
      <c r="P324" s="42"/>
      <c r="Q324" s="42"/>
      <c r="R324" s="42"/>
      <c r="S324" s="42"/>
      <c r="T324" s="42"/>
      <c r="U324" s="42"/>
      <c r="V324" s="42"/>
      <c r="W324" s="42"/>
      <c r="X324" s="42"/>
      <c r="Y324" s="42"/>
      <c r="Z324" s="42"/>
    </row>
    <row r="325" hidden="1">
      <c r="A325" s="105" t="str">
        <f>hyperlink("https://issues.sierrawireless.com/browse/OEMPRI-5521", "OEMPRI-5521")</f>
        <v>OEMPRI-5521</v>
      </c>
      <c r="B325" s="5" t="s">
        <v>2279</v>
      </c>
      <c r="C325" s="5" t="s">
        <v>139</v>
      </c>
      <c r="D325" s="106">
        <v>43074.0</v>
      </c>
      <c r="E325" s="107">
        <v>43077.0</v>
      </c>
      <c r="F325" s="5" t="s">
        <v>147</v>
      </c>
      <c r="G325" s="5" t="s">
        <v>148</v>
      </c>
      <c r="H325" s="5" t="s">
        <v>149</v>
      </c>
      <c r="I325" s="113">
        <v>43080.0</v>
      </c>
      <c r="J325" s="109">
        <v>43081.0</v>
      </c>
      <c r="K325" s="42"/>
      <c r="L325" s="42"/>
      <c r="M325" s="42"/>
      <c r="N325" s="42"/>
      <c r="O325" s="42"/>
      <c r="P325" s="42"/>
      <c r="Q325" s="42"/>
      <c r="R325" s="42"/>
      <c r="S325" s="42"/>
      <c r="T325" s="42"/>
      <c r="U325" s="42"/>
      <c r="V325" s="42"/>
      <c r="W325" s="42"/>
      <c r="X325" s="42"/>
      <c r="Y325" s="42"/>
      <c r="Z325" s="42"/>
    </row>
    <row r="326" hidden="1">
      <c r="A326" s="115" t="str">
        <f>hyperlink("https://issues.sierrawireless.com/browse/OEMPRI-5498", "OEMPRI-5498")</f>
        <v>OEMPRI-5498</v>
      </c>
      <c r="B326" s="116" t="s">
        <v>2291</v>
      </c>
      <c r="C326" s="116" t="s">
        <v>139</v>
      </c>
      <c r="D326" s="117">
        <v>43073.0</v>
      </c>
      <c r="E326" s="118">
        <v>43076.0</v>
      </c>
      <c r="F326" s="116" t="s">
        <v>176</v>
      </c>
      <c r="G326" s="116" t="s">
        <v>337</v>
      </c>
      <c r="H326" s="116" t="s">
        <v>337</v>
      </c>
      <c r="I326" s="114">
        <v>43080.0</v>
      </c>
      <c r="J326" s="114">
        <v>43082.0</v>
      </c>
      <c r="K326" s="96"/>
      <c r="L326" s="96"/>
      <c r="M326" s="96"/>
      <c r="N326" s="96"/>
      <c r="O326" s="96"/>
      <c r="P326" s="96"/>
      <c r="Q326" s="96"/>
      <c r="R326" s="96"/>
      <c r="S326" s="96"/>
      <c r="T326" s="96"/>
      <c r="U326" s="96"/>
      <c r="V326" s="96"/>
      <c r="W326" s="96"/>
      <c r="X326" s="96"/>
      <c r="Y326" s="96"/>
      <c r="Z326" s="96"/>
    </row>
    <row r="327" hidden="1">
      <c r="A327" s="110" t="str">
        <f>hyperlink("https://issues.sierrawireless.com/browse/OEMPRI-5481", "OEMPRI-5481")</f>
        <v>OEMPRI-5481</v>
      </c>
      <c r="B327" s="49" t="s">
        <v>2301</v>
      </c>
      <c r="C327" s="49" t="s">
        <v>139</v>
      </c>
      <c r="D327" s="50">
        <v>43070.0</v>
      </c>
      <c r="E327" s="54" t="s">
        <v>92</v>
      </c>
      <c r="F327" s="49" t="s">
        <v>166</v>
      </c>
      <c r="G327" s="49" t="s">
        <v>140</v>
      </c>
      <c r="H327" s="49" t="s">
        <v>140</v>
      </c>
      <c r="I327" s="114"/>
      <c r="J327" s="111"/>
      <c r="K327" s="9"/>
      <c r="L327" s="9"/>
      <c r="M327" s="9"/>
      <c r="N327" s="9"/>
      <c r="O327" s="9"/>
      <c r="P327" s="9"/>
      <c r="Q327" s="9"/>
      <c r="R327" s="9"/>
      <c r="S327" s="9"/>
      <c r="T327" s="9"/>
      <c r="U327" s="9"/>
      <c r="V327" s="9"/>
      <c r="W327" s="9"/>
      <c r="X327" s="9"/>
      <c r="Y327" s="9"/>
      <c r="Z327" s="9"/>
    </row>
    <row r="328" hidden="1">
      <c r="A328" s="110" t="str">
        <f>hyperlink("https://issues.sierrawireless.com/browse/OEMPRI-5483", "OEMPRI-5483")</f>
        <v>OEMPRI-5483</v>
      </c>
      <c r="B328" s="49" t="s">
        <v>2307</v>
      </c>
      <c r="C328" s="49" t="s">
        <v>139</v>
      </c>
      <c r="D328" s="50">
        <v>43070.0</v>
      </c>
      <c r="E328" s="54">
        <v>43070.0</v>
      </c>
      <c r="F328" s="49" t="s">
        <v>166</v>
      </c>
      <c r="G328" s="49" t="s">
        <v>140</v>
      </c>
      <c r="H328" s="49" t="s">
        <v>140</v>
      </c>
      <c r="I328" s="114"/>
      <c r="J328" s="111"/>
      <c r="K328" s="9"/>
      <c r="L328" s="9"/>
      <c r="M328" s="9"/>
      <c r="N328" s="9"/>
      <c r="O328" s="9"/>
      <c r="P328" s="9"/>
      <c r="Q328" s="9"/>
      <c r="R328" s="9"/>
      <c r="S328" s="9"/>
      <c r="T328" s="9"/>
      <c r="U328" s="9"/>
      <c r="V328" s="9"/>
      <c r="W328" s="9"/>
      <c r="X328" s="9"/>
      <c r="Y328" s="9"/>
      <c r="Z328" s="9"/>
    </row>
    <row r="329" hidden="1">
      <c r="A329" s="110" t="str">
        <f>hyperlink("https://issues.sierrawireless.com/browse/OEMPRI-5484", "OEMPRI-5484")</f>
        <v>OEMPRI-5484</v>
      </c>
      <c r="B329" s="49" t="s">
        <v>2312</v>
      </c>
      <c r="C329" s="49" t="s">
        <v>139</v>
      </c>
      <c r="D329" s="50">
        <v>43070.0</v>
      </c>
      <c r="E329" s="54" t="s">
        <v>92</v>
      </c>
      <c r="F329" s="49" t="s">
        <v>176</v>
      </c>
      <c r="G329" s="49" t="s">
        <v>140</v>
      </c>
      <c r="H329" s="49" t="s">
        <v>140</v>
      </c>
      <c r="I329" s="114"/>
      <c r="J329" s="111"/>
      <c r="K329" s="9"/>
      <c r="L329" s="9"/>
      <c r="M329" s="9"/>
      <c r="N329" s="9"/>
      <c r="O329" s="9"/>
      <c r="P329" s="9"/>
      <c r="Q329" s="9"/>
      <c r="R329" s="9"/>
      <c r="S329" s="9"/>
      <c r="T329" s="9"/>
      <c r="U329" s="9"/>
      <c r="V329" s="9"/>
      <c r="W329" s="9"/>
      <c r="X329" s="9"/>
      <c r="Y329" s="9"/>
      <c r="Z329" s="9"/>
    </row>
    <row r="330" hidden="1">
      <c r="A330" s="105" t="str">
        <f>hyperlink("https://issues.sierrawireless.com/browse/OEMPRI-5485", "OEMPRI-5485")</f>
        <v>OEMPRI-5485</v>
      </c>
      <c r="B330" s="5" t="s">
        <v>2315</v>
      </c>
      <c r="C330" s="5" t="s">
        <v>139</v>
      </c>
      <c r="D330" s="106">
        <v>43070.0</v>
      </c>
      <c r="E330" s="107" t="s">
        <v>92</v>
      </c>
      <c r="F330" s="5" t="s">
        <v>723</v>
      </c>
      <c r="G330" s="5" t="s">
        <v>148</v>
      </c>
      <c r="H330" s="5" t="s">
        <v>122</v>
      </c>
      <c r="I330" s="113">
        <v>43073.0</v>
      </c>
      <c r="J330" s="109">
        <v>43073.0</v>
      </c>
      <c r="K330" s="42"/>
      <c r="L330" s="42"/>
      <c r="M330" s="42"/>
      <c r="N330" s="42"/>
      <c r="O330" s="42"/>
      <c r="P330" s="42"/>
      <c r="Q330" s="42"/>
      <c r="R330" s="42"/>
      <c r="S330" s="42"/>
      <c r="T330" s="42"/>
      <c r="U330" s="42"/>
      <c r="V330" s="42"/>
      <c r="W330" s="42"/>
      <c r="X330" s="42"/>
      <c r="Y330" s="42"/>
      <c r="Z330" s="42"/>
    </row>
    <row r="331" hidden="1">
      <c r="A331" s="105" t="str">
        <f>hyperlink("https://issues.sierrawireless.com/browse/OEMPRI-5471", "OEMPRI-5471")</f>
        <v>OEMPRI-5471</v>
      </c>
      <c r="B331" s="5" t="s">
        <v>2318</v>
      </c>
      <c r="C331" s="5" t="s">
        <v>139</v>
      </c>
      <c r="D331" s="106">
        <v>43067.0</v>
      </c>
      <c r="E331" s="107">
        <v>43075.0</v>
      </c>
      <c r="F331" s="5" t="s">
        <v>166</v>
      </c>
      <c r="G331" s="5" t="s">
        <v>140</v>
      </c>
      <c r="H331" s="5" t="s">
        <v>1748</v>
      </c>
      <c r="I331" s="113">
        <v>43073.0</v>
      </c>
      <c r="J331" s="108">
        <v>43075.0</v>
      </c>
      <c r="K331" s="42"/>
      <c r="L331" s="42"/>
      <c r="M331" s="42"/>
      <c r="N331" s="42"/>
      <c r="O331" s="42"/>
      <c r="P331" s="42"/>
      <c r="Q331" s="42"/>
      <c r="R331" s="42"/>
      <c r="S331" s="42"/>
      <c r="T331" s="42"/>
      <c r="U331" s="42"/>
      <c r="V331" s="42"/>
      <c r="W331" s="42"/>
      <c r="X331" s="42"/>
      <c r="Y331" s="42"/>
      <c r="Z331" s="42"/>
    </row>
    <row r="332" hidden="1">
      <c r="A332" s="34" t="str">
        <f>hyperlink("https://issues.sierrawireless.com/browse/OEMPRI-5431", "OEMPRI-5431")</f>
        <v>OEMPRI-5431</v>
      </c>
      <c r="B332" s="36" t="s">
        <v>2322</v>
      </c>
      <c r="C332" s="36" t="s">
        <v>139</v>
      </c>
      <c r="D332" s="38">
        <v>43067.0</v>
      </c>
      <c r="E332" s="39" t="s">
        <v>92</v>
      </c>
      <c r="F332" s="36" t="s">
        <v>119</v>
      </c>
      <c r="G332" s="36" t="s">
        <v>122</v>
      </c>
      <c r="H332" s="40" t="s">
        <v>2325</v>
      </c>
      <c r="I332" s="41">
        <v>43192.0</v>
      </c>
      <c r="J332" s="41">
        <v>43192.0</v>
      </c>
      <c r="K332" s="42"/>
      <c r="L332" s="42"/>
      <c r="M332" s="42"/>
      <c r="N332" s="42"/>
      <c r="O332" s="42"/>
      <c r="P332" s="42"/>
      <c r="Q332" s="42"/>
      <c r="R332" s="42"/>
      <c r="S332" s="42"/>
      <c r="T332" s="42"/>
      <c r="U332" s="42"/>
      <c r="V332" s="42"/>
      <c r="W332" s="42"/>
      <c r="X332" s="42"/>
      <c r="Y332" s="42"/>
      <c r="Z332" s="42"/>
    </row>
    <row r="333" hidden="1">
      <c r="A333" s="105" t="str">
        <f>hyperlink("https://issues.sierrawireless.com/browse/OEMPRI-5400", "OEMPRI-5400")</f>
        <v>OEMPRI-5400</v>
      </c>
      <c r="B333" s="5" t="s">
        <v>2328</v>
      </c>
      <c r="C333" s="5" t="s">
        <v>139</v>
      </c>
      <c r="D333" s="106">
        <v>43063.0</v>
      </c>
      <c r="E333" s="107">
        <v>43069.0</v>
      </c>
      <c r="F333" s="5" t="s">
        <v>147</v>
      </c>
      <c r="G333" s="5" t="s">
        <v>148</v>
      </c>
      <c r="H333" s="5" t="s">
        <v>149</v>
      </c>
      <c r="I333" s="113">
        <v>43066.0</v>
      </c>
      <c r="J333" s="108">
        <v>43069.0</v>
      </c>
      <c r="K333" s="42"/>
      <c r="L333" s="42"/>
      <c r="M333" s="42"/>
      <c r="N333" s="42"/>
      <c r="O333" s="42"/>
      <c r="P333" s="42"/>
      <c r="Q333" s="42"/>
      <c r="R333" s="42"/>
      <c r="S333" s="42"/>
      <c r="T333" s="42"/>
      <c r="U333" s="42"/>
      <c r="V333" s="42"/>
      <c r="W333" s="42"/>
      <c r="X333" s="42"/>
      <c r="Y333" s="42"/>
      <c r="Z333" s="42"/>
    </row>
    <row r="334" hidden="1">
      <c r="A334" s="105" t="str">
        <f>hyperlink("https://issues.sierrawireless.com/browse/OEMPRI-5401", "OEMPRI-5401")</f>
        <v>OEMPRI-5401</v>
      </c>
      <c r="B334" s="5" t="s">
        <v>2333</v>
      </c>
      <c r="C334" s="5" t="s">
        <v>139</v>
      </c>
      <c r="D334" s="106">
        <v>43063.0</v>
      </c>
      <c r="E334" s="107">
        <v>43069.0</v>
      </c>
      <c r="F334" s="5" t="s">
        <v>1629</v>
      </c>
      <c r="G334" s="5" t="s">
        <v>148</v>
      </c>
      <c r="H334" s="5" t="s">
        <v>149</v>
      </c>
      <c r="I334" s="113">
        <v>43066.0</v>
      </c>
      <c r="J334" s="108">
        <v>43069.0</v>
      </c>
      <c r="K334" s="42"/>
      <c r="L334" s="42"/>
      <c r="M334" s="42"/>
      <c r="N334" s="42"/>
      <c r="O334" s="42"/>
      <c r="P334" s="42"/>
      <c r="Q334" s="42"/>
      <c r="R334" s="42"/>
      <c r="S334" s="42"/>
      <c r="T334" s="42"/>
      <c r="U334" s="42"/>
      <c r="V334" s="42"/>
      <c r="W334" s="42"/>
      <c r="X334" s="42"/>
      <c r="Y334" s="42"/>
      <c r="Z334" s="42"/>
    </row>
    <row r="335" hidden="1">
      <c r="A335" s="119" t="s">
        <v>2337</v>
      </c>
      <c r="B335" s="5" t="s">
        <v>2341</v>
      </c>
      <c r="C335" s="5" t="s">
        <v>139</v>
      </c>
      <c r="D335" s="106">
        <v>43063.0</v>
      </c>
      <c r="E335" s="107" t="s">
        <v>92</v>
      </c>
      <c r="F335" s="5" t="s">
        <v>176</v>
      </c>
      <c r="G335" s="5" t="s">
        <v>337</v>
      </c>
      <c r="H335" s="5" t="s">
        <v>337</v>
      </c>
      <c r="I335" s="113">
        <v>43080.0</v>
      </c>
      <c r="J335" s="109">
        <v>43080.0</v>
      </c>
      <c r="K335" s="42"/>
      <c r="L335" s="42"/>
      <c r="M335" s="42"/>
      <c r="N335" s="42"/>
      <c r="O335" s="42"/>
      <c r="P335" s="42"/>
      <c r="Q335" s="42"/>
      <c r="R335" s="42"/>
      <c r="S335" s="42"/>
      <c r="T335" s="42"/>
      <c r="U335" s="42"/>
      <c r="V335" s="42"/>
      <c r="W335" s="42"/>
      <c r="X335" s="42"/>
      <c r="Y335" s="42"/>
      <c r="Z335" s="42"/>
    </row>
    <row r="336" hidden="1">
      <c r="A336" s="105" t="str">
        <f>hyperlink("https://issues.sierrawireless.com/browse/OEMPRI-5394", "OEMPRI-5394")</f>
        <v>OEMPRI-5394</v>
      </c>
      <c r="B336" s="5" t="s">
        <v>2347</v>
      </c>
      <c r="C336" s="5" t="s">
        <v>139</v>
      </c>
      <c r="D336" s="106">
        <v>43062.0</v>
      </c>
      <c r="E336" s="107">
        <v>43070.0</v>
      </c>
      <c r="F336" s="5" t="s">
        <v>160</v>
      </c>
      <c r="G336" s="5" t="s">
        <v>148</v>
      </c>
      <c r="H336" s="5" t="s">
        <v>244</v>
      </c>
      <c r="I336" s="113">
        <v>43066.0</v>
      </c>
      <c r="J336" s="109">
        <v>43066.0</v>
      </c>
      <c r="K336" s="9"/>
      <c r="L336" s="9"/>
      <c r="M336" s="9"/>
      <c r="N336" s="9"/>
      <c r="O336" s="9"/>
      <c r="P336" s="9"/>
      <c r="Q336" s="9"/>
      <c r="R336" s="9"/>
      <c r="S336" s="9"/>
      <c r="T336" s="9"/>
      <c r="U336" s="9"/>
      <c r="V336" s="9"/>
      <c r="W336" s="9"/>
      <c r="X336" s="9"/>
      <c r="Y336" s="9"/>
      <c r="Z336" s="9"/>
    </row>
    <row r="337" hidden="1">
      <c r="A337" s="105" t="str">
        <f>hyperlink("https://issues.sierrawireless.com/browse/OEMPRI-5392", "OEMPRI-5392")</f>
        <v>OEMPRI-5392</v>
      </c>
      <c r="B337" s="5" t="s">
        <v>2355</v>
      </c>
      <c r="C337" s="5" t="s">
        <v>139</v>
      </c>
      <c r="D337" s="106">
        <v>43062.0</v>
      </c>
      <c r="E337" s="107">
        <v>43070.0</v>
      </c>
      <c r="F337" s="5" t="s">
        <v>160</v>
      </c>
      <c r="G337" s="5" t="s">
        <v>148</v>
      </c>
      <c r="H337" s="5" t="s">
        <v>244</v>
      </c>
      <c r="I337" s="113">
        <v>43066.0</v>
      </c>
      <c r="J337" s="109">
        <v>43066.0</v>
      </c>
      <c r="K337" s="9"/>
      <c r="L337" s="9"/>
      <c r="M337" s="9"/>
      <c r="N337" s="9"/>
      <c r="O337" s="9"/>
      <c r="P337" s="9"/>
      <c r="Q337" s="9"/>
      <c r="R337" s="9"/>
      <c r="S337" s="9"/>
      <c r="T337" s="9"/>
      <c r="U337" s="9"/>
      <c r="V337" s="9"/>
      <c r="W337" s="9"/>
      <c r="X337" s="9"/>
      <c r="Y337" s="9"/>
      <c r="Z337" s="9"/>
    </row>
    <row r="338" hidden="1">
      <c r="A338" s="120" t="str">
        <f>hyperlink("https://issues.sierrawireless.com/browse/OEMPRI-5387", "OEMPRI-5387")</f>
        <v>OEMPRI-5387</v>
      </c>
      <c r="B338" s="121" t="s">
        <v>2365</v>
      </c>
      <c r="C338" s="121" t="s">
        <v>139</v>
      </c>
      <c r="D338" s="122">
        <v>43061.0</v>
      </c>
      <c r="E338" s="123" t="s">
        <v>92</v>
      </c>
      <c r="F338" s="121" t="s">
        <v>723</v>
      </c>
      <c r="G338" s="121" t="s">
        <v>140</v>
      </c>
      <c r="H338" s="121" t="s">
        <v>122</v>
      </c>
      <c r="I338" s="124">
        <v>43059.0</v>
      </c>
      <c r="J338" s="125">
        <v>43063.0</v>
      </c>
    </row>
    <row r="339" hidden="1">
      <c r="A339" s="126" t="str">
        <f>hyperlink("https://issues.sierrawireless.com/browse/OEMPRI-5384", "OEMPRI-5384")</f>
        <v>OEMPRI-5384</v>
      </c>
      <c r="B339" s="127" t="s">
        <v>2389</v>
      </c>
      <c r="C339" s="127" t="s">
        <v>139</v>
      </c>
      <c r="D339" s="128">
        <v>43061.0</v>
      </c>
      <c r="E339" s="129">
        <v>43349.0</v>
      </c>
      <c r="F339" s="127" t="s">
        <v>176</v>
      </c>
      <c r="G339" s="127" t="s">
        <v>140</v>
      </c>
      <c r="H339" s="127" t="s">
        <v>155</v>
      </c>
      <c r="I339" s="130">
        <v>43087.0</v>
      </c>
      <c r="J339" s="130">
        <v>43087.0</v>
      </c>
      <c r="K339" s="131"/>
      <c r="L339" s="131"/>
      <c r="M339" s="131"/>
      <c r="N339" s="131"/>
      <c r="O339" s="131"/>
      <c r="P339" s="131"/>
      <c r="Q339" s="131"/>
      <c r="R339" s="131"/>
      <c r="S339" s="131"/>
      <c r="T339" s="131"/>
      <c r="U339" s="131"/>
      <c r="V339" s="131"/>
      <c r="W339" s="131"/>
      <c r="X339" s="131"/>
      <c r="Y339" s="131"/>
      <c r="Z339" s="131"/>
    </row>
    <row r="340" hidden="1">
      <c r="A340" s="110" t="s">
        <v>1851</v>
      </c>
      <c r="B340" s="49" t="s">
        <v>2401</v>
      </c>
      <c r="C340" s="49" t="s">
        <v>139</v>
      </c>
      <c r="D340" s="50">
        <v>43060.0</v>
      </c>
      <c r="E340" s="53"/>
      <c r="F340" s="49" t="s">
        <v>160</v>
      </c>
      <c r="G340" s="49" t="s">
        <v>140</v>
      </c>
      <c r="H340" s="49" t="s">
        <v>153</v>
      </c>
      <c r="I340" s="132"/>
      <c r="J340" s="133"/>
    </row>
    <row r="341" hidden="1">
      <c r="A341" s="110" t="s">
        <v>1856</v>
      </c>
      <c r="B341" s="49" t="s">
        <v>2409</v>
      </c>
      <c r="C341" s="49" t="s">
        <v>139</v>
      </c>
      <c r="D341" s="50">
        <v>43059.0</v>
      </c>
      <c r="E341" s="53"/>
      <c r="F341" s="49" t="s">
        <v>160</v>
      </c>
      <c r="G341" s="49" t="s">
        <v>140</v>
      </c>
      <c r="H341" s="49" t="s">
        <v>153</v>
      </c>
      <c r="I341" s="132"/>
      <c r="J341" s="133"/>
    </row>
    <row r="342" hidden="1">
      <c r="A342" s="110" t="s">
        <v>1860</v>
      </c>
      <c r="B342" s="49" t="s">
        <v>2413</v>
      </c>
      <c r="C342" s="49" t="s">
        <v>139</v>
      </c>
      <c r="D342" s="50">
        <v>43059.0</v>
      </c>
      <c r="E342" s="53"/>
      <c r="F342" s="49" t="s">
        <v>160</v>
      </c>
      <c r="G342" s="49" t="s">
        <v>140</v>
      </c>
      <c r="H342" s="49" t="s">
        <v>153</v>
      </c>
      <c r="I342" s="132"/>
      <c r="J342" s="133"/>
    </row>
    <row r="343" hidden="1">
      <c r="A343" s="110" t="s">
        <v>1865</v>
      </c>
      <c r="B343" s="49" t="s">
        <v>2418</v>
      </c>
      <c r="C343" s="49" t="s">
        <v>139</v>
      </c>
      <c r="D343" s="50">
        <v>43059.0</v>
      </c>
      <c r="E343" s="133"/>
      <c r="F343" s="49" t="s">
        <v>723</v>
      </c>
      <c r="G343" s="49" t="s">
        <v>148</v>
      </c>
      <c r="H343" s="49" t="s">
        <v>140</v>
      </c>
      <c r="I343" s="132"/>
      <c r="J343" s="133"/>
    </row>
    <row r="344" hidden="1">
      <c r="A344" s="120" t="s">
        <v>1868</v>
      </c>
      <c r="B344" s="121" t="s">
        <v>2424</v>
      </c>
      <c r="C344" s="121" t="s">
        <v>139</v>
      </c>
      <c r="D344" s="122">
        <v>43057.0</v>
      </c>
      <c r="E344" s="122">
        <v>43063.0</v>
      </c>
      <c r="F344" s="134"/>
      <c r="G344" s="121" t="s">
        <v>141</v>
      </c>
      <c r="H344" s="121" t="s">
        <v>141</v>
      </c>
      <c r="I344" s="135">
        <v>43059.0</v>
      </c>
      <c r="J344" s="136">
        <v>43060.0</v>
      </c>
    </row>
    <row r="345" hidden="1">
      <c r="A345" s="110" t="s">
        <v>1873</v>
      </c>
      <c r="B345" s="49" t="s">
        <v>2440</v>
      </c>
      <c r="C345" s="49" t="s">
        <v>139</v>
      </c>
      <c r="D345" s="50">
        <v>43056.0</v>
      </c>
      <c r="E345" s="133"/>
      <c r="F345" s="49" t="s">
        <v>160</v>
      </c>
      <c r="G345" s="49" t="s">
        <v>140</v>
      </c>
      <c r="H345" s="49" t="s">
        <v>153</v>
      </c>
      <c r="I345" s="132"/>
      <c r="J345" s="133"/>
    </row>
    <row r="346" hidden="1">
      <c r="A346" s="105" t="s">
        <v>1879</v>
      </c>
      <c r="B346" s="5" t="s">
        <v>2444</v>
      </c>
      <c r="C346" s="5" t="s">
        <v>139</v>
      </c>
      <c r="D346" s="106">
        <v>43056.0</v>
      </c>
      <c r="E346" s="137" t="s">
        <v>92</v>
      </c>
      <c r="F346" s="5" t="s">
        <v>176</v>
      </c>
      <c r="G346" s="5" t="s">
        <v>337</v>
      </c>
      <c r="H346" s="5" t="s">
        <v>337</v>
      </c>
      <c r="I346" s="138">
        <v>43066.0</v>
      </c>
      <c r="J346" s="108">
        <v>43062.0</v>
      </c>
      <c r="K346" s="9"/>
      <c r="L346" s="9"/>
      <c r="M346" s="9"/>
      <c r="N346" s="9"/>
      <c r="O346" s="9"/>
      <c r="P346" s="9"/>
      <c r="Q346" s="9"/>
      <c r="R346" s="9"/>
      <c r="S346" s="9"/>
      <c r="T346" s="9"/>
      <c r="U346" s="9"/>
      <c r="V346" s="9"/>
      <c r="W346" s="9"/>
      <c r="X346" s="9"/>
      <c r="Y346" s="9"/>
      <c r="Z346" s="9"/>
    </row>
    <row r="347" hidden="1">
      <c r="A347" s="110" t="s">
        <v>1906</v>
      </c>
      <c r="B347" s="49" t="s">
        <v>2454</v>
      </c>
      <c r="C347" s="49" t="s">
        <v>139</v>
      </c>
      <c r="D347" s="50">
        <v>43056.0</v>
      </c>
      <c r="E347" s="50">
        <v>43039.0</v>
      </c>
      <c r="F347" s="139"/>
      <c r="G347" s="49" t="s">
        <v>140</v>
      </c>
      <c r="H347" s="49" t="s">
        <v>140</v>
      </c>
      <c r="I347" s="132"/>
      <c r="J347" s="133"/>
    </row>
    <row r="348" hidden="1">
      <c r="A348" s="120" t="s">
        <v>1900</v>
      </c>
      <c r="B348" s="121" t="s">
        <v>2459</v>
      </c>
      <c r="C348" s="121" t="s">
        <v>139</v>
      </c>
      <c r="D348" s="122">
        <v>43056.0</v>
      </c>
      <c r="E348" s="140" t="s">
        <v>92</v>
      </c>
      <c r="F348" s="121" t="s">
        <v>176</v>
      </c>
      <c r="G348" s="121" t="s">
        <v>337</v>
      </c>
      <c r="H348" s="121" t="s">
        <v>337</v>
      </c>
      <c r="I348" s="135">
        <v>43059.0</v>
      </c>
      <c r="J348" s="141">
        <v>43061.0</v>
      </c>
    </row>
    <row r="349" hidden="1">
      <c r="A349" s="120" t="s">
        <v>1912</v>
      </c>
      <c r="B349" s="121" t="s">
        <v>2468</v>
      </c>
      <c r="C349" s="121" t="s">
        <v>139</v>
      </c>
      <c r="D349" s="122">
        <v>43055.0</v>
      </c>
      <c r="E349" s="122">
        <v>43059.0</v>
      </c>
      <c r="F349" s="121" t="s">
        <v>160</v>
      </c>
      <c r="G349" s="121" t="s">
        <v>141</v>
      </c>
      <c r="H349" s="121" t="s">
        <v>141</v>
      </c>
      <c r="I349" s="135">
        <v>43059.0</v>
      </c>
      <c r="J349" s="136">
        <v>43059.0</v>
      </c>
    </row>
    <row r="350" hidden="1">
      <c r="A350" s="120" t="s">
        <v>1919</v>
      </c>
      <c r="B350" s="121" t="s">
        <v>2472</v>
      </c>
      <c r="C350" s="121" t="s">
        <v>139</v>
      </c>
      <c r="D350" s="122">
        <v>43055.0</v>
      </c>
      <c r="E350" s="122">
        <v>43056.0</v>
      </c>
      <c r="F350" s="121" t="s">
        <v>160</v>
      </c>
      <c r="G350" s="121" t="s">
        <v>148</v>
      </c>
      <c r="H350" s="121" t="s">
        <v>141</v>
      </c>
      <c r="I350" s="135">
        <v>43059.0</v>
      </c>
      <c r="J350" s="136">
        <v>43059.0</v>
      </c>
    </row>
    <row r="351" hidden="1">
      <c r="A351" s="120" t="s">
        <v>1923</v>
      </c>
      <c r="B351" s="121" t="s">
        <v>2477</v>
      </c>
      <c r="C351" s="121" t="s">
        <v>139</v>
      </c>
      <c r="D351" s="122">
        <v>43055.0</v>
      </c>
      <c r="E351" s="122">
        <v>43056.0</v>
      </c>
      <c r="F351" s="121" t="s">
        <v>160</v>
      </c>
      <c r="G351" s="121" t="s">
        <v>148</v>
      </c>
      <c r="H351" s="121" t="s">
        <v>141</v>
      </c>
      <c r="I351" s="135">
        <v>43059.0</v>
      </c>
      <c r="J351" s="136">
        <v>43059.0</v>
      </c>
    </row>
    <row r="352" hidden="1">
      <c r="A352" s="110" t="s">
        <v>1927</v>
      </c>
      <c r="B352" s="49" t="s">
        <v>2418</v>
      </c>
      <c r="C352" s="49" t="s">
        <v>139</v>
      </c>
      <c r="D352" s="50">
        <v>43054.0</v>
      </c>
      <c r="E352" s="133"/>
      <c r="F352" s="49" t="s">
        <v>723</v>
      </c>
      <c r="G352" s="49" t="s">
        <v>148</v>
      </c>
      <c r="H352" s="49" t="s">
        <v>140</v>
      </c>
      <c r="I352" s="132"/>
      <c r="J352" s="53"/>
    </row>
    <row r="353" hidden="1">
      <c r="A353" s="105" t="s">
        <v>1930</v>
      </c>
      <c r="B353" s="5" t="s">
        <v>2487</v>
      </c>
      <c r="C353" s="5" t="s">
        <v>139</v>
      </c>
      <c r="D353" s="106">
        <v>43054.0</v>
      </c>
      <c r="E353" s="106">
        <v>43061.0</v>
      </c>
      <c r="F353" s="5" t="s">
        <v>723</v>
      </c>
      <c r="G353" s="5" t="s">
        <v>148</v>
      </c>
      <c r="H353" s="5" t="s">
        <v>122</v>
      </c>
      <c r="I353" s="108">
        <v>43087.0</v>
      </c>
      <c r="J353" s="108">
        <v>43087.0</v>
      </c>
      <c r="K353" s="42"/>
      <c r="L353" s="42"/>
      <c r="M353" s="42"/>
      <c r="N353" s="42"/>
      <c r="O353" s="42"/>
      <c r="P353" s="42"/>
      <c r="Q353" s="42"/>
      <c r="R353" s="42"/>
      <c r="S353" s="42"/>
      <c r="T353" s="42"/>
      <c r="U353" s="42"/>
      <c r="V353" s="42"/>
      <c r="W353" s="42"/>
      <c r="X353" s="42"/>
      <c r="Y353" s="42"/>
      <c r="Z353" s="42"/>
    </row>
    <row r="354" hidden="1">
      <c r="A354" s="110" t="s">
        <v>1937</v>
      </c>
      <c r="B354" s="49" t="s">
        <v>2489</v>
      </c>
      <c r="C354" s="49" t="s">
        <v>139</v>
      </c>
      <c r="D354" s="50">
        <v>43054.0</v>
      </c>
      <c r="E354" s="133"/>
      <c r="F354" s="49" t="s">
        <v>160</v>
      </c>
      <c r="G354" s="49" t="s">
        <v>148</v>
      </c>
      <c r="H354" s="49" t="s">
        <v>153</v>
      </c>
      <c r="I354" s="132"/>
      <c r="J354" s="53"/>
    </row>
    <row r="355" hidden="1">
      <c r="A355" s="110" t="s">
        <v>1959</v>
      </c>
      <c r="B355" s="49" t="s">
        <v>2493</v>
      </c>
      <c r="C355" s="49" t="s">
        <v>139</v>
      </c>
      <c r="D355" s="50">
        <v>43052.0</v>
      </c>
      <c r="E355" s="133"/>
      <c r="F355" s="49" t="s">
        <v>176</v>
      </c>
      <c r="G355" s="49" t="s">
        <v>140</v>
      </c>
      <c r="H355" s="49" t="s">
        <v>140</v>
      </c>
      <c r="I355" s="132"/>
      <c r="J355" s="133"/>
    </row>
    <row r="356" hidden="1">
      <c r="A356" s="110" t="s">
        <v>1942</v>
      </c>
      <c r="B356" s="49" t="s">
        <v>2409</v>
      </c>
      <c r="C356" s="49" t="s">
        <v>139</v>
      </c>
      <c r="D356" s="50">
        <v>43052.0</v>
      </c>
      <c r="E356" s="53"/>
      <c r="F356" s="49" t="s">
        <v>176</v>
      </c>
      <c r="G356" s="49" t="s">
        <v>148</v>
      </c>
      <c r="H356" s="49" t="s">
        <v>153</v>
      </c>
      <c r="I356" s="132"/>
      <c r="J356" s="53"/>
    </row>
    <row r="357" hidden="1">
      <c r="A357" s="110" t="s">
        <v>1946</v>
      </c>
      <c r="B357" s="49" t="s">
        <v>2418</v>
      </c>
      <c r="C357" s="49" t="s">
        <v>139</v>
      </c>
      <c r="D357" s="50">
        <v>43052.0</v>
      </c>
      <c r="E357" s="53"/>
      <c r="F357" s="139"/>
      <c r="G357" s="49" t="s">
        <v>148</v>
      </c>
      <c r="H357" s="49" t="s">
        <v>140</v>
      </c>
      <c r="I357" s="132"/>
      <c r="J357" s="139"/>
    </row>
    <row r="358" hidden="1">
      <c r="A358" s="110" t="s">
        <v>1965</v>
      </c>
      <c r="B358" s="49" t="s">
        <v>2501</v>
      </c>
      <c r="C358" s="49" t="s">
        <v>139</v>
      </c>
      <c r="D358" s="50">
        <v>43049.0</v>
      </c>
      <c r="E358" s="133"/>
      <c r="F358" s="49" t="s">
        <v>160</v>
      </c>
      <c r="G358" s="49" t="s">
        <v>140</v>
      </c>
      <c r="H358" s="49" t="s">
        <v>153</v>
      </c>
      <c r="I358" s="132"/>
      <c r="J358" s="133"/>
    </row>
    <row r="359" hidden="1">
      <c r="A359" s="110" t="s">
        <v>1976</v>
      </c>
      <c r="B359" s="49" t="s">
        <v>2506</v>
      </c>
      <c r="C359" s="49" t="s">
        <v>139</v>
      </c>
      <c r="D359" s="50">
        <v>43049.0</v>
      </c>
      <c r="E359" s="50">
        <v>43039.0</v>
      </c>
      <c r="F359" s="139"/>
      <c r="G359" s="49" t="s">
        <v>140</v>
      </c>
      <c r="H359" s="49" t="s">
        <v>140</v>
      </c>
      <c r="I359" s="132"/>
      <c r="J359" s="133"/>
    </row>
    <row r="360" hidden="1">
      <c r="A360" s="110" t="s">
        <v>1970</v>
      </c>
      <c r="B360" s="49" t="s">
        <v>2507</v>
      </c>
      <c r="C360" s="49" t="s">
        <v>139</v>
      </c>
      <c r="D360" s="50">
        <v>43049.0</v>
      </c>
      <c r="E360" s="53"/>
      <c r="F360" s="139"/>
      <c r="G360" s="49" t="s">
        <v>148</v>
      </c>
      <c r="H360" s="49" t="s">
        <v>140</v>
      </c>
      <c r="I360" s="132"/>
      <c r="J360" s="139"/>
    </row>
    <row r="361" hidden="1">
      <c r="A361" s="110" t="s">
        <v>1981</v>
      </c>
      <c r="B361" s="49" t="s">
        <v>2510</v>
      </c>
      <c r="C361" s="49" t="s">
        <v>139</v>
      </c>
      <c r="D361" s="50">
        <v>43048.0</v>
      </c>
      <c r="E361" s="133"/>
      <c r="F361" s="49" t="s">
        <v>723</v>
      </c>
      <c r="G361" s="49" t="s">
        <v>140</v>
      </c>
      <c r="H361" s="49" t="s">
        <v>153</v>
      </c>
      <c r="I361" s="132"/>
      <c r="J361" s="133"/>
    </row>
    <row r="362" hidden="1">
      <c r="A362" s="110" t="s">
        <v>1986</v>
      </c>
      <c r="B362" s="49" t="s">
        <v>2513</v>
      </c>
      <c r="C362" s="49" t="s">
        <v>139</v>
      </c>
      <c r="D362" s="50">
        <v>43048.0</v>
      </c>
      <c r="E362" s="133"/>
      <c r="F362" s="49" t="s">
        <v>723</v>
      </c>
      <c r="G362" s="49" t="s">
        <v>140</v>
      </c>
      <c r="H362" s="49" t="s">
        <v>153</v>
      </c>
      <c r="I362" s="132"/>
      <c r="J362" s="133"/>
    </row>
    <row r="363" hidden="1">
      <c r="A363" s="110" t="s">
        <v>1990</v>
      </c>
      <c r="B363" s="49" t="s">
        <v>2517</v>
      </c>
      <c r="C363" s="49" t="s">
        <v>139</v>
      </c>
      <c r="D363" s="50">
        <v>43048.0</v>
      </c>
      <c r="E363" s="133"/>
      <c r="F363" s="49" t="s">
        <v>723</v>
      </c>
      <c r="G363" s="49" t="s">
        <v>140</v>
      </c>
      <c r="H363" s="49" t="s">
        <v>153</v>
      </c>
      <c r="I363" s="132"/>
      <c r="J363" s="133"/>
    </row>
    <row r="364" hidden="1">
      <c r="A364" s="110" t="s">
        <v>1996</v>
      </c>
      <c r="B364" s="49" t="s">
        <v>2489</v>
      </c>
      <c r="C364" s="49" t="s">
        <v>139</v>
      </c>
      <c r="D364" s="50">
        <v>43048.0</v>
      </c>
      <c r="E364" s="133"/>
      <c r="F364" s="49" t="s">
        <v>723</v>
      </c>
      <c r="G364" s="49" t="s">
        <v>140</v>
      </c>
      <c r="H364" s="49" t="s">
        <v>153</v>
      </c>
      <c r="I364" s="132"/>
      <c r="J364" s="53"/>
    </row>
    <row r="365" hidden="1">
      <c r="A365" s="110" t="s">
        <v>1999</v>
      </c>
      <c r="B365" s="49" t="s">
        <v>2489</v>
      </c>
      <c r="C365" s="49" t="s">
        <v>139</v>
      </c>
      <c r="D365" s="50">
        <v>43048.0</v>
      </c>
      <c r="E365" s="133"/>
      <c r="F365" s="49" t="s">
        <v>723</v>
      </c>
      <c r="G365" s="49" t="s">
        <v>140</v>
      </c>
      <c r="H365" s="49" t="s">
        <v>153</v>
      </c>
      <c r="I365" s="132"/>
      <c r="J365" s="53"/>
    </row>
    <row r="366" hidden="1">
      <c r="A366" s="110" t="s">
        <v>2003</v>
      </c>
      <c r="B366" s="49" t="s">
        <v>2489</v>
      </c>
      <c r="C366" s="49" t="s">
        <v>139</v>
      </c>
      <c r="D366" s="50">
        <v>43048.0</v>
      </c>
      <c r="E366" s="133"/>
      <c r="F366" s="49" t="s">
        <v>723</v>
      </c>
      <c r="G366" s="49" t="s">
        <v>148</v>
      </c>
      <c r="H366" s="49" t="s">
        <v>153</v>
      </c>
      <c r="I366" s="132"/>
      <c r="J366" s="53"/>
    </row>
    <row r="367" hidden="1">
      <c r="A367" s="110" t="s">
        <v>2008</v>
      </c>
      <c r="B367" s="49" t="s">
        <v>2528</v>
      </c>
      <c r="C367" s="49" t="s">
        <v>139</v>
      </c>
      <c r="D367" s="50">
        <v>43047.0</v>
      </c>
      <c r="E367" s="133"/>
      <c r="F367" s="49" t="s">
        <v>215</v>
      </c>
      <c r="G367" s="49" t="s">
        <v>148</v>
      </c>
      <c r="H367" s="49" t="s">
        <v>216</v>
      </c>
      <c r="I367" s="132"/>
      <c r="J367" s="133"/>
    </row>
    <row r="368" hidden="1">
      <c r="A368" s="105" t="s">
        <v>2016</v>
      </c>
      <c r="B368" s="5" t="s">
        <v>2532</v>
      </c>
      <c r="C368" s="5" t="s">
        <v>139</v>
      </c>
      <c r="D368" s="106">
        <v>43047.0</v>
      </c>
      <c r="E368" s="106">
        <v>43056.0</v>
      </c>
      <c r="F368" s="5" t="s">
        <v>215</v>
      </c>
      <c r="G368" s="5" t="s">
        <v>216</v>
      </c>
      <c r="H368" s="5" t="s">
        <v>216</v>
      </c>
      <c r="I368" s="138">
        <v>43073.0</v>
      </c>
      <c r="J368" s="108">
        <v>43077.0</v>
      </c>
      <c r="K368" s="42"/>
      <c r="L368" s="42"/>
      <c r="M368" s="42"/>
      <c r="N368" s="42"/>
      <c r="O368" s="42"/>
      <c r="P368" s="42"/>
      <c r="Q368" s="42"/>
      <c r="R368" s="42"/>
      <c r="S368" s="42"/>
      <c r="T368" s="42"/>
      <c r="U368" s="42"/>
      <c r="V368" s="42"/>
      <c r="W368" s="42"/>
      <c r="X368" s="42"/>
      <c r="Y368" s="42"/>
      <c r="Z368" s="42"/>
    </row>
    <row r="369" hidden="1">
      <c r="A369" s="110" t="s">
        <v>2012</v>
      </c>
      <c r="B369" s="49" t="s">
        <v>2540</v>
      </c>
      <c r="C369" s="49" t="s">
        <v>139</v>
      </c>
      <c r="D369" s="50">
        <v>43047.0</v>
      </c>
      <c r="E369" s="50">
        <v>43049.0</v>
      </c>
      <c r="F369" s="49" t="s">
        <v>160</v>
      </c>
      <c r="G369" s="49" t="s">
        <v>141</v>
      </c>
      <c r="H369" s="49" t="s">
        <v>141</v>
      </c>
      <c r="I369" s="142">
        <v>43052.0</v>
      </c>
      <c r="J369" s="143">
        <v>43049.0</v>
      </c>
    </row>
    <row r="370" hidden="1">
      <c r="A370" s="110" t="s">
        <v>2551</v>
      </c>
      <c r="B370" s="49" t="s">
        <v>2552</v>
      </c>
      <c r="C370" s="49" t="s">
        <v>2554</v>
      </c>
      <c r="D370" s="50">
        <v>43047.0</v>
      </c>
      <c r="E370" s="53"/>
      <c r="F370" s="139"/>
      <c r="G370" s="49" t="s">
        <v>2197</v>
      </c>
      <c r="H370" s="49" t="s">
        <v>140</v>
      </c>
      <c r="I370" s="132"/>
      <c r="J370" s="53"/>
    </row>
    <row r="371" hidden="1">
      <c r="A371" s="110" t="s">
        <v>2557</v>
      </c>
      <c r="B371" s="49" t="s">
        <v>2558</v>
      </c>
      <c r="C371" s="49" t="s">
        <v>2554</v>
      </c>
      <c r="D371" s="50">
        <v>43047.0</v>
      </c>
      <c r="E371" s="133"/>
      <c r="F371" s="49" t="s">
        <v>215</v>
      </c>
      <c r="G371" s="49" t="s">
        <v>2197</v>
      </c>
      <c r="H371" s="49" t="s">
        <v>216</v>
      </c>
      <c r="I371" s="132"/>
      <c r="J371" s="133"/>
    </row>
    <row r="372" hidden="1">
      <c r="A372" s="110" t="s">
        <v>2349</v>
      </c>
      <c r="B372" s="49" t="s">
        <v>2562</v>
      </c>
      <c r="C372" s="49" t="s">
        <v>139</v>
      </c>
      <c r="D372" s="50">
        <v>43046.0</v>
      </c>
      <c r="E372" s="50">
        <v>43349.0</v>
      </c>
      <c r="F372" s="49" t="s">
        <v>176</v>
      </c>
      <c r="G372" s="49" t="s">
        <v>155</v>
      </c>
      <c r="H372" s="49" t="s">
        <v>155</v>
      </c>
      <c r="I372" s="142">
        <v>43052.0</v>
      </c>
      <c r="J372" s="144">
        <v>43055.0</v>
      </c>
    </row>
    <row r="373" hidden="1">
      <c r="A373" s="105" t="s">
        <v>2057</v>
      </c>
      <c r="B373" s="5" t="s">
        <v>2568</v>
      </c>
      <c r="C373" s="5" t="s">
        <v>139</v>
      </c>
      <c r="D373" s="106">
        <v>43046.0</v>
      </c>
      <c r="E373" s="106">
        <v>42969.0</v>
      </c>
      <c r="F373" s="5" t="s">
        <v>160</v>
      </c>
      <c r="G373" s="5" t="s">
        <v>155</v>
      </c>
      <c r="H373" s="5" t="s">
        <v>155</v>
      </c>
      <c r="I373" s="41">
        <v>43108.0</v>
      </c>
      <c r="J373" s="41">
        <v>43112.0</v>
      </c>
      <c r="K373" s="42"/>
      <c r="L373" s="42"/>
      <c r="M373" s="42"/>
      <c r="N373" s="42"/>
      <c r="O373" s="42"/>
      <c r="P373" s="42"/>
      <c r="Q373" s="42"/>
      <c r="R373" s="42"/>
      <c r="S373" s="42"/>
      <c r="T373" s="42"/>
      <c r="U373" s="42"/>
      <c r="V373" s="42"/>
      <c r="W373" s="42"/>
      <c r="X373" s="42"/>
      <c r="Y373" s="42"/>
      <c r="Z373" s="42"/>
    </row>
    <row r="374" hidden="1">
      <c r="A374" s="120" t="s">
        <v>2356</v>
      </c>
      <c r="B374" s="121" t="s">
        <v>2570</v>
      </c>
      <c r="C374" s="121" t="s">
        <v>139</v>
      </c>
      <c r="D374" s="122">
        <v>43046.0</v>
      </c>
      <c r="E374" s="123" t="s">
        <v>92</v>
      </c>
      <c r="F374" s="121" t="s">
        <v>160</v>
      </c>
      <c r="G374" s="121" t="s">
        <v>155</v>
      </c>
      <c r="H374" s="121" t="s">
        <v>155</v>
      </c>
      <c r="I374" s="135">
        <v>43059.0</v>
      </c>
      <c r="J374" s="141">
        <v>43063.0</v>
      </c>
    </row>
    <row r="375" hidden="1">
      <c r="A375" s="105" t="s">
        <v>2078</v>
      </c>
      <c r="B375" s="5" t="s">
        <v>2574</v>
      </c>
      <c r="C375" s="5" t="s">
        <v>139</v>
      </c>
      <c r="D375" s="106">
        <v>43046.0</v>
      </c>
      <c r="E375" s="137" t="s">
        <v>92</v>
      </c>
      <c r="F375" s="5" t="s">
        <v>176</v>
      </c>
      <c r="G375" s="5" t="s">
        <v>155</v>
      </c>
      <c r="H375" s="5" t="s">
        <v>155</v>
      </c>
      <c r="I375" s="138">
        <v>43073.0</v>
      </c>
      <c r="J375" s="108">
        <v>43073.0</v>
      </c>
      <c r="K375" s="42"/>
      <c r="L375" s="42"/>
      <c r="M375" s="42"/>
      <c r="N375" s="42"/>
      <c r="O375" s="42"/>
      <c r="P375" s="42"/>
      <c r="Q375" s="42"/>
      <c r="R375" s="42"/>
      <c r="S375" s="42"/>
      <c r="T375" s="42"/>
      <c r="U375" s="42"/>
      <c r="V375" s="42"/>
      <c r="W375" s="42"/>
      <c r="X375" s="42"/>
      <c r="Y375" s="42"/>
      <c r="Z375" s="42"/>
    </row>
    <row r="376" hidden="1">
      <c r="A376" s="110" t="s">
        <v>2048</v>
      </c>
      <c r="B376" s="49" t="s">
        <v>2489</v>
      </c>
      <c r="C376" s="49" t="s">
        <v>139</v>
      </c>
      <c r="D376" s="50">
        <v>43046.0</v>
      </c>
      <c r="E376" s="133"/>
      <c r="F376" s="49" t="s">
        <v>176</v>
      </c>
      <c r="G376" s="49" t="s">
        <v>148</v>
      </c>
      <c r="H376" s="49" t="s">
        <v>153</v>
      </c>
      <c r="I376" s="132"/>
      <c r="J376" s="53"/>
    </row>
    <row r="377" hidden="1">
      <c r="A377" s="110" t="s">
        <v>2052</v>
      </c>
      <c r="B377" s="49" t="s">
        <v>2582</v>
      </c>
      <c r="C377" s="49" t="s">
        <v>139</v>
      </c>
      <c r="D377" s="50">
        <v>43046.0</v>
      </c>
      <c r="E377" s="50">
        <v>43046.0</v>
      </c>
      <c r="F377" s="139"/>
      <c r="G377" s="49" t="s">
        <v>453</v>
      </c>
      <c r="H377" s="49" t="s">
        <v>148</v>
      </c>
      <c r="I377" s="132"/>
      <c r="J377" s="139"/>
    </row>
    <row r="378" hidden="1">
      <c r="A378" s="110" t="s">
        <v>2063</v>
      </c>
      <c r="B378" s="49" t="s">
        <v>2583</v>
      </c>
      <c r="C378" s="49" t="s">
        <v>139</v>
      </c>
      <c r="D378" s="50">
        <v>43046.0</v>
      </c>
      <c r="E378" s="133"/>
      <c r="F378" s="49" t="s">
        <v>176</v>
      </c>
      <c r="G378" s="49" t="s">
        <v>320</v>
      </c>
      <c r="H378" s="49" t="s">
        <v>337</v>
      </c>
      <c r="I378" s="142">
        <v>43045.0</v>
      </c>
      <c r="J378" s="145" t="s">
        <v>2586</v>
      </c>
    </row>
    <row r="379" hidden="1">
      <c r="A379" s="110" t="s">
        <v>2084</v>
      </c>
      <c r="B379" s="49" t="s">
        <v>2591</v>
      </c>
      <c r="C379" s="49" t="s">
        <v>139</v>
      </c>
      <c r="D379" s="50">
        <v>43045.0</v>
      </c>
      <c r="E379" s="133"/>
      <c r="F379" s="49" t="s">
        <v>160</v>
      </c>
      <c r="G379" s="49" t="s">
        <v>140</v>
      </c>
      <c r="H379" s="49" t="s">
        <v>153</v>
      </c>
      <c r="I379" s="132"/>
      <c r="J379" s="133"/>
    </row>
    <row r="380" hidden="1">
      <c r="A380" s="110" t="s">
        <v>2099</v>
      </c>
      <c r="B380" s="49" t="s">
        <v>2595</v>
      </c>
      <c r="C380" s="49" t="s">
        <v>139</v>
      </c>
      <c r="D380" s="50">
        <v>43045.0</v>
      </c>
      <c r="E380" s="50">
        <v>43049.0</v>
      </c>
      <c r="F380" s="49" t="s">
        <v>2596</v>
      </c>
      <c r="G380" s="49" t="s">
        <v>122</v>
      </c>
      <c r="H380" s="49" t="s">
        <v>122</v>
      </c>
      <c r="I380" s="132"/>
      <c r="J380" s="53"/>
    </row>
    <row r="381" hidden="1">
      <c r="A381" s="110" t="s">
        <v>2106</v>
      </c>
      <c r="B381" s="49" t="s">
        <v>2599</v>
      </c>
      <c r="C381" s="49" t="s">
        <v>139</v>
      </c>
      <c r="D381" s="50">
        <v>43045.0</v>
      </c>
      <c r="E381" s="50">
        <v>43049.0</v>
      </c>
      <c r="F381" s="49" t="s">
        <v>2596</v>
      </c>
      <c r="G381" s="49" t="s">
        <v>122</v>
      </c>
      <c r="H381" s="49" t="s">
        <v>122</v>
      </c>
      <c r="I381" s="132"/>
      <c r="J381" s="53"/>
    </row>
    <row r="382" hidden="1">
      <c r="A382" s="110" t="s">
        <v>2109</v>
      </c>
      <c r="B382" s="49" t="s">
        <v>2603</v>
      </c>
      <c r="C382" s="49" t="s">
        <v>139</v>
      </c>
      <c r="D382" s="50">
        <v>43045.0</v>
      </c>
      <c r="E382" s="50">
        <v>43049.0</v>
      </c>
      <c r="F382" s="49" t="s">
        <v>2596</v>
      </c>
      <c r="G382" s="49" t="s">
        <v>122</v>
      </c>
      <c r="H382" s="49" t="s">
        <v>122</v>
      </c>
      <c r="I382" s="132"/>
      <c r="J382" s="53"/>
    </row>
    <row r="383" hidden="1">
      <c r="A383" s="110" t="s">
        <v>2113</v>
      </c>
      <c r="B383" s="49" t="s">
        <v>2606</v>
      </c>
      <c r="C383" s="49" t="s">
        <v>139</v>
      </c>
      <c r="D383" s="50">
        <v>43041.0</v>
      </c>
      <c r="E383" s="50">
        <v>43046.0</v>
      </c>
      <c r="F383" s="139"/>
      <c r="G383" s="49" t="s">
        <v>1116</v>
      </c>
      <c r="H383" s="49" t="s">
        <v>141</v>
      </c>
      <c r="I383" s="142">
        <v>43045.0</v>
      </c>
      <c r="J383" s="143">
        <v>43046.0</v>
      </c>
    </row>
    <row r="384" hidden="1">
      <c r="A384" s="110" t="s">
        <v>2116</v>
      </c>
      <c r="B384" s="49" t="s">
        <v>2612</v>
      </c>
      <c r="C384" s="49" t="s">
        <v>139</v>
      </c>
      <c r="D384" s="50">
        <v>43041.0</v>
      </c>
      <c r="E384" s="133"/>
      <c r="F384" s="49" t="s">
        <v>176</v>
      </c>
      <c r="G384" s="49" t="s">
        <v>140</v>
      </c>
      <c r="H384" s="49" t="s">
        <v>153</v>
      </c>
      <c r="I384" s="132"/>
      <c r="J384" s="53"/>
    </row>
    <row r="385" hidden="1">
      <c r="A385" s="110" t="s">
        <v>2120</v>
      </c>
      <c r="B385" s="49" t="s">
        <v>2614</v>
      </c>
      <c r="C385" s="49" t="s">
        <v>139</v>
      </c>
      <c r="D385" s="50">
        <v>43041.0</v>
      </c>
      <c r="E385" s="50">
        <v>43041.0</v>
      </c>
      <c r="F385" s="139"/>
      <c r="G385" s="49" t="s">
        <v>453</v>
      </c>
      <c r="H385" s="49" t="s">
        <v>148</v>
      </c>
      <c r="I385" s="132"/>
      <c r="J385" s="53"/>
    </row>
    <row r="386" hidden="1">
      <c r="A386" s="105" t="s">
        <v>2129</v>
      </c>
      <c r="B386" s="5" t="s">
        <v>2620</v>
      </c>
      <c r="C386" s="5" t="s">
        <v>139</v>
      </c>
      <c r="D386" s="106">
        <v>43040.0</v>
      </c>
      <c r="E386" s="106">
        <v>43076.0</v>
      </c>
      <c r="F386" s="5" t="s">
        <v>160</v>
      </c>
      <c r="G386" s="5" t="s">
        <v>141</v>
      </c>
      <c r="H386" s="5" t="s">
        <v>141</v>
      </c>
      <c r="I386" s="138">
        <v>43073.0</v>
      </c>
      <c r="J386" s="108">
        <v>43076.0</v>
      </c>
      <c r="K386" s="131"/>
      <c r="L386" s="131"/>
      <c r="M386" s="131"/>
      <c r="N386" s="131"/>
      <c r="O386" s="131"/>
      <c r="P386" s="131"/>
      <c r="Q386" s="131"/>
      <c r="R386" s="131"/>
      <c r="S386" s="131"/>
      <c r="T386" s="131"/>
      <c r="U386" s="131"/>
      <c r="V386" s="131"/>
      <c r="W386" s="131"/>
      <c r="X386" s="131"/>
      <c r="Y386" s="131"/>
      <c r="Z386" s="131"/>
    </row>
    <row r="387" hidden="1">
      <c r="A387" s="105" t="s">
        <v>2133</v>
      </c>
      <c r="B387" s="5" t="s">
        <v>2623</v>
      </c>
      <c r="C387" s="5" t="s">
        <v>139</v>
      </c>
      <c r="D387" s="106">
        <v>43040.0</v>
      </c>
      <c r="E387" s="106">
        <v>43074.0</v>
      </c>
      <c r="F387" s="5" t="s">
        <v>160</v>
      </c>
      <c r="G387" s="5" t="s">
        <v>141</v>
      </c>
      <c r="H387" s="5" t="s">
        <v>141</v>
      </c>
      <c r="I387" s="138">
        <v>43073.0</v>
      </c>
      <c r="J387" s="108">
        <v>43074.0</v>
      </c>
      <c r="K387" s="131"/>
      <c r="L387" s="131"/>
      <c r="M387" s="131"/>
      <c r="N387" s="131"/>
      <c r="O387" s="131"/>
      <c r="P387" s="131"/>
      <c r="Q387" s="131"/>
      <c r="R387" s="131"/>
      <c r="S387" s="131"/>
      <c r="T387" s="131"/>
      <c r="U387" s="131"/>
      <c r="V387" s="131"/>
      <c r="W387" s="131"/>
      <c r="X387" s="131"/>
      <c r="Y387" s="131"/>
      <c r="Z387" s="131"/>
    </row>
    <row r="388" hidden="1">
      <c r="A388" s="105" t="s">
        <v>2136</v>
      </c>
      <c r="B388" s="5" t="s">
        <v>2628</v>
      </c>
      <c r="C388" s="5" t="s">
        <v>139</v>
      </c>
      <c r="D388" s="106">
        <v>43040.0</v>
      </c>
      <c r="E388" s="106">
        <v>43074.0</v>
      </c>
      <c r="F388" s="5" t="s">
        <v>160</v>
      </c>
      <c r="G388" s="5" t="s">
        <v>141</v>
      </c>
      <c r="H388" s="5" t="s">
        <v>141</v>
      </c>
      <c r="I388" s="113">
        <v>43080.0</v>
      </c>
      <c r="J388" s="113">
        <v>43080.0</v>
      </c>
      <c r="K388" s="131"/>
      <c r="L388" s="131"/>
      <c r="M388" s="131"/>
      <c r="N388" s="131"/>
      <c r="O388" s="131"/>
      <c r="P388" s="131"/>
      <c r="Q388" s="131"/>
      <c r="R388" s="131"/>
      <c r="S388" s="131"/>
      <c r="T388" s="131"/>
      <c r="U388" s="131"/>
      <c r="V388" s="131"/>
      <c r="W388" s="131"/>
      <c r="X388" s="131"/>
      <c r="Y388" s="131"/>
      <c r="Z388" s="131"/>
    </row>
    <row r="389" hidden="1">
      <c r="A389" s="110" t="s">
        <v>2141</v>
      </c>
      <c r="B389" s="49" t="s">
        <v>2632</v>
      </c>
      <c r="C389" s="49" t="s">
        <v>139</v>
      </c>
      <c r="D389" s="50">
        <v>43040.0</v>
      </c>
      <c r="E389" s="50">
        <v>43049.0</v>
      </c>
      <c r="F389" s="49" t="s">
        <v>160</v>
      </c>
      <c r="G389" s="49" t="s">
        <v>141</v>
      </c>
      <c r="H389" s="49" t="s">
        <v>141</v>
      </c>
      <c r="I389" s="142">
        <v>43052.0</v>
      </c>
      <c r="J389" s="143">
        <v>43050.0</v>
      </c>
    </row>
    <row r="390" hidden="1">
      <c r="A390" s="105" t="s">
        <v>2145</v>
      </c>
      <c r="B390" s="5" t="s">
        <v>2636</v>
      </c>
      <c r="C390" s="5" t="s">
        <v>139</v>
      </c>
      <c r="D390" s="106">
        <v>43040.0</v>
      </c>
      <c r="E390" s="106">
        <v>43070.0</v>
      </c>
      <c r="F390" s="5" t="s">
        <v>160</v>
      </c>
      <c r="G390" s="5" t="s">
        <v>140</v>
      </c>
      <c r="H390" s="5" t="s">
        <v>141</v>
      </c>
      <c r="I390" s="138">
        <v>43066.0</v>
      </c>
      <c r="J390" s="108">
        <v>43070.0</v>
      </c>
      <c r="K390" s="9"/>
      <c r="L390" s="9"/>
      <c r="M390" s="9"/>
      <c r="N390" s="9"/>
      <c r="O390" s="9"/>
      <c r="P390" s="9"/>
      <c r="Q390" s="9"/>
      <c r="R390" s="9"/>
      <c r="S390" s="9"/>
      <c r="T390" s="9"/>
      <c r="U390" s="9"/>
      <c r="V390" s="9"/>
      <c r="W390" s="9"/>
      <c r="X390" s="9"/>
      <c r="Y390" s="9"/>
      <c r="Z390" s="9"/>
    </row>
    <row r="391" hidden="1">
      <c r="A391" s="105" t="s">
        <v>2161</v>
      </c>
      <c r="B391" s="5" t="s">
        <v>2640</v>
      </c>
      <c r="C391" s="5" t="s">
        <v>139</v>
      </c>
      <c r="D391" s="106">
        <v>43040.0</v>
      </c>
      <c r="E391" s="106">
        <v>43073.0</v>
      </c>
      <c r="F391" s="5" t="s">
        <v>160</v>
      </c>
      <c r="G391" s="5" t="s">
        <v>141</v>
      </c>
      <c r="H391" s="5" t="s">
        <v>141</v>
      </c>
      <c r="I391" s="138">
        <v>43066.0</v>
      </c>
      <c r="J391" s="108">
        <v>43069.0</v>
      </c>
      <c r="K391" s="42"/>
      <c r="L391" s="42"/>
      <c r="M391" s="42"/>
      <c r="N391" s="42"/>
      <c r="O391" s="42"/>
      <c r="P391" s="42"/>
      <c r="Q391" s="42"/>
      <c r="R391" s="42"/>
      <c r="S391" s="42"/>
      <c r="T391" s="42"/>
      <c r="U391" s="42"/>
      <c r="V391" s="42"/>
      <c r="W391" s="42"/>
      <c r="X391" s="42"/>
      <c r="Y391" s="42"/>
      <c r="Z391" s="42"/>
    </row>
    <row r="392" hidden="1">
      <c r="A392" s="120" t="s">
        <v>2168</v>
      </c>
      <c r="B392" s="121" t="s">
        <v>2644</v>
      </c>
      <c r="C392" s="121" t="s">
        <v>139</v>
      </c>
      <c r="D392" s="122">
        <v>43040.0</v>
      </c>
      <c r="E392" s="122">
        <v>43060.0</v>
      </c>
      <c r="F392" s="121" t="s">
        <v>160</v>
      </c>
      <c r="G392" s="121" t="s">
        <v>148</v>
      </c>
      <c r="H392" s="121" t="s">
        <v>141</v>
      </c>
      <c r="I392" s="135">
        <v>43059.0</v>
      </c>
      <c r="J392" s="125">
        <v>43062.0</v>
      </c>
    </row>
    <row r="393" hidden="1">
      <c r="A393" s="110" t="s">
        <v>2172</v>
      </c>
      <c r="B393" s="49" t="s">
        <v>2648</v>
      </c>
      <c r="C393" s="49" t="s">
        <v>139</v>
      </c>
      <c r="D393" s="50">
        <v>43040.0</v>
      </c>
      <c r="E393" s="50">
        <v>43056.0</v>
      </c>
      <c r="F393" s="49" t="s">
        <v>160</v>
      </c>
      <c r="G393" s="49" t="s">
        <v>148</v>
      </c>
      <c r="H393" s="49" t="s">
        <v>141</v>
      </c>
      <c r="I393" s="142">
        <v>43052.0</v>
      </c>
      <c r="J393" s="145" t="s">
        <v>2649</v>
      </c>
    </row>
    <row r="394" hidden="1">
      <c r="A394" s="120" t="s">
        <v>2179</v>
      </c>
      <c r="B394" s="121" t="s">
        <v>2652</v>
      </c>
      <c r="C394" s="121" t="s">
        <v>139</v>
      </c>
      <c r="D394" s="122">
        <v>43040.0</v>
      </c>
      <c r="E394" s="122">
        <v>43059.0</v>
      </c>
      <c r="F394" s="121" t="s">
        <v>160</v>
      </c>
      <c r="G394" s="121" t="s">
        <v>148</v>
      </c>
      <c r="H394" s="121" t="s">
        <v>141</v>
      </c>
      <c r="I394" s="135">
        <v>43059.0</v>
      </c>
      <c r="J394" s="125">
        <v>43060.0</v>
      </c>
    </row>
    <row r="395" hidden="1">
      <c r="A395" s="110" t="s">
        <v>2183</v>
      </c>
      <c r="B395" s="49" t="s">
        <v>2654</v>
      </c>
      <c r="C395" s="49" t="s">
        <v>139</v>
      </c>
      <c r="D395" s="50">
        <v>43040.0</v>
      </c>
      <c r="E395" s="50">
        <v>43052.0</v>
      </c>
      <c r="F395" s="49" t="s">
        <v>160</v>
      </c>
      <c r="G395" s="49" t="s">
        <v>141</v>
      </c>
      <c r="H395" s="49" t="s">
        <v>141</v>
      </c>
      <c r="I395" s="142">
        <v>43052.0</v>
      </c>
      <c r="J395" s="144">
        <v>43053.0</v>
      </c>
    </row>
    <row r="396" hidden="1">
      <c r="A396" s="110" t="s">
        <v>2656</v>
      </c>
      <c r="B396" s="49" t="s">
        <v>2658</v>
      </c>
      <c r="C396" s="49" t="s">
        <v>593</v>
      </c>
      <c r="D396" s="50">
        <v>43040.0</v>
      </c>
      <c r="E396" s="50">
        <v>43049.0</v>
      </c>
      <c r="F396" s="49" t="s">
        <v>2596</v>
      </c>
      <c r="G396" s="49" t="s">
        <v>2197</v>
      </c>
      <c r="H396" s="49" t="s">
        <v>122</v>
      </c>
      <c r="I396" s="142">
        <v>43045.0</v>
      </c>
      <c r="J396" s="144">
        <v>43049.0</v>
      </c>
    </row>
    <row r="397" hidden="1">
      <c r="A397" s="110" t="s">
        <v>2187</v>
      </c>
      <c r="B397" s="49" t="s">
        <v>2661</v>
      </c>
      <c r="C397" s="49" t="s">
        <v>139</v>
      </c>
      <c r="D397" s="50">
        <v>43040.0</v>
      </c>
      <c r="E397" s="50">
        <v>43048.0</v>
      </c>
      <c r="F397" s="49" t="s">
        <v>160</v>
      </c>
      <c r="G397" s="49" t="s">
        <v>148</v>
      </c>
      <c r="H397" s="49" t="s">
        <v>244</v>
      </c>
      <c r="I397" s="142">
        <v>43045.0</v>
      </c>
      <c r="J397" s="143">
        <v>43045.0</v>
      </c>
    </row>
    <row r="398" hidden="1">
      <c r="A398" s="110" t="s">
        <v>2192</v>
      </c>
      <c r="B398" s="49" t="s">
        <v>2665</v>
      </c>
      <c r="C398" s="49" t="s">
        <v>139</v>
      </c>
      <c r="D398" s="50">
        <v>43040.0</v>
      </c>
      <c r="E398" s="50">
        <v>43041.0</v>
      </c>
      <c r="F398" s="139"/>
      <c r="G398" s="49" t="s">
        <v>453</v>
      </c>
      <c r="H398" s="49" t="s">
        <v>148</v>
      </c>
      <c r="I398" s="132"/>
      <c r="J398" s="133"/>
    </row>
    <row r="399" hidden="1">
      <c r="A399" s="110" t="s">
        <v>2202</v>
      </c>
      <c r="B399" s="49" t="s">
        <v>2669</v>
      </c>
      <c r="C399" s="49" t="s">
        <v>139</v>
      </c>
      <c r="D399" s="50">
        <v>43040.0</v>
      </c>
      <c r="E399" s="146" t="s">
        <v>92</v>
      </c>
      <c r="F399" s="49" t="s">
        <v>176</v>
      </c>
      <c r="G399" s="49" t="s">
        <v>148</v>
      </c>
      <c r="H399" s="49" t="s">
        <v>177</v>
      </c>
      <c r="I399" s="142">
        <v>43045.0</v>
      </c>
      <c r="J399" s="144">
        <v>43045.0</v>
      </c>
    </row>
    <row r="400" hidden="1">
      <c r="A400" s="110" t="s">
        <v>2207</v>
      </c>
      <c r="B400" s="49" t="s">
        <v>2678</v>
      </c>
      <c r="C400" s="49" t="s">
        <v>139</v>
      </c>
      <c r="D400" s="50">
        <v>43040.0</v>
      </c>
      <c r="E400" s="133"/>
      <c r="F400" s="49" t="s">
        <v>160</v>
      </c>
      <c r="G400" s="49" t="s">
        <v>140</v>
      </c>
      <c r="H400" s="49" t="s">
        <v>153</v>
      </c>
      <c r="I400" s="132"/>
      <c r="J400" s="53"/>
    </row>
    <row r="401" hidden="1">
      <c r="A401" s="110" t="s">
        <v>2210</v>
      </c>
      <c r="B401" s="49" t="s">
        <v>2683</v>
      </c>
      <c r="C401" s="49" t="s">
        <v>139</v>
      </c>
      <c r="D401" s="50">
        <v>43040.0</v>
      </c>
      <c r="E401" s="50" t="s">
        <v>92</v>
      </c>
      <c r="F401" s="139"/>
      <c r="G401" s="49" t="s">
        <v>453</v>
      </c>
      <c r="H401" s="49" t="s">
        <v>2687</v>
      </c>
      <c r="I401" s="132"/>
      <c r="J401" s="53"/>
    </row>
    <row r="402" hidden="1">
      <c r="A402" s="110" t="s">
        <v>2215</v>
      </c>
      <c r="B402" s="49" t="s">
        <v>2688</v>
      </c>
      <c r="C402" s="49" t="s">
        <v>139</v>
      </c>
      <c r="D402" s="50">
        <v>43040.0</v>
      </c>
      <c r="E402" s="133"/>
      <c r="F402" s="49" t="s">
        <v>160</v>
      </c>
      <c r="G402" s="49" t="s">
        <v>140</v>
      </c>
      <c r="H402" s="49" t="s">
        <v>153</v>
      </c>
      <c r="I402" s="132"/>
      <c r="J402" s="53"/>
    </row>
    <row r="403" hidden="1">
      <c r="A403" s="110" t="s">
        <v>2219</v>
      </c>
      <c r="B403" s="49" t="s">
        <v>2691</v>
      </c>
      <c r="C403" s="49" t="s">
        <v>139</v>
      </c>
      <c r="D403" s="50">
        <v>43040.0</v>
      </c>
      <c r="E403" s="53"/>
      <c r="F403" s="49" t="s">
        <v>160</v>
      </c>
      <c r="G403" s="49" t="s">
        <v>140</v>
      </c>
      <c r="H403" s="49" t="s">
        <v>153</v>
      </c>
      <c r="I403" s="132"/>
      <c r="J403" s="133"/>
    </row>
    <row r="404" hidden="1">
      <c r="A404" s="110" t="s">
        <v>2222</v>
      </c>
      <c r="B404" s="49" t="s">
        <v>2693</v>
      </c>
      <c r="C404" s="49" t="s">
        <v>139</v>
      </c>
      <c r="D404" s="50">
        <v>43040.0</v>
      </c>
      <c r="E404" s="50">
        <v>43040.0</v>
      </c>
      <c r="F404" s="139"/>
      <c r="G404" s="49" t="s">
        <v>453</v>
      </c>
      <c r="H404" s="49" t="s">
        <v>148</v>
      </c>
      <c r="I404" s="132"/>
      <c r="J404" s="53"/>
    </row>
    <row r="405" hidden="1">
      <c r="A405" s="110" t="s">
        <v>2229</v>
      </c>
      <c r="B405" s="49" t="s">
        <v>2695</v>
      </c>
      <c r="C405" s="49" t="s">
        <v>139</v>
      </c>
      <c r="D405" s="50">
        <v>43040.0</v>
      </c>
      <c r="E405" s="53"/>
      <c r="F405" s="53"/>
      <c r="G405" s="49" t="s">
        <v>148</v>
      </c>
      <c r="H405" s="49" t="s">
        <v>177</v>
      </c>
      <c r="I405" s="132"/>
      <c r="J405" s="53"/>
    </row>
    <row r="406" hidden="1">
      <c r="A406" s="110" t="s">
        <v>2232</v>
      </c>
      <c r="B406" s="49" t="s">
        <v>2697</v>
      </c>
      <c r="C406" s="49" t="s">
        <v>139</v>
      </c>
      <c r="D406" s="50">
        <v>43040.0</v>
      </c>
      <c r="E406" s="53"/>
      <c r="F406" s="53"/>
      <c r="G406" s="49" t="s">
        <v>453</v>
      </c>
      <c r="H406" s="49" t="s">
        <v>177</v>
      </c>
      <c r="I406" s="132"/>
      <c r="J406" s="53"/>
    </row>
    <row r="407" hidden="1">
      <c r="A407" s="110" t="s">
        <v>2237</v>
      </c>
      <c r="B407" s="49" t="s">
        <v>2701</v>
      </c>
      <c r="C407" s="49" t="s">
        <v>139</v>
      </c>
      <c r="D407" s="50">
        <v>43040.0</v>
      </c>
      <c r="E407" s="53"/>
      <c r="F407" s="139"/>
      <c r="G407" s="49" t="s">
        <v>337</v>
      </c>
      <c r="H407" s="49" t="s">
        <v>177</v>
      </c>
      <c r="I407" s="132"/>
      <c r="J407" s="53"/>
    </row>
    <row r="408" hidden="1">
      <c r="A408" s="110" t="s">
        <v>2702</v>
      </c>
      <c r="B408" s="49" t="s">
        <v>2704</v>
      </c>
      <c r="C408" s="49" t="s">
        <v>139</v>
      </c>
      <c r="D408" s="50">
        <v>43039.0</v>
      </c>
      <c r="E408" s="50">
        <v>43046.0</v>
      </c>
      <c r="F408" s="49" t="s">
        <v>2707</v>
      </c>
      <c r="G408" s="49" t="s">
        <v>148</v>
      </c>
      <c r="H408" s="49" t="s">
        <v>216</v>
      </c>
      <c r="I408" s="142">
        <v>43052.0</v>
      </c>
      <c r="J408" s="145" t="s">
        <v>2708</v>
      </c>
    </row>
    <row r="409" hidden="1">
      <c r="A409" s="110" t="s">
        <v>2247</v>
      </c>
      <c r="B409" s="49" t="s">
        <v>2710</v>
      </c>
      <c r="C409" s="49" t="s">
        <v>139</v>
      </c>
      <c r="D409" s="50">
        <v>43039.0</v>
      </c>
      <c r="E409" s="53"/>
      <c r="F409" s="139"/>
      <c r="G409" s="49" t="s">
        <v>140</v>
      </c>
      <c r="H409" s="49" t="s">
        <v>141</v>
      </c>
      <c r="I409" s="142">
        <v>43045.0</v>
      </c>
      <c r="J409" s="143">
        <v>43039.0</v>
      </c>
    </row>
    <row r="410" hidden="1">
      <c r="A410" s="110" t="s">
        <v>2253</v>
      </c>
      <c r="B410" s="49" t="s">
        <v>2716</v>
      </c>
      <c r="C410" s="49" t="s">
        <v>139</v>
      </c>
      <c r="D410" s="50">
        <v>43039.0</v>
      </c>
      <c r="E410" s="133"/>
      <c r="F410" s="49" t="s">
        <v>2707</v>
      </c>
      <c r="G410" s="49" t="s">
        <v>453</v>
      </c>
      <c r="H410" s="49" t="s">
        <v>216</v>
      </c>
      <c r="I410" s="132"/>
      <c r="J410" s="53"/>
    </row>
    <row r="411" hidden="1">
      <c r="A411" s="120" t="s">
        <v>2266</v>
      </c>
      <c r="B411" s="121" t="s">
        <v>2719</v>
      </c>
      <c r="C411" s="121" t="s">
        <v>139</v>
      </c>
      <c r="D411" s="122">
        <v>43038.0</v>
      </c>
      <c r="E411" s="140" t="s">
        <v>92</v>
      </c>
      <c r="F411" s="121" t="s">
        <v>176</v>
      </c>
      <c r="G411" s="121" t="s">
        <v>140</v>
      </c>
      <c r="H411" s="121" t="s">
        <v>337</v>
      </c>
      <c r="I411" s="135">
        <v>43059.0</v>
      </c>
      <c r="J411" s="125">
        <v>43060.0</v>
      </c>
    </row>
    <row r="412" hidden="1">
      <c r="A412" s="110" t="s">
        <v>2270</v>
      </c>
      <c r="B412" s="49" t="s">
        <v>2724</v>
      </c>
      <c r="C412" s="49" t="s">
        <v>139</v>
      </c>
      <c r="D412" s="50">
        <v>43038.0</v>
      </c>
      <c r="E412" s="50">
        <v>43039.0</v>
      </c>
      <c r="F412" s="139"/>
      <c r="G412" s="49" t="s">
        <v>140</v>
      </c>
      <c r="H412" s="49" t="s">
        <v>140</v>
      </c>
      <c r="I412" s="132"/>
      <c r="J412" s="133"/>
    </row>
    <row r="413" hidden="1">
      <c r="A413" s="105" t="s">
        <v>2725</v>
      </c>
      <c r="B413" s="5" t="s">
        <v>2728</v>
      </c>
      <c r="C413" s="5" t="s">
        <v>139</v>
      </c>
      <c r="D413" s="106">
        <v>43038.0</v>
      </c>
      <c r="E413" s="106">
        <v>43049.0</v>
      </c>
      <c r="F413" s="5" t="s">
        <v>723</v>
      </c>
      <c r="G413" s="5" t="s">
        <v>148</v>
      </c>
      <c r="H413" s="5" t="s">
        <v>122</v>
      </c>
      <c r="I413" s="138">
        <v>43066.0</v>
      </c>
      <c r="J413" s="108">
        <v>43060.0</v>
      </c>
      <c r="K413" s="42"/>
      <c r="L413" s="42"/>
      <c r="M413" s="42"/>
      <c r="N413" s="42"/>
      <c r="O413" s="42"/>
      <c r="P413" s="42"/>
      <c r="Q413" s="42"/>
      <c r="R413" s="42"/>
      <c r="S413" s="42"/>
      <c r="T413" s="42"/>
      <c r="U413" s="42"/>
      <c r="V413" s="42"/>
      <c r="W413" s="42"/>
      <c r="X413" s="42"/>
      <c r="Y413" s="42"/>
      <c r="Z413" s="42"/>
    </row>
    <row r="414" hidden="1">
      <c r="A414" s="120" t="s">
        <v>2730</v>
      </c>
      <c r="B414" s="121" t="s">
        <v>2731</v>
      </c>
      <c r="C414" s="121" t="s">
        <v>139</v>
      </c>
      <c r="D414" s="122">
        <v>43038.0</v>
      </c>
      <c r="E414" s="122">
        <v>43049.0</v>
      </c>
      <c r="F414" s="121" t="s">
        <v>723</v>
      </c>
      <c r="G414" s="121" t="s">
        <v>148</v>
      </c>
      <c r="H414" s="121" t="s">
        <v>122</v>
      </c>
      <c r="I414" s="135">
        <v>43059.0</v>
      </c>
      <c r="J414" s="147" t="s">
        <v>2735</v>
      </c>
    </row>
    <row r="415" hidden="1">
      <c r="A415" s="120" t="s">
        <v>2741</v>
      </c>
      <c r="B415" s="121" t="s">
        <v>2744</v>
      </c>
      <c r="C415" s="121" t="s">
        <v>175</v>
      </c>
      <c r="D415" s="122">
        <v>43038.0</v>
      </c>
      <c r="E415" s="122">
        <v>43049.0</v>
      </c>
      <c r="F415" s="121" t="s">
        <v>723</v>
      </c>
      <c r="G415" s="121" t="s">
        <v>148</v>
      </c>
      <c r="H415" s="121" t="s">
        <v>122</v>
      </c>
      <c r="I415" s="135">
        <v>43059.0</v>
      </c>
      <c r="J415" s="147" t="s">
        <v>2735</v>
      </c>
    </row>
    <row r="416" hidden="1">
      <c r="A416" s="105" t="s">
        <v>2745</v>
      </c>
      <c r="B416" s="5" t="s">
        <v>2747</v>
      </c>
      <c r="C416" s="5" t="s">
        <v>175</v>
      </c>
      <c r="D416" s="106">
        <v>43038.0</v>
      </c>
      <c r="E416" s="106">
        <v>43049.0</v>
      </c>
      <c r="F416" s="5" t="s">
        <v>723</v>
      </c>
      <c r="G416" s="5" t="s">
        <v>148</v>
      </c>
      <c r="H416" s="5" t="s">
        <v>122</v>
      </c>
      <c r="I416" s="138">
        <v>43066.0</v>
      </c>
      <c r="J416" s="148" t="s">
        <v>2735</v>
      </c>
      <c r="K416" s="9"/>
      <c r="L416" s="9"/>
      <c r="M416" s="9"/>
      <c r="N416" s="9"/>
      <c r="O416" s="9"/>
      <c r="P416" s="9"/>
      <c r="Q416" s="9"/>
      <c r="R416" s="9"/>
      <c r="S416" s="9"/>
      <c r="T416" s="9"/>
      <c r="U416" s="9"/>
      <c r="V416" s="9"/>
      <c r="W416" s="9"/>
      <c r="X416" s="9"/>
      <c r="Y416" s="9"/>
      <c r="Z416" s="9"/>
    </row>
    <row r="417" hidden="1">
      <c r="A417" s="105" t="s">
        <v>2752</v>
      </c>
      <c r="B417" s="5" t="s">
        <v>2756</v>
      </c>
      <c r="C417" s="5" t="s">
        <v>139</v>
      </c>
      <c r="D417" s="106">
        <v>43038.0</v>
      </c>
      <c r="E417" s="106">
        <v>43049.0</v>
      </c>
      <c r="F417" s="5" t="s">
        <v>723</v>
      </c>
      <c r="G417" s="5" t="s">
        <v>148</v>
      </c>
      <c r="H417" s="5" t="s">
        <v>122</v>
      </c>
      <c r="I417" s="138">
        <v>43066.0</v>
      </c>
      <c r="J417" s="109">
        <v>43066.0</v>
      </c>
      <c r="K417" s="9"/>
      <c r="L417" s="9"/>
      <c r="M417" s="9"/>
      <c r="N417" s="9"/>
      <c r="O417" s="9"/>
      <c r="P417" s="9"/>
      <c r="Q417" s="9"/>
      <c r="R417" s="9"/>
      <c r="S417" s="9"/>
      <c r="T417" s="9"/>
      <c r="U417" s="9"/>
      <c r="V417" s="9"/>
      <c r="W417" s="9"/>
      <c r="X417" s="9"/>
      <c r="Y417" s="9"/>
      <c r="Z417" s="9"/>
    </row>
    <row r="418" hidden="1">
      <c r="A418" s="110" t="s">
        <v>2758</v>
      </c>
      <c r="B418" s="49" t="s">
        <v>2761</v>
      </c>
      <c r="C418" s="49" t="s">
        <v>139</v>
      </c>
      <c r="D418" s="50">
        <v>43038.0</v>
      </c>
      <c r="E418" s="50">
        <v>43049.0</v>
      </c>
      <c r="F418" s="49" t="s">
        <v>723</v>
      </c>
      <c r="G418" s="49" t="s">
        <v>148</v>
      </c>
      <c r="H418" s="49" t="s">
        <v>122</v>
      </c>
      <c r="I418" s="142">
        <v>43052.0</v>
      </c>
      <c r="J418" s="149" t="s">
        <v>2762</v>
      </c>
    </row>
    <row r="419" hidden="1">
      <c r="A419" s="110" t="s">
        <v>2766</v>
      </c>
      <c r="B419" s="49" t="s">
        <v>2771</v>
      </c>
      <c r="C419" s="49" t="s">
        <v>139</v>
      </c>
      <c r="D419" s="50">
        <v>43038.0</v>
      </c>
      <c r="E419" s="50">
        <v>43049.0</v>
      </c>
      <c r="F419" s="49" t="s">
        <v>723</v>
      </c>
      <c r="G419" s="49" t="s">
        <v>148</v>
      </c>
      <c r="H419" s="49" t="s">
        <v>122</v>
      </c>
      <c r="I419" s="142">
        <v>43052.0</v>
      </c>
      <c r="J419" s="149" t="s">
        <v>2762</v>
      </c>
    </row>
    <row r="420" hidden="1">
      <c r="A420" s="110" t="s">
        <v>2275</v>
      </c>
      <c r="B420" s="49" t="s">
        <v>2773</v>
      </c>
      <c r="C420" s="49" t="s">
        <v>139</v>
      </c>
      <c r="D420" s="50">
        <v>43038.0</v>
      </c>
      <c r="E420" s="133"/>
      <c r="F420" s="49" t="s">
        <v>160</v>
      </c>
      <c r="G420" s="49" t="s">
        <v>140</v>
      </c>
      <c r="H420" s="49" t="s">
        <v>141</v>
      </c>
      <c r="I420" s="132"/>
      <c r="J420" s="139"/>
    </row>
    <row r="421" hidden="1">
      <c r="A421" s="110" t="s">
        <v>2280</v>
      </c>
      <c r="B421" s="49" t="s">
        <v>2776</v>
      </c>
      <c r="C421" s="49" t="s">
        <v>139</v>
      </c>
      <c r="D421" s="50">
        <v>43038.0</v>
      </c>
      <c r="E421" s="50">
        <v>43067.0</v>
      </c>
      <c r="F421" s="49" t="s">
        <v>160</v>
      </c>
      <c r="G421" s="49" t="s">
        <v>141</v>
      </c>
      <c r="H421" s="49" t="s">
        <v>141</v>
      </c>
      <c r="I421" s="150">
        <v>43038.0</v>
      </c>
      <c r="J421" s="49" t="s">
        <v>2785</v>
      </c>
    </row>
    <row r="422" hidden="1">
      <c r="A422" s="110" t="s">
        <v>2284</v>
      </c>
      <c r="B422" s="49" t="s">
        <v>2786</v>
      </c>
      <c r="C422" s="49" t="s">
        <v>139</v>
      </c>
      <c r="D422" s="50">
        <v>43038.0</v>
      </c>
      <c r="E422" s="133"/>
      <c r="F422" s="53"/>
      <c r="G422" s="49" t="s">
        <v>453</v>
      </c>
      <c r="H422" s="49" t="s">
        <v>122</v>
      </c>
      <c r="I422" s="132"/>
      <c r="J422" s="53"/>
    </row>
    <row r="423" hidden="1">
      <c r="A423" s="110" t="s">
        <v>2290</v>
      </c>
      <c r="B423" s="49" t="s">
        <v>2790</v>
      </c>
      <c r="C423" s="49" t="s">
        <v>139</v>
      </c>
      <c r="D423" s="50">
        <v>43038.0</v>
      </c>
      <c r="E423" s="133"/>
      <c r="F423" s="53"/>
      <c r="G423" s="49" t="s">
        <v>453</v>
      </c>
      <c r="H423" s="49" t="s">
        <v>122</v>
      </c>
      <c r="I423" s="132"/>
      <c r="J423" s="53"/>
    </row>
    <row r="424" hidden="1">
      <c r="A424" s="110" t="s">
        <v>2294</v>
      </c>
      <c r="B424" s="49" t="s">
        <v>2794</v>
      </c>
      <c r="C424" s="49" t="s">
        <v>139</v>
      </c>
      <c r="D424" s="50">
        <v>43038.0</v>
      </c>
      <c r="E424" s="133"/>
      <c r="F424" s="53"/>
      <c r="G424" s="49" t="s">
        <v>453</v>
      </c>
      <c r="H424" s="49" t="s">
        <v>122</v>
      </c>
      <c r="I424" s="132"/>
      <c r="J424" s="53"/>
    </row>
    <row r="425" hidden="1">
      <c r="A425" s="110" t="s">
        <v>2297</v>
      </c>
      <c r="B425" s="49" t="s">
        <v>2797</v>
      </c>
      <c r="C425" s="49" t="s">
        <v>139</v>
      </c>
      <c r="D425" s="50">
        <v>43038.0</v>
      </c>
      <c r="E425" s="133"/>
      <c r="F425" s="53"/>
      <c r="G425" s="49" t="s">
        <v>453</v>
      </c>
      <c r="H425" s="49" t="s">
        <v>122</v>
      </c>
      <c r="I425" s="132"/>
      <c r="J425" s="53"/>
    </row>
    <row r="426" hidden="1">
      <c r="A426" s="110" t="s">
        <v>2300</v>
      </c>
      <c r="B426" s="49" t="s">
        <v>2799</v>
      </c>
      <c r="C426" s="49" t="s">
        <v>139</v>
      </c>
      <c r="D426" s="50">
        <v>43038.0</v>
      </c>
      <c r="E426" s="133"/>
      <c r="F426" s="53"/>
      <c r="G426" s="49" t="s">
        <v>453</v>
      </c>
      <c r="H426" s="49" t="s">
        <v>122</v>
      </c>
      <c r="I426" s="132"/>
      <c r="J426" s="53"/>
    </row>
    <row r="427" hidden="1">
      <c r="A427" s="110" t="s">
        <v>2306</v>
      </c>
      <c r="B427" s="49" t="s">
        <v>2802</v>
      </c>
      <c r="C427" s="49" t="s">
        <v>139</v>
      </c>
      <c r="D427" s="50">
        <v>43038.0</v>
      </c>
      <c r="E427" s="133"/>
      <c r="F427" s="53"/>
      <c r="G427" s="49" t="s">
        <v>453</v>
      </c>
      <c r="H427" s="49" t="s">
        <v>122</v>
      </c>
      <c r="I427" s="132"/>
      <c r="J427" s="53"/>
    </row>
    <row r="428" hidden="1">
      <c r="A428" s="110" t="s">
        <v>2311</v>
      </c>
      <c r="B428" s="49" t="s">
        <v>2805</v>
      </c>
      <c r="C428" s="49" t="s">
        <v>139</v>
      </c>
      <c r="D428" s="50">
        <v>43038.0</v>
      </c>
      <c r="E428" s="50">
        <v>42902.0</v>
      </c>
      <c r="F428" s="53"/>
      <c r="G428" s="49" t="s">
        <v>453</v>
      </c>
      <c r="H428" s="49" t="s">
        <v>122</v>
      </c>
      <c r="I428" s="132"/>
      <c r="J428" s="53"/>
    </row>
    <row r="429" hidden="1">
      <c r="A429" s="110" t="s">
        <v>2360</v>
      </c>
      <c r="B429" s="49" t="s">
        <v>2808</v>
      </c>
      <c r="C429" s="49" t="s">
        <v>139</v>
      </c>
      <c r="D429" s="50">
        <v>43035.0</v>
      </c>
      <c r="E429" s="53"/>
      <c r="F429" s="49" t="s">
        <v>176</v>
      </c>
      <c r="G429" s="49" t="s">
        <v>148</v>
      </c>
      <c r="H429" s="49" t="s">
        <v>337</v>
      </c>
      <c r="I429" s="150">
        <v>43038.0</v>
      </c>
      <c r="J429" s="146">
        <v>43040.0</v>
      </c>
    </row>
    <row r="430" hidden="1">
      <c r="A430" s="110" t="s">
        <v>2366</v>
      </c>
      <c r="B430" s="49" t="s">
        <v>2810</v>
      </c>
      <c r="C430" s="49" t="s">
        <v>139</v>
      </c>
      <c r="D430" s="50">
        <v>43035.0</v>
      </c>
      <c r="E430" s="50">
        <v>43035.0</v>
      </c>
      <c r="F430" s="49" t="s">
        <v>2811</v>
      </c>
      <c r="G430" s="49" t="s">
        <v>337</v>
      </c>
      <c r="H430" s="49" t="s">
        <v>140</v>
      </c>
      <c r="I430" s="132"/>
      <c r="J430" s="53"/>
    </row>
    <row r="431" hidden="1">
      <c r="A431" s="110" t="s">
        <v>2369</v>
      </c>
      <c r="B431" s="49" t="s">
        <v>2815</v>
      </c>
      <c r="C431" s="49" t="s">
        <v>139</v>
      </c>
      <c r="D431" s="50">
        <v>43035.0</v>
      </c>
      <c r="E431" s="53"/>
      <c r="F431" s="49" t="s">
        <v>160</v>
      </c>
      <c r="G431" s="49" t="s">
        <v>140</v>
      </c>
      <c r="H431" s="49" t="s">
        <v>153</v>
      </c>
      <c r="I431" s="132"/>
      <c r="J431" s="53"/>
    </row>
    <row r="432" hidden="1">
      <c r="A432" s="110" t="s">
        <v>2372</v>
      </c>
      <c r="B432" s="49" t="s">
        <v>2816</v>
      </c>
      <c r="C432" s="49" t="s">
        <v>139</v>
      </c>
      <c r="D432" s="50">
        <v>43035.0</v>
      </c>
      <c r="E432" s="53"/>
      <c r="F432" s="49" t="s">
        <v>160</v>
      </c>
      <c r="G432" s="49" t="s">
        <v>140</v>
      </c>
      <c r="H432" s="49" t="s">
        <v>153</v>
      </c>
      <c r="I432" s="132"/>
      <c r="J432" s="53"/>
    </row>
    <row r="433" hidden="1">
      <c r="A433" s="110" t="s">
        <v>2375</v>
      </c>
      <c r="B433" s="49" t="s">
        <v>2820</v>
      </c>
      <c r="C433" s="49" t="s">
        <v>139</v>
      </c>
      <c r="D433" s="50">
        <v>43035.0</v>
      </c>
      <c r="E433" s="53"/>
      <c r="F433" s="49" t="s">
        <v>160</v>
      </c>
      <c r="G433" s="49" t="s">
        <v>140</v>
      </c>
      <c r="H433" s="49" t="s">
        <v>153</v>
      </c>
      <c r="I433" s="132"/>
      <c r="J433" s="53"/>
    </row>
    <row r="434" hidden="1">
      <c r="A434" s="110" t="s">
        <v>2382</v>
      </c>
      <c r="B434" s="49" t="s">
        <v>2824</v>
      </c>
      <c r="C434" s="49" t="s">
        <v>139</v>
      </c>
      <c r="D434" s="50">
        <v>43034.0</v>
      </c>
      <c r="E434" s="50">
        <v>43041.0</v>
      </c>
      <c r="F434" s="49" t="s">
        <v>723</v>
      </c>
      <c r="G434" s="49" t="s">
        <v>122</v>
      </c>
      <c r="H434" s="49" t="s">
        <v>122</v>
      </c>
      <c r="I434" s="150">
        <v>43038.0</v>
      </c>
      <c r="J434" s="146">
        <v>43041.0</v>
      </c>
    </row>
    <row r="435" hidden="1">
      <c r="A435" s="110" t="s">
        <v>2378</v>
      </c>
      <c r="B435" s="49" t="s">
        <v>2827</v>
      </c>
      <c r="C435" s="49" t="s">
        <v>139</v>
      </c>
      <c r="D435" s="50">
        <v>43034.0</v>
      </c>
      <c r="E435" s="133"/>
      <c r="F435" s="49" t="s">
        <v>160</v>
      </c>
      <c r="G435" s="49" t="s">
        <v>140</v>
      </c>
      <c r="H435" s="49" t="s">
        <v>153</v>
      </c>
      <c r="I435" s="132"/>
      <c r="J435" s="133"/>
    </row>
    <row r="436" hidden="1">
      <c r="A436" s="110" t="s">
        <v>2381</v>
      </c>
      <c r="B436" s="49" t="s">
        <v>2830</v>
      </c>
      <c r="C436" s="49" t="s">
        <v>139</v>
      </c>
      <c r="D436" s="50">
        <v>43034.0</v>
      </c>
      <c r="E436" s="133"/>
      <c r="F436" s="139"/>
      <c r="G436" s="49" t="s">
        <v>2197</v>
      </c>
      <c r="H436" s="49" t="s">
        <v>140</v>
      </c>
      <c r="I436" s="132"/>
      <c r="J436" s="53"/>
    </row>
    <row r="437" hidden="1">
      <c r="A437" s="110" t="s">
        <v>2386</v>
      </c>
      <c r="B437" s="49" t="s">
        <v>2834</v>
      </c>
      <c r="C437" s="49" t="s">
        <v>139</v>
      </c>
      <c r="D437" s="50">
        <v>43033.0</v>
      </c>
      <c r="E437" s="50">
        <v>42991.0</v>
      </c>
      <c r="F437" s="49" t="s">
        <v>160</v>
      </c>
      <c r="G437" s="49" t="s">
        <v>141</v>
      </c>
      <c r="H437" s="49" t="s">
        <v>140</v>
      </c>
      <c r="I437" s="132"/>
      <c r="J437" s="53"/>
    </row>
    <row r="438" hidden="1">
      <c r="A438" s="110" t="s">
        <v>2390</v>
      </c>
      <c r="B438" s="49" t="s">
        <v>2838</v>
      </c>
      <c r="C438" s="49" t="s">
        <v>139</v>
      </c>
      <c r="D438" s="50">
        <v>43033.0</v>
      </c>
      <c r="E438" s="50">
        <v>43039.0</v>
      </c>
      <c r="F438" s="49" t="s">
        <v>160</v>
      </c>
      <c r="G438" s="49" t="s">
        <v>141</v>
      </c>
      <c r="H438" s="49" t="s">
        <v>141</v>
      </c>
      <c r="I438" s="150">
        <v>43038.0</v>
      </c>
      <c r="J438" s="146">
        <v>43038.0</v>
      </c>
    </row>
    <row r="439" hidden="1">
      <c r="A439" s="110" t="s">
        <v>2841</v>
      </c>
      <c r="B439" s="49" t="s">
        <v>2843</v>
      </c>
      <c r="C439" s="49" t="s">
        <v>139</v>
      </c>
      <c r="D439" s="50">
        <v>43033.0</v>
      </c>
      <c r="E439" s="50">
        <v>42923.0</v>
      </c>
      <c r="F439" s="49" t="s">
        <v>160</v>
      </c>
      <c r="G439" s="49" t="s">
        <v>155</v>
      </c>
      <c r="H439" s="49" t="s">
        <v>155</v>
      </c>
      <c r="I439" s="150">
        <v>43038.0</v>
      </c>
      <c r="J439" s="146">
        <v>43040.0</v>
      </c>
    </row>
    <row r="440" hidden="1">
      <c r="A440" s="110" t="s">
        <v>2392</v>
      </c>
      <c r="B440" s="49" t="s">
        <v>2846</v>
      </c>
      <c r="C440" s="49" t="s">
        <v>139</v>
      </c>
      <c r="D440" s="50">
        <v>43033.0</v>
      </c>
      <c r="E440" s="50">
        <v>43040.0</v>
      </c>
      <c r="F440" s="49" t="s">
        <v>160</v>
      </c>
      <c r="G440" s="49" t="s">
        <v>140</v>
      </c>
      <c r="H440" s="49" t="s">
        <v>141</v>
      </c>
      <c r="I440" s="150">
        <v>43038.0</v>
      </c>
      <c r="J440" s="146">
        <v>43039.0</v>
      </c>
    </row>
    <row r="441" hidden="1">
      <c r="A441" s="110" t="s">
        <v>2394</v>
      </c>
      <c r="B441" s="49" t="s">
        <v>2855</v>
      </c>
      <c r="C441" s="49" t="s">
        <v>139</v>
      </c>
      <c r="D441" s="50">
        <v>43033.0</v>
      </c>
      <c r="E441" s="133"/>
      <c r="F441" s="49" t="s">
        <v>160</v>
      </c>
      <c r="G441" s="49" t="s">
        <v>140</v>
      </c>
      <c r="H441" s="49" t="s">
        <v>153</v>
      </c>
      <c r="I441" s="132"/>
      <c r="J441" s="53"/>
    </row>
    <row r="442" hidden="1">
      <c r="A442" s="110" t="s">
        <v>2395</v>
      </c>
      <c r="B442" s="49" t="s">
        <v>2861</v>
      </c>
      <c r="C442" s="49" t="s">
        <v>139</v>
      </c>
      <c r="D442" s="50">
        <v>43033.0</v>
      </c>
      <c r="E442" s="133"/>
      <c r="F442" s="49" t="s">
        <v>160</v>
      </c>
      <c r="G442" s="49" t="s">
        <v>140</v>
      </c>
      <c r="H442" s="49" t="s">
        <v>153</v>
      </c>
      <c r="I442" s="132"/>
      <c r="J442" s="53"/>
    </row>
    <row r="443" hidden="1">
      <c r="A443" s="110" t="s">
        <v>2398</v>
      </c>
      <c r="B443" s="49" t="s">
        <v>2864</v>
      </c>
      <c r="C443" s="49" t="s">
        <v>139</v>
      </c>
      <c r="D443" s="50">
        <v>43033.0</v>
      </c>
      <c r="E443" s="53"/>
      <c r="F443" s="49" t="s">
        <v>160</v>
      </c>
      <c r="G443" s="49" t="s">
        <v>140</v>
      </c>
      <c r="H443" s="49" t="s">
        <v>153</v>
      </c>
      <c r="I443" s="132"/>
      <c r="J443" s="53"/>
    </row>
    <row r="444" hidden="1">
      <c r="A444" s="110" t="s">
        <v>2408</v>
      </c>
      <c r="B444" s="49" t="s">
        <v>2868</v>
      </c>
      <c r="C444" s="49" t="s">
        <v>139</v>
      </c>
      <c r="D444" s="50">
        <v>43032.0</v>
      </c>
      <c r="E444" s="53"/>
      <c r="F444" s="49" t="s">
        <v>160</v>
      </c>
      <c r="G444" s="49" t="s">
        <v>453</v>
      </c>
      <c r="H444" s="49" t="s">
        <v>140</v>
      </c>
      <c r="I444" s="132"/>
      <c r="J444" s="53"/>
    </row>
    <row r="445" hidden="1">
      <c r="A445" s="110" t="s">
        <v>2412</v>
      </c>
      <c r="B445" s="49" t="s">
        <v>2872</v>
      </c>
      <c r="C445" s="49" t="s">
        <v>139</v>
      </c>
      <c r="D445" s="50">
        <v>43032.0</v>
      </c>
      <c r="E445" s="133"/>
      <c r="F445" s="49" t="s">
        <v>160</v>
      </c>
      <c r="G445" s="49" t="s">
        <v>140</v>
      </c>
      <c r="H445" s="49" t="s">
        <v>153</v>
      </c>
      <c r="I445" s="132"/>
      <c r="J445" s="53"/>
    </row>
    <row r="446" hidden="1">
      <c r="A446" s="110" t="s">
        <v>2417</v>
      </c>
      <c r="B446" s="49" t="s">
        <v>2875</v>
      </c>
      <c r="C446" s="49" t="s">
        <v>139</v>
      </c>
      <c r="D446" s="50">
        <v>43031.0</v>
      </c>
      <c r="E446" s="133"/>
      <c r="F446" s="49" t="s">
        <v>176</v>
      </c>
      <c r="G446" s="49" t="s">
        <v>140</v>
      </c>
      <c r="H446" s="49" t="s">
        <v>140</v>
      </c>
      <c r="I446" s="132"/>
      <c r="J446" s="139"/>
    </row>
    <row r="447" hidden="1">
      <c r="A447" s="110" t="s">
        <v>2423</v>
      </c>
      <c r="B447" s="49" t="s">
        <v>2878</v>
      </c>
      <c r="C447" s="49" t="s">
        <v>139</v>
      </c>
      <c r="D447" s="50">
        <v>43031.0</v>
      </c>
      <c r="E447" s="50">
        <v>43067.0</v>
      </c>
      <c r="F447" s="49" t="s">
        <v>160</v>
      </c>
      <c r="G447" s="49" t="s">
        <v>141</v>
      </c>
      <c r="H447" s="49" t="s">
        <v>141</v>
      </c>
      <c r="I447" s="150">
        <v>43038.0</v>
      </c>
      <c r="J447" s="49" t="s">
        <v>2879</v>
      </c>
    </row>
    <row r="448" hidden="1">
      <c r="A448" s="110" t="s">
        <v>2427</v>
      </c>
      <c r="B448" s="49" t="s">
        <v>2882</v>
      </c>
      <c r="C448" s="49" t="s">
        <v>139</v>
      </c>
      <c r="D448" s="50">
        <v>43031.0</v>
      </c>
      <c r="E448" s="50">
        <v>43038.0</v>
      </c>
      <c r="F448" s="49" t="s">
        <v>160</v>
      </c>
      <c r="G448" s="49" t="s">
        <v>148</v>
      </c>
      <c r="H448" s="49" t="s">
        <v>141</v>
      </c>
      <c r="I448" s="132"/>
      <c r="J448" s="139"/>
    </row>
    <row r="449" hidden="1">
      <c r="A449" s="110" t="s">
        <v>2431</v>
      </c>
      <c r="B449" s="49" t="s">
        <v>2891</v>
      </c>
      <c r="C449" s="49" t="s">
        <v>139</v>
      </c>
      <c r="D449" s="50">
        <v>43031.0</v>
      </c>
      <c r="E449" s="50">
        <v>43067.0</v>
      </c>
      <c r="F449" s="49" t="s">
        <v>160</v>
      </c>
      <c r="G449" s="49" t="s">
        <v>141</v>
      </c>
      <c r="H449" s="49" t="s">
        <v>141</v>
      </c>
      <c r="I449" s="150">
        <v>43038.0</v>
      </c>
      <c r="J449" s="49" t="s">
        <v>2895</v>
      </c>
    </row>
    <row r="450" hidden="1">
      <c r="A450" s="110" t="s">
        <v>2436</v>
      </c>
      <c r="B450" s="49" t="s">
        <v>2896</v>
      </c>
      <c r="C450" s="49" t="s">
        <v>139</v>
      </c>
      <c r="D450" s="50">
        <v>43031.0</v>
      </c>
      <c r="E450" s="50">
        <v>43063.0</v>
      </c>
      <c r="F450" s="49" t="s">
        <v>160</v>
      </c>
      <c r="G450" s="49" t="s">
        <v>141</v>
      </c>
      <c r="H450" s="49" t="s">
        <v>141</v>
      </c>
      <c r="I450" s="150">
        <v>43038.0</v>
      </c>
      <c r="J450" s="151" t="s">
        <v>2897</v>
      </c>
    </row>
    <row r="451" hidden="1">
      <c r="A451" s="110" t="s">
        <v>2439</v>
      </c>
      <c r="B451" s="49" t="s">
        <v>2906</v>
      </c>
      <c r="C451" s="49" t="s">
        <v>139</v>
      </c>
      <c r="D451" s="50">
        <v>43031.0</v>
      </c>
      <c r="E451" s="133"/>
      <c r="F451" s="49" t="s">
        <v>215</v>
      </c>
      <c r="G451" s="49" t="s">
        <v>140</v>
      </c>
      <c r="H451" s="49" t="s">
        <v>153</v>
      </c>
      <c r="I451" s="132"/>
      <c r="J451" s="133"/>
    </row>
    <row r="452" hidden="1">
      <c r="A452" s="110" t="s">
        <v>2443</v>
      </c>
      <c r="B452" s="49" t="s">
        <v>2911</v>
      </c>
      <c r="C452" s="49" t="s">
        <v>139</v>
      </c>
      <c r="D452" s="50">
        <v>43031.0</v>
      </c>
      <c r="E452" s="133"/>
      <c r="F452" s="49" t="s">
        <v>215</v>
      </c>
      <c r="G452" s="49" t="s">
        <v>140</v>
      </c>
      <c r="H452" s="49" t="s">
        <v>153</v>
      </c>
      <c r="I452" s="132"/>
      <c r="J452" s="53"/>
    </row>
    <row r="453" hidden="1">
      <c r="A453" s="110" t="s">
        <v>2447</v>
      </c>
      <c r="B453" s="49" t="s">
        <v>2914</v>
      </c>
      <c r="C453" s="49" t="s">
        <v>139</v>
      </c>
      <c r="D453" s="50">
        <v>43031.0</v>
      </c>
      <c r="E453" s="133"/>
      <c r="F453" s="49" t="s">
        <v>215</v>
      </c>
      <c r="G453" s="49" t="s">
        <v>140</v>
      </c>
      <c r="H453" s="49" t="s">
        <v>153</v>
      </c>
      <c r="I453" s="132"/>
      <c r="J453" s="53"/>
    </row>
    <row r="454" hidden="1">
      <c r="A454" s="110" t="s">
        <v>2448</v>
      </c>
      <c r="B454" s="49" t="s">
        <v>2916</v>
      </c>
      <c r="C454" s="49" t="s">
        <v>139</v>
      </c>
      <c r="D454" s="50">
        <v>43031.0</v>
      </c>
      <c r="E454" s="53"/>
      <c r="F454" s="49" t="s">
        <v>215</v>
      </c>
      <c r="G454" s="49" t="s">
        <v>140</v>
      </c>
      <c r="H454" s="49" t="s">
        <v>153</v>
      </c>
      <c r="I454" s="132"/>
      <c r="J454" s="53"/>
    </row>
    <row r="455" hidden="1">
      <c r="A455" s="110" t="s">
        <v>2452</v>
      </c>
      <c r="B455" s="49" t="s">
        <v>2919</v>
      </c>
      <c r="C455" s="49" t="s">
        <v>139</v>
      </c>
      <c r="D455" s="50">
        <v>43031.0</v>
      </c>
      <c r="E455" s="53"/>
      <c r="F455" s="49" t="s">
        <v>215</v>
      </c>
      <c r="G455" s="49" t="s">
        <v>140</v>
      </c>
      <c r="H455" s="49" t="s">
        <v>153</v>
      </c>
      <c r="I455" s="139"/>
      <c r="J455" s="139"/>
    </row>
    <row r="456" hidden="1">
      <c r="A456" s="110" t="s">
        <v>2457</v>
      </c>
      <c r="B456" s="49" t="s">
        <v>2924</v>
      </c>
      <c r="C456" s="49" t="s">
        <v>139</v>
      </c>
      <c r="D456" s="50">
        <v>43031.0</v>
      </c>
      <c r="E456" s="50">
        <v>43042.0</v>
      </c>
      <c r="F456" s="49" t="s">
        <v>160</v>
      </c>
      <c r="G456" s="49" t="s">
        <v>2926</v>
      </c>
      <c r="H456" s="49" t="s">
        <v>141</v>
      </c>
      <c r="I456" s="150">
        <v>43038.0</v>
      </c>
      <c r="J456" s="49" t="s">
        <v>2927</v>
      </c>
    </row>
    <row r="457" hidden="1">
      <c r="A457" s="110" t="s">
        <v>2463</v>
      </c>
      <c r="B457" s="49" t="s">
        <v>2930</v>
      </c>
      <c r="C457" s="49" t="s">
        <v>139</v>
      </c>
      <c r="D457" s="50">
        <v>43030.0</v>
      </c>
      <c r="E457" s="50">
        <v>43041.0</v>
      </c>
      <c r="F457" s="49" t="s">
        <v>1629</v>
      </c>
      <c r="G457" s="49" t="s">
        <v>148</v>
      </c>
      <c r="H457" s="49" t="s">
        <v>2464</v>
      </c>
      <c r="I457" s="132"/>
      <c r="J457" s="53"/>
    </row>
    <row r="458" hidden="1">
      <c r="A458" s="110" t="s">
        <v>2467</v>
      </c>
      <c r="B458" s="49" t="s">
        <v>2934</v>
      </c>
      <c r="C458" s="49" t="s">
        <v>139</v>
      </c>
      <c r="D458" s="50">
        <v>43028.0</v>
      </c>
      <c r="E458" s="50">
        <v>43046.0</v>
      </c>
      <c r="F458" s="49" t="s">
        <v>160</v>
      </c>
      <c r="G458" s="49" t="s">
        <v>141</v>
      </c>
      <c r="H458" s="49" t="s">
        <v>141</v>
      </c>
      <c r="I458" s="150">
        <v>43031.0</v>
      </c>
      <c r="J458" s="146">
        <v>43031.0</v>
      </c>
    </row>
    <row r="459" hidden="1">
      <c r="A459" s="110" t="s">
        <v>2473</v>
      </c>
      <c r="B459" s="49" t="s">
        <v>2834</v>
      </c>
      <c r="C459" s="49" t="s">
        <v>139</v>
      </c>
      <c r="D459" s="50">
        <v>43028.0</v>
      </c>
      <c r="E459" s="50">
        <v>42991.0</v>
      </c>
      <c r="F459" s="49" t="s">
        <v>160</v>
      </c>
      <c r="G459" s="49" t="s">
        <v>153</v>
      </c>
      <c r="H459" s="49" t="s">
        <v>141</v>
      </c>
      <c r="I459" s="150">
        <v>43031.0</v>
      </c>
      <c r="J459" s="146">
        <v>43032.0</v>
      </c>
    </row>
    <row r="460" hidden="1">
      <c r="A460" s="110" t="s">
        <v>2479</v>
      </c>
      <c r="B460" s="49" t="s">
        <v>2941</v>
      </c>
      <c r="C460" s="49" t="s">
        <v>139</v>
      </c>
      <c r="D460" s="50">
        <v>43027.0</v>
      </c>
      <c r="E460" s="50">
        <v>43035.0</v>
      </c>
      <c r="F460" s="49" t="s">
        <v>1629</v>
      </c>
      <c r="G460" s="49" t="s">
        <v>148</v>
      </c>
      <c r="H460" s="49" t="s">
        <v>148</v>
      </c>
      <c r="I460" s="152">
        <v>43045.0</v>
      </c>
      <c r="J460" s="145" t="s">
        <v>2948</v>
      </c>
    </row>
    <row r="461" hidden="1">
      <c r="A461" s="110" t="s">
        <v>2482</v>
      </c>
      <c r="B461" s="49" t="s">
        <v>2950</v>
      </c>
      <c r="C461" s="49" t="s">
        <v>139</v>
      </c>
      <c r="D461" s="50">
        <v>43027.0</v>
      </c>
      <c r="E461" s="133"/>
      <c r="F461" s="49" t="s">
        <v>160</v>
      </c>
      <c r="G461" s="49" t="s">
        <v>140</v>
      </c>
      <c r="H461" s="49" t="s">
        <v>153</v>
      </c>
      <c r="I461" s="132"/>
      <c r="J461" s="53"/>
    </row>
    <row r="462" hidden="1">
      <c r="A462" s="110" t="s">
        <v>2485</v>
      </c>
      <c r="B462" s="49" t="s">
        <v>2954</v>
      </c>
      <c r="C462" s="49" t="s">
        <v>139</v>
      </c>
      <c r="D462" s="50">
        <v>43027.0</v>
      </c>
      <c r="E462" s="50">
        <v>43020.0</v>
      </c>
      <c r="F462" s="49" t="s">
        <v>160</v>
      </c>
      <c r="G462" s="49" t="s">
        <v>140</v>
      </c>
      <c r="H462" s="49" t="s">
        <v>140</v>
      </c>
      <c r="I462" s="132"/>
      <c r="J462" s="53"/>
    </row>
    <row r="463" hidden="1">
      <c r="A463" s="110" t="s">
        <v>2486</v>
      </c>
      <c r="B463" s="49" t="s">
        <v>2956</v>
      </c>
      <c r="C463" s="49" t="s">
        <v>139</v>
      </c>
      <c r="D463" s="50">
        <v>43027.0</v>
      </c>
      <c r="E463" s="133"/>
      <c r="F463" s="49" t="s">
        <v>160</v>
      </c>
      <c r="G463" s="49" t="s">
        <v>140</v>
      </c>
      <c r="H463" s="49" t="s">
        <v>153</v>
      </c>
      <c r="I463" s="132"/>
      <c r="J463" s="53"/>
    </row>
    <row r="464" hidden="1">
      <c r="A464" s="110" t="s">
        <v>2498</v>
      </c>
      <c r="B464" s="49" t="s">
        <v>2961</v>
      </c>
      <c r="C464" s="49" t="s">
        <v>139</v>
      </c>
      <c r="D464" s="50">
        <v>43027.0</v>
      </c>
      <c r="E464" s="133"/>
      <c r="F464" s="139"/>
      <c r="G464" s="49" t="s">
        <v>140</v>
      </c>
      <c r="H464" s="49" t="s">
        <v>140</v>
      </c>
      <c r="I464" s="132"/>
      <c r="J464" s="133"/>
    </row>
    <row r="465" hidden="1">
      <c r="A465" s="110" t="s">
        <v>2490</v>
      </c>
      <c r="B465" s="49" t="s">
        <v>2964</v>
      </c>
      <c r="C465" s="49" t="s">
        <v>139</v>
      </c>
      <c r="D465" s="50">
        <v>43027.0</v>
      </c>
      <c r="E465" s="50">
        <v>43028.0</v>
      </c>
      <c r="F465" s="139"/>
      <c r="G465" s="49" t="s">
        <v>453</v>
      </c>
      <c r="H465" s="49" t="s">
        <v>148</v>
      </c>
      <c r="I465" s="132"/>
      <c r="J465" s="53"/>
    </row>
    <row r="466" hidden="1">
      <c r="A466" s="110" t="s">
        <v>2495</v>
      </c>
      <c r="B466" s="49" t="s">
        <v>2968</v>
      </c>
      <c r="C466" s="49" t="s">
        <v>139</v>
      </c>
      <c r="D466" s="50">
        <v>43027.0</v>
      </c>
      <c r="E466" s="50">
        <v>43027.0</v>
      </c>
      <c r="F466" s="139"/>
      <c r="G466" s="49" t="s">
        <v>148</v>
      </c>
      <c r="H466" s="49" t="s">
        <v>148</v>
      </c>
      <c r="I466" s="132"/>
      <c r="J466" s="53"/>
    </row>
    <row r="467" hidden="1">
      <c r="A467" s="110" t="s">
        <v>2504</v>
      </c>
      <c r="B467" s="49" t="s">
        <v>2972</v>
      </c>
      <c r="C467" s="49" t="s">
        <v>139</v>
      </c>
      <c r="D467" s="50">
        <v>43026.0</v>
      </c>
      <c r="E467" s="50">
        <v>43027.0</v>
      </c>
      <c r="F467" s="139"/>
      <c r="G467" s="49" t="s">
        <v>453</v>
      </c>
      <c r="H467" s="49" t="s">
        <v>148</v>
      </c>
      <c r="I467" s="132"/>
      <c r="J467" s="133"/>
    </row>
    <row r="468" hidden="1">
      <c r="A468" s="110" t="s">
        <v>2508</v>
      </c>
      <c r="B468" s="49" t="s">
        <v>2973</v>
      </c>
      <c r="C468" s="49" t="s">
        <v>139</v>
      </c>
      <c r="D468" s="50">
        <v>43025.0</v>
      </c>
      <c r="E468" s="133"/>
      <c r="F468" s="49" t="s">
        <v>160</v>
      </c>
      <c r="G468" s="49" t="s">
        <v>155</v>
      </c>
      <c r="H468" s="49" t="s">
        <v>141</v>
      </c>
      <c r="I468" s="150">
        <v>43031.0</v>
      </c>
      <c r="J468" s="146">
        <v>43035.0</v>
      </c>
    </row>
    <row r="469" hidden="1">
      <c r="A469" s="110" t="s">
        <v>2514</v>
      </c>
      <c r="B469" s="49" t="s">
        <v>2977</v>
      </c>
      <c r="C469" s="49" t="s">
        <v>139</v>
      </c>
      <c r="D469" s="50">
        <v>43025.0</v>
      </c>
      <c r="E469" s="50">
        <v>43020.0</v>
      </c>
      <c r="F469" s="49" t="s">
        <v>160</v>
      </c>
      <c r="G469" s="49" t="s">
        <v>140</v>
      </c>
      <c r="H469" s="49" t="s">
        <v>140</v>
      </c>
      <c r="I469" s="132"/>
      <c r="J469" s="53"/>
    </row>
    <row r="470" hidden="1">
      <c r="A470" s="110" t="s">
        <v>2519</v>
      </c>
      <c r="B470" s="49" t="s">
        <v>2978</v>
      </c>
      <c r="C470" s="49" t="s">
        <v>139</v>
      </c>
      <c r="D470" s="50">
        <v>43025.0</v>
      </c>
      <c r="E470" s="133"/>
      <c r="F470" s="49" t="s">
        <v>176</v>
      </c>
      <c r="G470" s="49" t="s">
        <v>140</v>
      </c>
      <c r="H470" s="49" t="s">
        <v>153</v>
      </c>
      <c r="I470" s="132"/>
      <c r="J470" s="53"/>
    </row>
    <row r="471" hidden="1">
      <c r="A471" s="110" t="s">
        <v>2523</v>
      </c>
      <c r="B471" s="49" t="s">
        <v>2980</v>
      </c>
      <c r="C471" s="49" t="s">
        <v>139</v>
      </c>
      <c r="D471" s="50">
        <v>43025.0</v>
      </c>
      <c r="E471" s="133"/>
      <c r="F471" s="139"/>
      <c r="G471" s="49" t="s">
        <v>1587</v>
      </c>
      <c r="H471" s="49" t="s">
        <v>141</v>
      </c>
      <c r="I471" s="132"/>
      <c r="J471" s="133"/>
    </row>
    <row r="472" hidden="1">
      <c r="A472" s="110" t="s">
        <v>2529</v>
      </c>
      <c r="B472" s="49" t="s">
        <v>2982</v>
      </c>
      <c r="C472" s="49" t="s">
        <v>139</v>
      </c>
      <c r="D472" s="50">
        <v>43025.0</v>
      </c>
      <c r="E472" s="133"/>
      <c r="F472" s="139"/>
      <c r="G472" s="49" t="s">
        <v>148</v>
      </c>
      <c r="H472" s="49" t="s">
        <v>148</v>
      </c>
      <c r="I472" s="132"/>
      <c r="J472" s="133"/>
    </row>
    <row r="473" hidden="1">
      <c r="A473" s="110" t="s">
        <v>2535</v>
      </c>
      <c r="B473" s="49" t="s">
        <v>2986</v>
      </c>
      <c r="C473" s="49" t="s">
        <v>139</v>
      </c>
      <c r="D473" s="50">
        <v>43024.0</v>
      </c>
      <c r="E473" s="50">
        <v>43031.0</v>
      </c>
      <c r="F473" s="49" t="s">
        <v>160</v>
      </c>
      <c r="G473" s="49" t="s">
        <v>148</v>
      </c>
      <c r="H473" s="49" t="s">
        <v>244</v>
      </c>
      <c r="I473" s="150">
        <v>43031.0</v>
      </c>
      <c r="J473" s="49" t="s">
        <v>2988</v>
      </c>
    </row>
    <row r="474" hidden="1">
      <c r="A474" s="110" t="s">
        <v>2990</v>
      </c>
      <c r="B474" s="49" t="s">
        <v>2992</v>
      </c>
      <c r="C474" s="49" t="s">
        <v>139</v>
      </c>
      <c r="D474" s="50">
        <v>43024.0</v>
      </c>
      <c r="E474" s="50">
        <v>42969.0</v>
      </c>
      <c r="F474" s="49" t="s">
        <v>160</v>
      </c>
      <c r="G474" s="49" t="s">
        <v>155</v>
      </c>
      <c r="H474" s="49" t="s">
        <v>155</v>
      </c>
      <c r="I474" s="150">
        <v>43031.0</v>
      </c>
      <c r="J474" s="146">
        <v>43033.0</v>
      </c>
    </row>
    <row r="475" hidden="1">
      <c r="A475" s="110" t="s">
        <v>2538</v>
      </c>
      <c r="B475" s="49" t="s">
        <v>2995</v>
      </c>
      <c r="C475" s="49" t="s">
        <v>139</v>
      </c>
      <c r="D475" s="50">
        <v>43024.0</v>
      </c>
      <c r="E475" s="50">
        <v>43024.0</v>
      </c>
      <c r="F475" s="49" t="s">
        <v>160</v>
      </c>
      <c r="G475" s="49" t="s">
        <v>148</v>
      </c>
      <c r="H475" s="49" t="s">
        <v>244</v>
      </c>
      <c r="I475" s="132"/>
      <c r="J475" s="53"/>
    </row>
    <row r="476" hidden="1">
      <c r="A476" s="110" t="s">
        <v>2542</v>
      </c>
      <c r="B476" s="49" t="s">
        <v>2998</v>
      </c>
      <c r="C476" s="49" t="s">
        <v>139</v>
      </c>
      <c r="D476" s="50">
        <v>43024.0</v>
      </c>
      <c r="E476" s="50">
        <v>43025.0</v>
      </c>
      <c r="F476" s="49" t="s">
        <v>160</v>
      </c>
      <c r="G476" s="49" t="s">
        <v>453</v>
      </c>
      <c r="H476" s="49" t="s">
        <v>244</v>
      </c>
      <c r="I476" s="132"/>
      <c r="J476" s="53"/>
    </row>
    <row r="477" hidden="1">
      <c r="A477" s="110" t="s">
        <v>2546</v>
      </c>
      <c r="B477" s="49" t="s">
        <v>3003</v>
      </c>
      <c r="C477" s="49" t="s">
        <v>139</v>
      </c>
      <c r="D477" s="50">
        <v>43024.0</v>
      </c>
      <c r="E477" s="133"/>
      <c r="F477" s="49" t="s">
        <v>215</v>
      </c>
      <c r="G477" s="49" t="s">
        <v>140</v>
      </c>
      <c r="H477" s="49" t="s">
        <v>153</v>
      </c>
      <c r="I477" s="132"/>
      <c r="J477" s="53"/>
    </row>
    <row r="478" hidden="1">
      <c r="A478" s="110" t="s">
        <v>2549</v>
      </c>
      <c r="B478" s="49" t="s">
        <v>3010</v>
      </c>
      <c r="C478" s="49" t="s">
        <v>139</v>
      </c>
      <c r="D478" s="50">
        <v>43024.0</v>
      </c>
      <c r="E478" s="50">
        <v>43024.0</v>
      </c>
      <c r="F478" s="53"/>
      <c r="G478" s="49" t="s">
        <v>140</v>
      </c>
      <c r="H478" s="49" t="s">
        <v>148</v>
      </c>
      <c r="I478" s="132"/>
      <c r="J478" s="53"/>
    </row>
    <row r="479" hidden="1">
      <c r="A479" s="110" t="s">
        <v>2556</v>
      </c>
      <c r="B479" s="49" t="s">
        <v>3014</v>
      </c>
      <c r="C479" s="49" t="s">
        <v>139</v>
      </c>
      <c r="D479" s="50">
        <v>43024.0</v>
      </c>
      <c r="E479" s="53"/>
      <c r="F479" s="49" t="s">
        <v>215</v>
      </c>
      <c r="G479" s="49" t="s">
        <v>140</v>
      </c>
      <c r="H479" s="49" t="s">
        <v>153</v>
      </c>
      <c r="I479" s="132"/>
      <c r="J479" s="53"/>
    </row>
    <row r="480" hidden="1">
      <c r="A480" s="110" t="s">
        <v>2561</v>
      </c>
      <c r="B480" s="49" t="s">
        <v>3018</v>
      </c>
      <c r="C480" s="49" t="s">
        <v>139</v>
      </c>
      <c r="D480" s="50">
        <v>43024.0</v>
      </c>
      <c r="E480" s="133"/>
      <c r="F480" s="139"/>
      <c r="G480" s="49" t="s">
        <v>140</v>
      </c>
      <c r="H480" s="49" t="s">
        <v>140</v>
      </c>
      <c r="I480" s="132"/>
      <c r="J480" s="53"/>
    </row>
    <row r="481" hidden="1">
      <c r="A481" s="110" t="s">
        <v>2572</v>
      </c>
      <c r="B481" s="49" t="s">
        <v>3022</v>
      </c>
      <c r="C481" s="49" t="s">
        <v>139</v>
      </c>
      <c r="D481" s="50">
        <v>43021.0</v>
      </c>
      <c r="E481" s="133"/>
      <c r="F481" s="49" t="s">
        <v>176</v>
      </c>
      <c r="G481" s="49" t="s">
        <v>148</v>
      </c>
      <c r="H481" s="49" t="s">
        <v>337</v>
      </c>
      <c r="I481" s="150">
        <v>43031.0</v>
      </c>
      <c r="J481" s="49" t="s">
        <v>3024</v>
      </c>
    </row>
    <row r="482" hidden="1">
      <c r="A482" s="110" t="s">
        <v>2576</v>
      </c>
      <c r="B482" s="49" t="s">
        <v>3027</v>
      </c>
      <c r="C482" s="49" t="s">
        <v>139</v>
      </c>
      <c r="D482" s="50">
        <v>43021.0</v>
      </c>
      <c r="E482" s="133"/>
      <c r="F482" s="49" t="s">
        <v>160</v>
      </c>
      <c r="G482" s="49" t="s">
        <v>155</v>
      </c>
      <c r="H482" s="49" t="s">
        <v>155</v>
      </c>
      <c r="I482" s="150">
        <v>43038.0</v>
      </c>
      <c r="J482" s="146">
        <v>43039.0</v>
      </c>
    </row>
    <row r="483" hidden="1">
      <c r="A483" s="110" t="s">
        <v>2581</v>
      </c>
      <c r="B483" s="49" t="s">
        <v>3032</v>
      </c>
      <c r="C483" s="49" t="s">
        <v>139</v>
      </c>
      <c r="D483" s="50">
        <v>43021.0</v>
      </c>
      <c r="E483" s="133"/>
      <c r="F483" s="49" t="s">
        <v>176</v>
      </c>
      <c r="G483" s="49" t="s">
        <v>140</v>
      </c>
      <c r="H483" s="49" t="s">
        <v>153</v>
      </c>
      <c r="I483" s="132"/>
      <c r="J483" s="139"/>
    </row>
    <row r="484" hidden="1">
      <c r="A484" s="110" t="s">
        <v>2584</v>
      </c>
      <c r="B484" s="49" t="s">
        <v>3035</v>
      </c>
      <c r="C484" s="49" t="s">
        <v>139</v>
      </c>
      <c r="D484" s="50">
        <v>43020.0</v>
      </c>
      <c r="E484" s="50">
        <v>43021.0</v>
      </c>
      <c r="F484" s="49" t="s">
        <v>160</v>
      </c>
      <c r="G484" s="49" t="s">
        <v>141</v>
      </c>
      <c r="H484" s="49" t="s">
        <v>141</v>
      </c>
      <c r="I484" s="150">
        <v>43017.0</v>
      </c>
      <c r="J484" s="49" t="s">
        <v>3039</v>
      </c>
    </row>
    <row r="485" hidden="1">
      <c r="A485" s="110" t="s">
        <v>2588</v>
      </c>
      <c r="B485" s="49" t="s">
        <v>3041</v>
      </c>
      <c r="C485" s="49" t="s">
        <v>139</v>
      </c>
      <c r="D485" s="50">
        <v>43020.0</v>
      </c>
      <c r="E485" s="133"/>
      <c r="F485" s="49" t="s">
        <v>176</v>
      </c>
      <c r="G485" s="49" t="s">
        <v>140</v>
      </c>
      <c r="H485" s="49" t="s">
        <v>140</v>
      </c>
      <c r="I485" s="132"/>
      <c r="J485" s="53"/>
    </row>
    <row r="486" hidden="1">
      <c r="A486" s="110" t="s">
        <v>2592</v>
      </c>
      <c r="B486" s="49" t="s">
        <v>3045</v>
      </c>
      <c r="C486" s="49" t="s">
        <v>139</v>
      </c>
      <c r="D486" s="50">
        <v>43019.0</v>
      </c>
      <c r="E486" s="50">
        <v>43026.0</v>
      </c>
      <c r="F486" s="49" t="s">
        <v>160</v>
      </c>
      <c r="G486" s="49" t="s">
        <v>141</v>
      </c>
      <c r="H486" s="49" t="s">
        <v>141</v>
      </c>
      <c r="I486" s="150">
        <v>43031.0</v>
      </c>
      <c r="J486" s="146">
        <v>43034.0</v>
      </c>
    </row>
    <row r="487" hidden="1">
      <c r="A487" s="110" t="s">
        <v>2597</v>
      </c>
      <c r="B487" s="49" t="s">
        <v>3049</v>
      </c>
      <c r="C487" s="49" t="s">
        <v>139</v>
      </c>
      <c r="D487" s="50">
        <v>43019.0</v>
      </c>
      <c r="E487" s="50">
        <v>43025.0</v>
      </c>
      <c r="F487" s="49" t="s">
        <v>160</v>
      </c>
      <c r="G487" s="49" t="s">
        <v>141</v>
      </c>
      <c r="H487" s="49" t="s">
        <v>141</v>
      </c>
      <c r="I487" s="150">
        <v>43024.0</v>
      </c>
      <c r="J487" s="49" t="s">
        <v>3051</v>
      </c>
    </row>
    <row r="488" hidden="1">
      <c r="A488" s="110" t="s">
        <v>2604</v>
      </c>
      <c r="B488" s="49" t="s">
        <v>3053</v>
      </c>
      <c r="C488" s="49" t="s">
        <v>139</v>
      </c>
      <c r="D488" s="50">
        <v>43019.0</v>
      </c>
      <c r="E488" s="50">
        <v>43025.0</v>
      </c>
      <c r="F488" s="49" t="s">
        <v>160</v>
      </c>
      <c r="G488" s="49" t="s">
        <v>141</v>
      </c>
      <c r="H488" s="49" t="s">
        <v>141</v>
      </c>
      <c r="I488" s="150">
        <v>43031.0</v>
      </c>
      <c r="J488" s="49" t="s">
        <v>3056</v>
      </c>
    </row>
    <row r="489" hidden="1">
      <c r="A489" s="110" t="s">
        <v>2608</v>
      </c>
      <c r="B489" s="49" t="s">
        <v>3057</v>
      </c>
      <c r="C489" s="49" t="s">
        <v>139</v>
      </c>
      <c r="D489" s="50">
        <v>43019.0</v>
      </c>
      <c r="E489" s="50">
        <v>43034.0</v>
      </c>
      <c r="F489" s="49" t="s">
        <v>160</v>
      </c>
      <c r="G489" s="49" t="s">
        <v>1116</v>
      </c>
      <c r="H489" s="49" t="s">
        <v>141</v>
      </c>
      <c r="I489" s="150">
        <v>43031.0</v>
      </c>
      <c r="J489" s="146">
        <v>43032.0</v>
      </c>
    </row>
    <row r="490" hidden="1">
      <c r="A490" s="110" t="s">
        <v>2613</v>
      </c>
      <c r="B490" s="49" t="s">
        <v>3061</v>
      </c>
      <c r="C490" s="49" t="s">
        <v>139</v>
      </c>
      <c r="D490" s="50">
        <v>43019.0</v>
      </c>
      <c r="E490" s="50">
        <v>43019.0</v>
      </c>
      <c r="F490" s="139"/>
      <c r="G490" s="49" t="s">
        <v>148</v>
      </c>
      <c r="H490" s="49" t="s">
        <v>148</v>
      </c>
      <c r="I490" s="132"/>
      <c r="J490" s="53"/>
    </row>
    <row r="491" hidden="1">
      <c r="A491" s="110" t="s">
        <v>2619</v>
      </c>
      <c r="B491" s="49" t="s">
        <v>3063</v>
      </c>
      <c r="C491" s="49" t="s">
        <v>139</v>
      </c>
      <c r="D491" s="50">
        <v>43019.0</v>
      </c>
      <c r="E491" s="133"/>
      <c r="F491" s="139"/>
      <c r="G491" s="49" t="s">
        <v>153</v>
      </c>
      <c r="H491" s="49" t="s">
        <v>140</v>
      </c>
      <c r="I491" s="132"/>
      <c r="J491" s="53"/>
    </row>
    <row r="492" hidden="1">
      <c r="A492" s="110" t="s">
        <v>2622</v>
      </c>
      <c r="B492" s="49" t="s">
        <v>3067</v>
      </c>
      <c r="C492" s="49" t="s">
        <v>139</v>
      </c>
      <c r="D492" s="50">
        <v>43019.0</v>
      </c>
      <c r="E492" s="133"/>
      <c r="F492" s="139"/>
      <c r="G492" s="49" t="s">
        <v>148</v>
      </c>
      <c r="H492" s="49" t="s">
        <v>140</v>
      </c>
      <c r="I492" s="132"/>
      <c r="J492" s="53"/>
    </row>
    <row r="493" hidden="1">
      <c r="A493" s="110" t="s">
        <v>3071</v>
      </c>
      <c r="B493" s="49" t="s">
        <v>3072</v>
      </c>
      <c r="C493" s="49" t="s">
        <v>139</v>
      </c>
      <c r="D493" s="50">
        <v>43019.0</v>
      </c>
      <c r="E493" s="133"/>
      <c r="F493" s="49" t="s">
        <v>176</v>
      </c>
      <c r="G493" s="49" t="s">
        <v>140</v>
      </c>
      <c r="H493" s="49" t="s">
        <v>140</v>
      </c>
      <c r="I493" s="132"/>
      <c r="J493" s="53"/>
    </row>
    <row r="494" hidden="1">
      <c r="A494" s="110" t="s">
        <v>3075</v>
      </c>
      <c r="B494" s="49" t="s">
        <v>3077</v>
      </c>
      <c r="C494" s="49" t="s">
        <v>139</v>
      </c>
      <c r="D494" s="50">
        <v>43018.0</v>
      </c>
      <c r="E494" s="50">
        <v>42850.0</v>
      </c>
      <c r="F494" s="49" t="s">
        <v>176</v>
      </c>
      <c r="G494" s="49" t="s">
        <v>155</v>
      </c>
      <c r="H494" s="49" t="s">
        <v>155</v>
      </c>
      <c r="I494" s="50">
        <v>43045.0</v>
      </c>
      <c r="J494" s="144">
        <v>43039.0</v>
      </c>
    </row>
    <row r="495" hidden="1">
      <c r="A495" s="110" t="s">
        <v>2626</v>
      </c>
      <c r="B495" s="49" t="s">
        <v>3083</v>
      </c>
      <c r="C495" s="49" t="s">
        <v>139</v>
      </c>
      <c r="D495" s="50">
        <v>43018.0</v>
      </c>
      <c r="E495" s="50">
        <v>43025.0</v>
      </c>
      <c r="F495" s="139"/>
      <c r="G495" s="49" t="s">
        <v>2627</v>
      </c>
      <c r="H495" s="49" t="s">
        <v>2627</v>
      </c>
      <c r="I495" s="150">
        <v>43024.0</v>
      </c>
      <c r="J495" s="146">
        <v>43025.0</v>
      </c>
    </row>
    <row r="496" hidden="1">
      <c r="A496" s="110" t="s">
        <v>2633</v>
      </c>
      <c r="B496" s="49" t="s">
        <v>3086</v>
      </c>
      <c r="C496" s="49" t="s">
        <v>139</v>
      </c>
      <c r="D496" s="50">
        <v>43018.0</v>
      </c>
      <c r="E496" s="50">
        <v>43018.0</v>
      </c>
      <c r="F496" s="139"/>
      <c r="G496" s="49" t="s">
        <v>148</v>
      </c>
      <c r="H496" s="49" t="s">
        <v>148</v>
      </c>
      <c r="I496" s="132"/>
      <c r="J496" s="53"/>
    </row>
    <row r="497" hidden="1">
      <c r="A497" s="110" t="s">
        <v>2638</v>
      </c>
      <c r="B497" s="49" t="s">
        <v>3090</v>
      </c>
      <c r="C497" s="49" t="s">
        <v>139</v>
      </c>
      <c r="D497" s="50">
        <v>43018.0</v>
      </c>
      <c r="E497" s="50">
        <v>43018.0</v>
      </c>
      <c r="F497" s="53"/>
      <c r="G497" s="49" t="s">
        <v>148</v>
      </c>
      <c r="H497" s="49" t="s">
        <v>148</v>
      </c>
      <c r="I497" s="132"/>
      <c r="J497" s="53"/>
    </row>
    <row r="498" hidden="1">
      <c r="A498" s="110" t="s">
        <v>2643</v>
      </c>
      <c r="B498" s="49" t="s">
        <v>3094</v>
      </c>
      <c r="C498" s="49" t="s">
        <v>139</v>
      </c>
      <c r="D498" s="50">
        <v>43018.0</v>
      </c>
      <c r="E498" s="50">
        <v>43018.0</v>
      </c>
      <c r="F498" s="139"/>
      <c r="G498" s="49" t="s">
        <v>148</v>
      </c>
      <c r="H498" s="49" t="s">
        <v>148</v>
      </c>
      <c r="I498" s="132"/>
      <c r="J498" s="133"/>
    </row>
    <row r="499" hidden="1">
      <c r="A499" s="110" t="s">
        <v>2647</v>
      </c>
      <c r="B499" s="49" t="s">
        <v>3098</v>
      </c>
      <c r="C499" s="49" t="s">
        <v>139</v>
      </c>
      <c r="D499" s="50">
        <v>43018.0</v>
      </c>
      <c r="E499" s="50">
        <v>43019.0</v>
      </c>
      <c r="F499" s="53"/>
      <c r="G499" s="49" t="s">
        <v>140</v>
      </c>
      <c r="H499" s="49" t="s">
        <v>148</v>
      </c>
      <c r="I499" s="132"/>
      <c r="J499" s="53"/>
    </row>
    <row r="500" hidden="1">
      <c r="A500" s="110" t="s">
        <v>3099</v>
      </c>
      <c r="B500" s="49" t="s">
        <v>3083</v>
      </c>
      <c r="C500" s="49" t="s">
        <v>252</v>
      </c>
      <c r="D500" s="50">
        <v>43018.0</v>
      </c>
      <c r="E500" s="50">
        <v>43025.0</v>
      </c>
      <c r="F500" s="139"/>
      <c r="G500" s="49" t="s">
        <v>148</v>
      </c>
      <c r="H500" s="49" t="s">
        <v>2627</v>
      </c>
      <c r="I500" s="153">
        <v>43024.0</v>
      </c>
      <c r="J500" s="53"/>
    </row>
    <row r="501" hidden="1">
      <c r="A501" s="110" t="s">
        <v>2657</v>
      </c>
      <c r="B501" s="49" t="s">
        <v>3109</v>
      </c>
      <c r="C501" s="49" t="s">
        <v>139</v>
      </c>
      <c r="D501" s="50">
        <v>43017.0</v>
      </c>
      <c r="E501" s="50">
        <v>43018.0</v>
      </c>
      <c r="F501" s="49" t="s">
        <v>160</v>
      </c>
      <c r="G501" s="49" t="s">
        <v>141</v>
      </c>
      <c r="H501" s="49" t="s">
        <v>141</v>
      </c>
      <c r="I501" s="150">
        <v>43017.0</v>
      </c>
      <c r="J501" s="146">
        <v>43018.0</v>
      </c>
    </row>
    <row r="502" hidden="1">
      <c r="A502" s="110" t="s">
        <v>2662</v>
      </c>
      <c r="B502" s="49" t="s">
        <v>3113</v>
      </c>
      <c r="C502" s="49" t="s">
        <v>139</v>
      </c>
      <c r="D502" s="50">
        <v>43017.0</v>
      </c>
      <c r="E502" s="133"/>
      <c r="F502" s="49" t="s">
        <v>176</v>
      </c>
      <c r="G502" s="49" t="s">
        <v>140</v>
      </c>
      <c r="H502" s="49" t="s">
        <v>337</v>
      </c>
      <c r="I502" s="132"/>
      <c r="J502" s="53"/>
    </row>
    <row r="503" hidden="1">
      <c r="A503" s="110" t="s">
        <v>2672</v>
      </c>
      <c r="B503" s="49" t="s">
        <v>3117</v>
      </c>
      <c r="C503" s="49" t="s">
        <v>139</v>
      </c>
      <c r="D503" s="50">
        <v>43008.0</v>
      </c>
      <c r="E503" s="50">
        <v>43008.0</v>
      </c>
      <c r="F503" s="49" t="s">
        <v>215</v>
      </c>
      <c r="G503" s="49" t="s">
        <v>148</v>
      </c>
      <c r="H503" s="49" t="s">
        <v>216</v>
      </c>
      <c r="I503" s="150">
        <v>43031.0</v>
      </c>
      <c r="J503" s="146">
        <v>43035.0</v>
      </c>
    </row>
    <row r="504" hidden="1">
      <c r="A504" s="110" t="s">
        <v>2675</v>
      </c>
      <c r="B504" s="49" t="s">
        <v>3121</v>
      </c>
      <c r="C504" s="49" t="s">
        <v>139</v>
      </c>
      <c r="D504" s="50">
        <v>43008.0</v>
      </c>
      <c r="E504" s="50">
        <v>43008.0</v>
      </c>
      <c r="F504" s="49" t="s">
        <v>215</v>
      </c>
      <c r="G504" s="49" t="s">
        <v>148</v>
      </c>
      <c r="H504" s="49" t="s">
        <v>216</v>
      </c>
      <c r="I504" s="150">
        <v>43031.0</v>
      </c>
      <c r="J504" s="146">
        <v>43032.0</v>
      </c>
    </row>
    <row r="505" hidden="1">
      <c r="A505" s="110" t="s">
        <v>2679</v>
      </c>
      <c r="B505" s="49" t="s">
        <v>3125</v>
      </c>
      <c r="C505" s="49" t="s">
        <v>139</v>
      </c>
      <c r="D505" s="50">
        <v>43008.0</v>
      </c>
      <c r="E505" s="50">
        <v>43008.0</v>
      </c>
      <c r="F505" s="49" t="s">
        <v>215</v>
      </c>
      <c r="G505" s="49" t="s">
        <v>148</v>
      </c>
      <c r="H505" s="49" t="s">
        <v>216</v>
      </c>
      <c r="I505" s="150">
        <v>43031.0</v>
      </c>
      <c r="J505" s="146">
        <v>43034.0</v>
      </c>
    </row>
    <row r="506" hidden="1">
      <c r="A506" s="110" t="s">
        <v>2685</v>
      </c>
      <c r="B506" s="49" t="s">
        <v>3130</v>
      </c>
      <c r="C506" s="49" t="s">
        <v>139</v>
      </c>
      <c r="D506" s="50">
        <v>43008.0</v>
      </c>
      <c r="E506" s="50">
        <v>43008.0</v>
      </c>
      <c r="F506" s="49" t="s">
        <v>215</v>
      </c>
      <c r="G506" s="49" t="s">
        <v>148</v>
      </c>
      <c r="H506" s="49" t="s">
        <v>216</v>
      </c>
      <c r="I506" s="150">
        <v>43031.0</v>
      </c>
      <c r="J506" s="146">
        <v>43033.0</v>
      </c>
    </row>
    <row r="507" hidden="1">
      <c r="A507" s="110" t="s">
        <v>2690</v>
      </c>
      <c r="B507" s="49" t="s">
        <v>3133</v>
      </c>
      <c r="C507" s="49" t="s">
        <v>139</v>
      </c>
      <c r="D507" s="50">
        <v>43008.0</v>
      </c>
      <c r="E507" s="50">
        <v>43008.0</v>
      </c>
      <c r="F507" s="49" t="s">
        <v>215</v>
      </c>
      <c r="G507" s="49" t="s">
        <v>148</v>
      </c>
      <c r="H507" s="49" t="s">
        <v>216</v>
      </c>
      <c r="I507" s="150">
        <v>43031.0</v>
      </c>
      <c r="J507" s="146">
        <v>43031.0</v>
      </c>
    </row>
    <row r="508" hidden="1">
      <c r="A508" s="110" t="s">
        <v>2694</v>
      </c>
      <c r="B508" s="49" t="s">
        <v>3136</v>
      </c>
      <c r="C508" s="49" t="s">
        <v>139</v>
      </c>
      <c r="D508" s="50">
        <v>43008.0</v>
      </c>
      <c r="E508" s="50">
        <v>43008.0</v>
      </c>
      <c r="F508" s="49" t="s">
        <v>215</v>
      </c>
      <c r="G508" s="49" t="s">
        <v>148</v>
      </c>
      <c r="H508" s="49" t="s">
        <v>216</v>
      </c>
      <c r="I508" s="150">
        <v>43017.0</v>
      </c>
      <c r="J508" s="146">
        <v>43021.0</v>
      </c>
    </row>
    <row r="509" hidden="1">
      <c r="A509" s="110" t="s">
        <v>2698</v>
      </c>
      <c r="B509" s="49" t="s">
        <v>3140</v>
      </c>
      <c r="C509" s="49" t="s">
        <v>139</v>
      </c>
      <c r="D509" s="50">
        <v>43008.0</v>
      </c>
      <c r="E509" s="50">
        <v>43008.0</v>
      </c>
      <c r="F509" s="49" t="s">
        <v>215</v>
      </c>
      <c r="G509" s="49" t="s">
        <v>148</v>
      </c>
      <c r="H509" s="49" t="s">
        <v>216</v>
      </c>
      <c r="I509" s="150">
        <v>43024.0</v>
      </c>
      <c r="J509" s="146">
        <v>43024.0</v>
      </c>
    </row>
    <row r="510" hidden="1">
      <c r="A510" s="110" t="s">
        <v>2703</v>
      </c>
      <c r="B510" s="49" t="s">
        <v>3145</v>
      </c>
      <c r="C510" s="49" t="s">
        <v>139</v>
      </c>
      <c r="D510" s="50">
        <v>43008.0</v>
      </c>
      <c r="E510" s="50">
        <v>43008.0</v>
      </c>
      <c r="F510" s="49" t="s">
        <v>215</v>
      </c>
      <c r="G510" s="49" t="s">
        <v>148</v>
      </c>
      <c r="H510" s="49" t="s">
        <v>216</v>
      </c>
      <c r="I510" s="150">
        <v>43017.0</v>
      </c>
      <c r="J510" s="146">
        <v>43019.0</v>
      </c>
    </row>
    <row r="511" hidden="1">
      <c r="A511" s="110" t="s">
        <v>2709</v>
      </c>
      <c r="B511" s="49" t="s">
        <v>3148</v>
      </c>
      <c r="C511" s="49" t="s">
        <v>139</v>
      </c>
      <c r="D511" s="50">
        <v>43008.0</v>
      </c>
      <c r="E511" s="50">
        <v>43008.0</v>
      </c>
      <c r="F511" s="49" t="s">
        <v>215</v>
      </c>
      <c r="G511" s="49" t="s">
        <v>148</v>
      </c>
      <c r="H511" s="49" t="s">
        <v>216</v>
      </c>
      <c r="I511" s="150">
        <v>43024.0</v>
      </c>
      <c r="J511" s="146">
        <v>43028.0</v>
      </c>
    </row>
    <row r="512" hidden="1">
      <c r="A512" s="110" t="s">
        <v>2715</v>
      </c>
      <c r="B512" s="49" t="s">
        <v>3152</v>
      </c>
      <c r="C512" s="49" t="s">
        <v>139</v>
      </c>
      <c r="D512" s="50">
        <v>43008.0</v>
      </c>
      <c r="E512" s="50">
        <v>43008.0</v>
      </c>
      <c r="F512" s="49" t="s">
        <v>215</v>
      </c>
      <c r="G512" s="49" t="s">
        <v>148</v>
      </c>
      <c r="H512" s="49" t="s">
        <v>216</v>
      </c>
      <c r="I512" s="150">
        <v>43017.0</v>
      </c>
      <c r="J512" s="146">
        <v>43020.0</v>
      </c>
    </row>
    <row r="513" hidden="1">
      <c r="A513" s="110" t="s">
        <v>2720</v>
      </c>
      <c r="B513" s="49" t="s">
        <v>3155</v>
      </c>
      <c r="C513" s="49" t="s">
        <v>139</v>
      </c>
      <c r="D513" s="50">
        <v>43008.0</v>
      </c>
      <c r="E513" s="133"/>
      <c r="F513" s="139"/>
      <c r="G513" s="49" t="s">
        <v>148</v>
      </c>
      <c r="H513" s="49" t="s">
        <v>2723</v>
      </c>
      <c r="I513" s="132"/>
      <c r="J513" s="133"/>
    </row>
    <row r="514" hidden="1">
      <c r="A514" s="110" t="s">
        <v>2729</v>
      </c>
      <c r="B514" s="49" t="s">
        <v>3159</v>
      </c>
      <c r="C514" s="49" t="s">
        <v>139</v>
      </c>
      <c r="D514" s="50">
        <v>43008.0</v>
      </c>
      <c r="E514" s="50">
        <v>43021.0</v>
      </c>
      <c r="F514" s="49" t="s">
        <v>1629</v>
      </c>
      <c r="G514" s="49" t="s">
        <v>148</v>
      </c>
      <c r="H514" s="49" t="s">
        <v>2723</v>
      </c>
      <c r="I514" s="150">
        <v>43024.0</v>
      </c>
      <c r="J514" s="146">
        <v>43024.0</v>
      </c>
    </row>
    <row r="515" hidden="1">
      <c r="A515" s="110" t="s">
        <v>2732</v>
      </c>
      <c r="B515" s="49" t="s">
        <v>3164</v>
      </c>
      <c r="C515" s="49" t="s">
        <v>139</v>
      </c>
      <c r="D515" s="50">
        <v>43008.0</v>
      </c>
      <c r="E515" s="133"/>
      <c r="F515" s="53"/>
      <c r="G515" s="49" t="s">
        <v>453</v>
      </c>
      <c r="H515" s="49" t="s">
        <v>140</v>
      </c>
      <c r="I515" s="132"/>
      <c r="J515" s="53"/>
    </row>
    <row r="516" hidden="1">
      <c r="A516" s="110" t="s">
        <v>2737</v>
      </c>
      <c r="B516" s="49" t="s">
        <v>3166</v>
      </c>
      <c r="C516" s="49" t="s">
        <v>139</v>
      </c>
      <c r="D516" s="50">
        <v>43007.0</v>
      </c>
      <c r="E516" s="50">
        <v>43027.0</v>
      </c>
      <c r="F516" s="139"/>
      <c r="G516" s="49" t="s">
        <v>1116</v>
      </c>
      <c r="H516" s="49" t="s">
        <v>141</v>
      </c>
      <c r="I516" s="132"/>
      <c r="J516" s="133"/>
    </row>
    <row r="517" hidden="1">
      <c r="A517" s="110" t="s">
        <v>2743</v>
      </c>
      <c r="B517" s="49" t="s">
        <v>3170</v>
      </c>
      <c r="C517" s="49" t="s">
        <v>139</v>
      </c>
      <c r="D517" s="50">
        <v>43007.0</v>
      </c>
      <c r="E517" s="50">
        <v>43007.0</v>
      </c>
      <c r="F517" s="139"/>
      <c r="G517" s="49" t="s">
        <v>148</v>
      </c>
      <c r="H517" s="49" t="s">
        <v>148</v>
      </c>
      <c r="I517" s="132"/>
      <c r="J517" s="133"/>
    </row>
    <row r="518" hidden="1">
      <c r="A518" s="110" t="s">
        <v>3173</v>
      </c>
      <c r="B518" s="49" t="s">
        <v>3166</v>
      </c>
      <c r="C518" s="49" t="s">
        <v>138</v>
      </c>
      <c r="D518" s="50">
        <v>43007.0</v>
      </c>
      <c r="E518" s="50">
        <v>43018.0</v>
      </c>
      <c r="F518" s="139"/>
      <c r="G518" s="49" t="s">
        <v>141</v>
      </c>
      <c r="H518" s="49" t="s">
        <v>141</v>
      </c>
      <c r="I518" s="153">
        <v>43024.0</v>
      </c>
      <c r="J518" s="146">
        <v>43024.0</v>
      </c>
    </row>
    <row r="519" hidden="1">
      <c r="A519" s="110" t="s">
        <v>2749</v>
      </c>
      <c r="B519" s="49" t="s">
        <v>3179</v>
      </c>
      <c r="C519" s="49" t="s">
        <v>139</v>
      </c>
      <c r="D519" s="50">
        <v>43007.0</v>
      </c>
      <c r="E519" s="50">
        <v>43007.0</v>
      </c>
      <c r="F519" s="139"/>
      <c r="G519" s="49" t="s">
        <v>453</v>
      </c>
      <c r="H519" s="49" t="s">
        <v>148</v>
      </c>
      <c r="I519" s="132"/>
      <c r="J519" s="53"/>
    </row>
    <row r="520" hidden="1">
      <c r="A520" s="110" t="s">
        <v>2754</v>
      </c>
      <c r="B520" s="49" t="s">
        <v>3184</v>
      </c>
      <c r="C520" s="49" t="s">
        <v>139</v>
      </c>
      <c r="D520" s="50">
        <v>43007.0</v>
      </c>
      <c r="E520" s="50">
        <v>43007.0</v>
      </c>
      <c r="F520" s="53"/>
      <c r="G520" s="49" t="s">
        <v>453</v>
      </c>
      <c r="H520" s="49" t="s">
        <v>148</v>
      </c>
      <c r="I520" s="132"/>
      <c r="J520" s="53"/>
    </row>
    <row r="521" hidden="1">
      <c r="A521" s="110" t="s">
        <v>2757</v>
      </c>
      <c r="B521" s="49" t="s">
        <v>3188</v>
      </c>
      <c r="C521" s="49" t="s">
        <v>139</v>
      </c>
      <c r="D521" s="50">
        <v>43006.0</v>
      </c>
      <c r="E521" s="50">
        <v>43007.0</v>
      </c>
      <c r="F521" s="139"/>
      <c r="G521" s="49" t="s">
        <v>148</v>
      </c>
      <c r="H521" s="49" t="s">
        <v>148</v>
      </c>
      <c r="I521" s="132"/>
      <c r="J521" s="133"/>
    </row>
    <row r="522" hidden="1">
      <c r="A522" s="110" t="s">
        <v>2763</v>
      </c>
      <c r="B522" s="49" t="s">
        <v>3191</v>
      </c>
      <c r="C522" s="49" t="s">
        <v>139</v>
      </c>
      <c r="D522" s="50">
        <v>43005.0</v>
      </c>
      <c r="E522" s="50">
        <v>42964.0</v>
      </c>
      <c r="F522" s="49" t="s">
        <v>215</v>
      </c>
      <c r="G522" s="49" t="s">
        <v>140</v>
      </c>
      <c r="H522" s="49" t="s">
        <v>216</v>
      </c>
      <c r="I522" s="142">
        <v>43024.0</v>
      </c>
      <c r="J522" s="146">
        <v>43025.0</v>
      </c>
    </row>
    <row r="523" hidden="1">
      <c r="A523" s="110" t="s">
        <v>2768</v>
      </c>
      <c r="B523" s="49" t="s">
        <v>3194</v>
      </c>
      <c r="C523" s="49" t="s">
        <v>139</v>
      </c>
      <c r="D523" s="50">
        <v>43005.0</v>
      </c>
      <c r="E523" s="50">
        <v>43020.0</v>
      </c>
      <c r="F523" s="49" t="s">
        <v>160</v>
      </c>
      <c r="G523" s="49" t="s">
        <v>140</v>
      </c>
      <c r="H523" s="49" t="s">
        <v>140</v>
      </c>
      <c r="I523" s="132"/>
      <c r="J523" s="53"/>
    </row>
    <row r="524" hidden="1">
      <c r="A524" s="110" t="s">
        <v>2775</v>
      </c>
      <c r="B524" s="49" t="s">
        <v>3196</v>
      </c>
      <c r="C524" s="49" t="s">
        <v>139</v>
      </c>
      <c r="D524" s="50">
        <v>43005.0</v>
      </c>
      <c r="E524" s="133"/>
      <c r="F524" s="49" t="s">
        <v>215</v>
      </c>
      <c r="G524" s="49" t="s">
        <v>148</v>
      </c>
      <c r="H524" s="49" t="s">
        <v>216</v>
      </c>
      <c r="I524" s="132"/>
      <c r="J524" s="53"/>
    </row>
    <row r="525" hidden="1">
      <c r="A525" s="110" t="s">
        <v>2779</v>
      </c>
      <c r="B525" s="49" t="s">
        <v>3199</v>
      </c>
      <c r="C525" s="49" t="s">
        <v>139</v>
      </c>
      <c r="D525" s="50">
        <v>43005.0</v>
      </c>
      <c r="E525" s="50">
        <v>43008.0</v>
      </c>
      <c r="F525" s="49" t="s">
        <v>215</v>
      </c>
      <c r="G525" s="49" t="s">
        <v>148</v>
      </c>
      <c r="H525" s="49" t="s">
        <v>216</v>
      </c>
      <c r="I525" s="150">
        <v>43024.0</v>
      </c>
      <c r="J525" s="146">
        <v>43027.0</v>
      </c>
    </row>
    <row r="526" hidden="1">
      <c r="A526" s="110" t="s">
        <v>2782</v>
      </c>
      <c r="B526" s="49" t="s">
        <v>3203</v>
      </c>
      <c r="C526" s="49" t="s">
        <v>139</v>
      </c>
      <c r="D526" s="50">
        <v>43005.0</v>
      </c>
      <c r="E526" s="50">
        <v>43008.0</v>
      </c>
      <c r="F526" s="49" t="s">
        <v>215</v>
      </c>
      <c r="G526" s="49" t="s">
        <v>148</v>
      </c>
      <c r="H526" s="49" t="s">
        <v>216</v>
      </c>
      <c r="I526" s="150">
        <v>43017.0</v>
      </c>
      <c r="J526" s="146">
        <v>43018.0</v>
      </c>
    </row>
    <row r="527" hidden="1">
      <c r="A527" s="110" t="s">
        <v>2787</v>
      </c>
      <c r="B527" s="49" t="s">
        <v>3205</v>
      </c>
      <c r="C527" s="49" t="s">
        <v>139</v>
      </c>
      <c r="D527" s="50">
        <v>43005.0</v>
      </c>
      <c r="E527" s="50">
        <v>43006.0</v>
      </c>
      <c r="F527" s="49" t="s">
        <v>215</v>
      </c>
      <c r="G527" s="49" t="s">
        <v>148</v>
      </c>
      <c r="H527" s="49" t="s">
        <v>216</v>
      </c>
      <c r="I527" s="150">
        <v>43003.0</v>
      </c>
      <c r="J527" s="49" t="s">
        <v>3207</v>
      </c>
    </row>
    <row r="528" hidden="1">
      <c r="A528" s="110" t="s">
        <v>2792</v>
      </c>
      <c r="B528" s="49" t="s">
        <v>3209</v>
      </c>
      <c r="C528" s="49" t="s">
        <v>139</v>
      </c>
      <c r="D528" s="50">
        <v>43005.0</v>
      </c>
      <c r="E528" s="50">
        <v>43006.0</v>
      </c>
      <c r="F528" s="49" t="s">
        <v>215</v>
      </c>
      <c r="G528" s="49" t="s">
        <v>148</v>
      </c>
      <c r="H528" s="49" t="s">
        <v>216</v>
      </c>
      <c r="I528" s="150">
        <v>43003.0</v>
      </c>
      <c r="J528" s="49" t="s">
        <v>3207</v>
      </c>
    </row>
    <row r="529" hidden="1">
      <c r="A529" s="110" t="s">
        <v>2795</v>
      </c>
      <c r="B529" s="49" t="s">
        <v>3213</v>
      </c>
      <c r="C529" s="49" t="s">
        <v>139</v>
      </c>
      <c r="D529" s="50">
        <v>43005.0</v>
      </c>
      <c r="E529" s="133"/>
      <c r="F529" s="53"/>
      <c r="G529" s="49" t="s">
        <v>453</v>
      </c>
      <c r="H529" s="49" t="s">
        <v>148</v>
      </c>
      <c r="I529" s="132"/>
      <c r="J529" s="53"/>
    </row>
    <row r="530" hidden="1">
      <c r="A530" s="110" t="s">
        <v>2800</v>
      </c>
      <c r="B530" s="49" t="s">
        <v>3216</v>
      </c>
      <c r="C530" s="49" t="s">
        <v>139</v>
      </c>
      <c r="D530" s="50">
        <v>43004.0</v>
      </c>
      <c r="E530" s="53"/>
      <c r="F530" s="49" t="s">
        <v>176</v>
      </c>
      <c r="G530" s="49" t="s">
        <v>140</v>
      </c>
      <c r="H530" s="49" t="s">
        <v>140</v>
      </c>
      <c r="I530" s="132"/>
      <c r="J530" s="53"/>
    </row>
    <row r="531" hidden="1">
      <c r="A531" s="110" t="s">
        <v>2806</v>
      </c>
      <c r="B531" s="49" t="s">
        <v>3218</v>
      </c>
      <c r="C531" s="49" t="s">
        <v>139</v>
      </c>
      <c r="D531" s="50">
        <v>43004.0</v>
      </c>
      <c r="E531" s="50">
        <v>43021.0</v>
      </c>
      <c r="F531" s="49" t="s">
        <v>215</v>
      </c>
      <c r="G531" s="49" t="s">
        <v>148</v>
      </c>
      <c r="H531" s="49" t="s">
        <v>216</v>
      </c>
      <c r="I531" s="150">
        <v>43017.0</v>
      </c>
      <c r="J531" s="49" t="s">
        <v>3219</v>
      </c>
    </row>
    <row r="532" hidden="1">
      <c r="A532" s="110" t="s">
        <v>2813</v>
      </c>
      <c r="B532" s="49" t="s">
        <v>3223</v>
      </c>
      <c r="C532" s="49" t="s">
        <v>139</v>
      </c>
      <c r="D532" s="50">
        <v>43004.0</v>
      </c>
      <c r="E532" s="50">
        <v>43004.0</v>
      </c>
      <c r="F532" s="139"/>
      <c r="G532" s="49" t="s">
        <v>453</v>
      </c>
      <c r="H532" s="49" t="s">
        <v>148</v>
      </c>
      <c r="I532" s="132"/>
      <c r="J532" s="53"/>
    </row>
    <row r="533" hidden="1">
      <c r="A533" s="110" t="s">
        <v>2817</v>
      </c>
      <c r="B533" s="49" t="s">
        <v>3224</v>
      </c>
      <c r="C533" s="49" t="s">
        <v>139</v>
      </c>
      <c r="D533" s="50">
        <v>43003.0</v>
      </c>
      <c r="E533" s="133"/>
      <c r="F533" s="49" t="s">
        <v>160</v>
      </c>
      <c r="G533" s="49" t="s">
        <v>1367</v>
      </c>
      <c r="H533" s="49" t="s">
        <v>140</v>
      </c>
      <c r="I533" s="132"/>
      <c r="J533" s="53"/>
    </row>
    <row r="534" hidden="1">
      <c r="A534" s="110" t="s">
        <v>2821</v>
      </c>
      <c r="B534" s="49" t="s">
        <v>3228</v>
      </c>
      <c r="C534" s="49" t="s">
        <v>139</v>
      </c>
      <c r="D534" s="50">
        <v>43003.0</v>
      </c>
      <c r="E534" s="50">
        <v>43003.0</v>
      </c>
      <c r="F534" s="49" t="s">
        <v>160</v>
      </c>
      <c r="G534" s="49" t="s">
        <v>140</v>
      </c>
      <c r="H534" s="49" t="s">
        <v>140</v>
      </c>
      <c r="I534" s="132"/>
      <c r="J534" s="53"/>
    </row>
    <row r="535" hidden="1">
      <c r="A535" s="110" t="s">
        <v>2828</v>
      </c>
      <c r="B535" s="49" t="s">
        <v>3230</v>
      </c>
      <c r="C535" s="49" t="s">
        <v>139</v>
      </c>
      <c r="D535" s="50">
        <v>43003.0</v>
      </c>
      <c r="E535" s="50">
        <v>43003.0</v>
      </c>
      <c r="F535" s="53"/>
      <c r="G535" s="49" t="s">
        <v>148</v>
      </c>
      <c r="H535" s="49" t="s">
        <v>148</v>
      </c>
      <c r="I535" s="132"/>
      <c r="J535" s="53"/>
    </row>
    <row r="536" hidden="1">
      <c r="A536" s="110" t="s">
        <v>2832</v>
      </c>
      <c r="B536" s="49" t="s">
        <v>3233</v>
      </c>
      <c r="C536" s="49" t="s">
        <v>139</v>
      </c>
      <c r="D536" s="50">
        <v>43003.0</v>
      </c>
      <c r="E536" s="50">
        <v>43003.0</v>
      </c>
      <c r="F536" s="139"/>
      <c r="G536" s="49" t="s">
        <v>148</v>
      </c>
      <c r="H536" s="49" t="s">
        <v>148</v>
      </c>
      <c r="I536" s="132"/>
      <c r="J536" s="133"/>
    </row>
    <row r="537" hidden="1">
      <c r="A537" s="110" t="s">
        <v>2836</v>
      </c>
      <c r="B537" s="49" t="s">
        <v>3235</v>
      </c>
      <c r="C537" s="49" t="s">
        <v>139</v>
      </c>
      <c r="D537" s="50">
        <v>43003.0</v>
      </c>
      <c r="E537" s="50">
        <v>43003.0</v>
      </c>
      <c r="F537" s="139"/>
      <c r="G537" s="49" t="s">
        <v>140</v>
      </c>
      <c r="H537" s="49" t="s">
        <v>148</v>
      </c>
      <c r="I537" s="132"/>
      <c r="J537" s="53"/>
    </row>
    <row r="538" hidden="1">
      <c r="A538" s="110" t="s">
        <v>2840</v>
      </c>
      <c r="B538" s="49" t="s">
        <v>3239</v>
      </c>
      <c r="C538" s="49" t="s">
        <v>139</v>
      </c>
      <c r="D538" s="50">
        <v>43000.0</v>
      </c>
      <c r="E538" s="50">
        <v>43000.0</v>
      </c>
      <c r="F538" s="49" t="s">
        <v>160</v>
      </c>
      <c r="G538" s="49" t="s">
        <v>140</v>
      </c>
      <c r="H538" s="49" t="s">
        <v>140</v>
      </c>
      <c r="I538" s="132"/>
      <c r="J538" s="53"/>
    </row>
    <row r="539" hidden="1">
      <c r="A539" s="110" t="s">
        <v>2845</v>
      </c>
      <c r="B539" s="49" t="s">
        <v>3243</v>
      </c>
      <c r="C539" s="49" t="s">
        <v>139</v>
      </c>
      <c r="D539" s="50">
        <v>43000.0</v>
      </c>
      <c r="E539" s="133"/>
      <c r="F539" s="49" t="s">
        <v>176</v>
      </c>
      <c r="G539" s="49" t="s">
        <v>2848</v>
      </c>
      <c r="H539" s="49" t="s">
        <v>337</v>
      </c>
      <c r="I539" s="132"/>
      <c r="J539" s="53"/>
    </row>
    <row r="540" hidden="1">
      <c r="A540" s="110" t="s">
        <v>2852</v>
      </c>
      <c r="B540" s="49" t="s">
        <v>3245</v>
      </c>
      <c r="C540" s="49" t="s">
        <v>139</v>
      </c>
      <c r="D540" s="50">
        <v>43000.0</v>
      </c>
      <c r="E540" s="50">
        <v>43000.0</v>
      </c>
      <c r="F540" s="49" t="s">
        <v>160</v>
      </c>
      <c r="G540" s="49" t="s">
        <v>2723</v>
      </c>
      <c r="H540" s="49" t="s">
        <v>244</v>
      </c>
      <c r="I540" s="132"/>
      <c r="J540" s="139"/>
    </row>
    <row r="541" hidden="1">
      <c r="A541" s="110" t="s">
        <v>2858</v>
      </c>
      <c r="B541" s="49" t="s">
        <v>2098</v>
      </c>
      <c r="C541" s="49" t="s">
        <v>139</v>
      </c>
      <c r="D541" s="50">
        <v>43000.0</v>
      </c>
      <c r="E541" s="50">
        <v>43003.0</v>
      </c>
      <c r="F541" s="49" t="s">
        <v>160</v>
      </c>
      <c r="G541" s="49" t="s">
        <v>148</v>
      </c>
      <c r="H541" s="49" t="s">
        <v>244</v>
      </c>
      <c r="I541" s="154">
        <v>43003.0</v>
      </c>
      <c r="J541" s="49" t="s">
        <v>3254</v>
      </c>
    </row>
    <row r="542" hidden="1">
      <c r="A542" s="110" t="s">
        <v>2865</v>
      </c>
      <c r="B542" s="49" t="s">
        <v>3257</v>
      </c>
      <c r="C542" s="49" t="s">
        <v>139</v>
      </c>
      <c r="D542" s="50">
        <v>43000.0</v>
      </c>
      <c r="E542" s="133"/>
      <c r="F542" s="49" t="s">
        <v>176</v>
      </c>
      <c r="G542" s="49" t="s">
        <v>337</v>
      </c>
      <c r="H542" s="49" t="s">
        <v>337</v>
      </c>
      <c r="I542" s="154">
        <v>43003.0</v>
      </c>
      <c r="J542" s="49" t="s">
        <v>3262</v>
      </c>
    </row>
    <row r="543" hidden="1">
      <c r="A543" s="110" t="s">
        <v>2871</v>
      </c>
      <c r="B543" s="49" t="s">
        <v>3264</v>
      </c>
      <c r="C543" s="49" t="s">
        <v>139</v>
      </c>
      <c r="D543" s="50">
        <v>42999.0</v>
      </c>
      <c r="E543" s="48" t="s">
        <v>92</v>
      </c>
      <c r="F543" s="49" t="s">
        <v>176</v>
      </c>
      <c r="G543" s="49" t="s">
        <v>148</v>
      </c>
      <c r="H543" s="49" t="s">
        <v>337</v>
      </c>
      <c r="I543" s="152">
        <v>43045.0</v>
      </c>
      <c r="J543" s="145" t="s">
        <v>3267</v>
      </c>
    </row>
    <row r="544" hidden="1">
      <c r="A544" s="110" t="s">
        <v>2877</v>
      </c>
      <c r="B544" s="49" t="s">
        <v>3269</v>
      </c>
      <c r="C544" s="49" t="s">
        <v>139</v>
      </c>
      <c r="D544" s="50">
        <v>42999.0</v>
      </c>
      <c r="E544" s="133"/>
      <c r="F544" s="49" t="s">
        <v>3271</v>
      </c>
      <c r="G544" s="49" t="s">
        <v>140</v>
      </c>
      <c r="H544" s="49" t="s">
        <v>122</v>
      </c>
      <c r="I544" s="150">
        <v>43003.0</v>
      </c>
      <c r="J544" s="146">
        <v>43004.0</v>
      </c>
    </row>
    <row r="545" hidden="1">
      <c r="A545" s="110" t="s">
        <v>2880</v>
      </c>
      <c r="B545" s="49" t="s">
        <v>3274</v>
      </c>
      <c r="C545" s="49" t="s">
        <v>139</v>
      </c>
      <c r="D545" s="50">
        <v>42998.0</v>
      </c>
      <c r="E545" s="146" t="s">
        <v>92</v>
      </c>
      <c r="F545" s="49" t="s">
        <v>723</v>
      </c>
      <c r="G545" s="49" t="s">
        <v>122</v>
      </c>
      <c r="H545" s="49" t="s">
        <v>122</v>
      </c>
      <c r="I545" s="150">
        <v>43024.0</v>
      </c>
      <c r="J545" s="49" t="s">
        <v>3277</v>
      </c>
    </row>
    <row r="546" hidden="1">
      <c r="A546" s="110" t="s">
        <v>2898</v>
      </c>
      <c r="B546" s="49" t="s">
        <v>3279</v>
      </c>
      <c r="C546" s="49" t="s">
        <v>139</v>
      </c>
      <c r="D546" s="50">
        <v>42998.0</v>
      </c>
      <c r="E546" s="133"/>
      <c r="F546" s="49" t="s">
        <v>723</v>
      </c>
      <c r="G546" s="49" t="s">
        <v>122</v>
      </c>
      <c r="H546" s="49" t="s">
        <v>122</v>
      </c>
      <c r="I546" s="155">
        <v>43017.0</v>
      </c>
      <c r="J546" s="49" t="s">
        <v>3283</v>
      </c>
    </row>
    <row r="547" hidden="1">
      <c r="A547" s="110" t="s">
        <v>2904</v>
      </c>
      <c r="B547" s="49" t="s">
        <v>3287</v>
      </c>
      <c r="C547" s="49" t="s">
        <v>139</v>
      </c>
      <c r="D547" s="50">
        <v>42998.0</v>
      </c>
      <c r="E547" s="133"/>
      <c r="F547" s="49" t="s">
        <v>723</v>
      </c>
      <c r="G547" s="49" t="s">
        <v>122</v>
      </c>
      <c r="H547" s="49" t="s">
        <v>122</v>
      </c>
      <c r="I547" s="155">
        <v>43017.0</v>
      </c>
      <c r="J547" s="49" t="s">
        <v>3288</v>
      </c>
    </row>
    <row r="548" hidden="1">
      <c r="A548" s="110" t="s">
        <v>2887</v>
      </c>
      <c r="B548" s="49" t="s">
        <v>3292</v>
      </c>
      <c r="C548" s="49" t="s">
        <v>139</v>
      </c>
      <c r="D548" s="50">
        <v>42998.0</v>
      </c>
      <c r="E548" s="146" t="s">
        <v>92</v>
      </c>
      <c r="F548" s="49" t="s">
        <v>3271</v>
      </c>
      <c r="G548" s="49" t="s">
        <v>148</v>
      </c>
      <c r="H548" s="49" t="s">
        <v>122</v>
      </c>
      <c r="I548" s="150">
        <v>43024.0</v>
      </c>
      <c r="J548" s="53"/>
    </row>
    <row r="549" hidden="1">
      <c r="A549" s="110" t="s">
        <v>2893</v>
      </c>
      <c r="B549" s="49" t="s">
        <v>3296</v>
      </c>
      <c r="C549" s="49" t="s">
        <v>139</v>
      </c>
      <c r="D549" s="50">
        <v>42998.0</v>
      </c>
      <c r="E549" s="133"/>
      <c r="F549" s="139"/>
      <c r="G549" s="49" t="s">
        <v>148</v>
      </c>
      <c r="H549" s="49" t="s">
        <v>140</v>
      </c>
      <c r="I549" s="132"/>
      <c r="J549" s="53"/>
    </row>
    <row r="550" hidden="1">
      <c r="A550" s="110" t="s">
        <v>2908</v>
      </c>
      <c r="B550" s="49" t="s">
        <v>3299</v>
      </c>
      <c r="C550" s="49" t="s">
        <v>139</v>
      </c>
      <c r="D550" s="50">
        <v>42997.0</v>
      </c>
      <c r="E550" s="50">
        <v>43004.0</v>
      </c>
      <c r="F550" s="49" t="s">
        <v>160</v>
      </c>
      <c r="G550" s="49" t="s">
        <v>140</v>
      </c>
      <c r="H550" s="49" t="s">
        <v>141</v>
      </c>
      <c r="I550" s="154">
        <v>43003.0</v>
      </c>
      <c r="J550" s="146">
        <v>43005.0</v>
      </c>
    </row>
    <row r="551" hidden="1">
      <c r="A551" s="110" t="s">
        <v>2915</v>
      </c>
      <c r="B551" s="49" t="s">
        <v>3304</v>
      </c>
      <c r="C551" s="49" t="s">
        <v>139</v>
      </c>
      <c r="D551" s="50">
        <v>42993.0</v>
      </c>
      <c r="E551" s="53"/>
      <c r="F551" s="49" t="s">
        <v>160</v>
      </c>
      <c r="G551" s="49" t="s">
        <v>140</v>
      </c>
      <c r="H551" s="49" t="s">
        <v>153</v>
      </c>
      <c r="I551" s="132"/>
      <c r="J551" s="133"/>
    </row>
    <row r="552" hidden="1">
      <c r="A552" s="110" t="s">
        <v>2920</v>
      </c>
      <c r="B552" s="49" t="s">
        <v>3308</v>
      </c>
      <c r="C552" s="49" t="s">
        <v>139</v>
      </c>
      <c r="D552" s="50">
        <v>42993.0</v>
      </c>
      <c r="E552" s="133"/>
      <c r="F552" s="49" t="s">
        <v>160</v>
      </c>
      <c r="G552" s="49" t="s">
        <v>155</v>
      </c>
      <c r="H552" s="49" t="s">
        <v>155</v>
      </c>
      <c r="I552" s="150">
        <v>43017.0</v>
      </c>
      <c r="J552" s="146">
        <v>43017.0</v>
      </c>
    </row>
    <row r="553" hidden="1">
      <c r="A553" s="110" t="s">
        <v>2928</v>
      </c>
      <c r="B553" s="49" t="s">
        <v>3311</v>
      </c>
      <c r="C553" s="49" t="s">
        <v>139</v>
      </c>
      <c r="D553" s="50">
        <v>42993.0</v>
      </c>
      <c r="E553" s="50">
        <v>42995.0</v>
      </c>
      <c r="F553" s="49" t="s">
        <v>160</v>
      </c>
      <c r="G553" s="49" t="s">
        <v>148</v>
      </c>
      <c r="H553" s="49" t="s">
        <v>244</v>
      </c>
      <c r="I553" s="142">
        <v>43003.0</v>
      </c>
      <c r="J553" s="53"/>
    </row>
    <row r="554" hidden="1">
      <c r="A554" s="110" t="s">
        <v>2931</v>
      </c>
      <c r="B554" s="49" t="s">
        <v>3314</v>
      </c>
      <c r="C554" s="49" t="s">
        <v>139</v>
      </c>
      <c r="D554" s="50">
        <v>42993.0</v>
      </c>
      <c r="E554" s="50">
        <v>42995.0</v>
      </c>
      <c r="F554" s="49" t="s">
        <v>160</v>
      </c>
      <c r="G554" s="49" t="s">
        <v>453</v>
      </c>
      <c r="H554" s="49" t="s">
        <v>244</v>
      </c>
      <c r="I554" s="139"/>
      <c r="J554" s="133"/>
    </row>
    <row r="555" hidden="1">
      <c r="A555" s="110" t="s">
        <v>2935</v>
      </c>
      <c r="B555" s="49" t="s">
        <v>3319</v>
      </c>
      <c r="C555" s="49" t="s">
        <v>139</v>
      </c>
      <c r="D555" s="50">
        <v>42993.0</v>
      </c>
      <c r="E555" s="50">
        <v>43005.0</v>
      </c>
      <c r="F555" s="49" t="s">
        <v>160</v>
      </c>
      <c r="G555" s="49" t="s">
        <v>140</v>
      </c>
      <c r="H555" s="49" t="s">
        <v>244</v>
      </c>
      <c r="I555" s="49" t="s">
        <v>3323</v>
      </c>
      <c r="J555" s="146">
        <v>42998.0</v>
      </c>
    </row>
    <row r="556" hidden="1">
      <c r="A556" s="110" t="s">
        <v>2939</v>
      </c>
      <c r="B556" s="49" t="s">
        <v>3325</v>
      </c>
      <c r="C556" s="49" t="s">
        <v>139</v>
      </c>
      <c r="D556" s="50">
        <v>42993.0</v>
      </c>
      <c r="E556" s="53"/>
      <c r="F556" s="139"/>
      <c r="G556" s="49" t="s">
        <v>2197</v>
      </c>
      <c r="H556" s="49" t="s">
        <v>140</v>
      </c>
      <c r="I556" s="132"/>
      <c r="J556" s="53"/>
    </row>
    <row r="557" hidden="1">
      <c r="A557" s="110" t="s">
        <v>2940</v>
      </c>
      <c r="B557" s="49" t="s">
        <v>3328</v>
      </c>
      <c r="C557" s="49" t="s">
        <v>139</v>
      </c>
      <c r="D557" s="50">
        <v>42992.0</v>
      </c>
      <c r="E557" s="133"/>
      <c r="F557" s="49" t="s">
        <v>723</v>
      </c>
      <c r="G557" s="49" t="s">
        <v>140</v>
      </c>
      <c r="H557" s="49" t="s">
        <v>122</v>
      </c>
      <c r="I557" s="154">
        <v>43003.0</v>
      </c>
      <c r="J557" s="146">
        <v>43003.0</v>
      </c>
    </row>
    <row r="558" hidden="1">
      <c r="A558" s="110" t="s">
        <v>2945</v>
      </c>
      <c r="B558" s="49" t="s">
        <v>3330</v>
      </c>
      <c r="C558" s="49" t="s">
        <v>139</v>
      </c>
      <c r="D558" s="50">
        <v>42992.0</v>
      </c>
      <c r="E558" s="53"/>
      <c r="F558" s="49" t="s">
        <v>723</v>
      </c>
      <c r="G558" s="49" t="s">
        <v>140</v>
      </c>
      <c r="H558" s="49" t="s">
        <v>122</v>
      </c>
      <c r="I558" s="154">
        <v>43003.0</v>
      </c>
      <c r="J558" s="146">
        <v>43003.0</v>
      </c>
    </row>
    <row r="559" hidden="1">
      <c r="A559" s="110" t="s">
        <v>2949</v>
      </c>
      <c r="B559" s="49" t="s">
        <v>3332</v>
      </c>
      <c r="C559" s="49" t="s">
        <v>139</v>
      </c>
      <c r="D559" s="50">
        <v>42992.0</v>
      </c>
      <c r="E559" s="53"/>
      <c r="F559" s="49" t="s">
        <v>723</v>
      </c>
      <c r="G559" s="49" t="s">
        <v>122</v>
      </c>
      <c r="H559" s="49" t="s">
        <v>122</v>
      </c>
      <c r="I559" s="156">
        <v>43003.0</v>
      </c>
      <c r="J559" s="146">
        <v>43003.0</v>
      </c>
    </row>
    <row r="560" hidden="1">
      <c r="A560" s="110" t="s">
        <v>2955</v>
      </c>
      <c r="B560" s="49" t="s">
        <v>3338</v>
      </c>
      <c r="C560" s="49" t="s">
        <v>139</v>
      </c>
      <c r="D560" s="50">
        <v>42992.0</v>
      </c>
      <c r="E560" s="133"/>
      <c r="F560" s="49" t="s">
        <v>3271</v>
      </c>
      <c r="G560" s="49" t="s">
        <v>122</v>
      </c>
      <c r="H560" s="49" t="s">
        <v>122</v>
      </c>
      <c r="I560" s="132"/>
      <c r="J560" s="133"/>
    </row>
    <row r="561" hidden="1">
      <c r="A561" s="110" t="s">
        <v>2960</v>
      </c>
      <c r="B561" s="49" t="s">
        <v>3341</v>
      </c>
      <c r="C561" s="49" t="s">
        <v>139</v>
      </c>
      <c r="D561" s="50">
        <v>42992.0</v>
      </c>
      <c r="E561" s="53"/>
      <c r="F561" s="53"/>
      <c r="G561" s="49" t="s">
        <v>148</v>
      </c>
      <c r="H561" s="49" t="s">
        <v>122</v>
      </c>
      <c r="I561" s="132"/>
      <c r="J561" s="53"/>
    </row>
    <row r="562" hidden="1">
      <c r="A562" s="110" t="s">
        <v>2965</v>
      </c>
      <c r="B562" s="49" t="s">
        <v>3344</v>
      </c>
      <c r="C562" s="49" t="s">
        <v>139</v>
      </c>
      <c r="D562" s="50">
        <v>42992.0</v>
      </c>
      <c r="E562" s="133"/>
      <c r="F562" s="139"/>
      <c r="G562" s="49" t="s">
        <v>148</v>
      </c>
      <c r="H562" s="49" t="s">
        <v>122</v>
      </c>
      <c r="I562" s="132"/>
      <c r="J562" s="53"/>
    </row>
    <row r="563" hidden="1">
      <c r="A563" s="110" t="s">
        <v>2969</v>
      </c>
      <c r="B563" s="49" t="s">
        <v>3347</v>
      </c>
      <c r="C563" s="49" t="s">
        <v>139</v>
      </c>
      <c r="D563" s="50">
        <v>42992.0</v>
      </c>
      <c r="E563" s="53"/>
      <c r="F563" s="139"/>
      <c r="G563" s="49" t="s">
        <v>148</v>
      </c>
      <c r="H563" s="49" t="s">
        <v>122</v>
      </c>
      <c r="I563" s="132"/>
      <c r="J563" s="53"/>
    </row>
    <row r="564" hidden="1">
      <c r="A564" s="110" t="s">
        <v>2974</v>
      </c>
      <c r="B564" s="49" t="s">
        <v>3349</v>
      </c>
      <c r="C564" s="49" t="s">
        <v>139</v>
      </c>
      <c r="D564" s="50">
        <v>42991.0</v>
      </c>
      <c r="E564" s="50">
        <v>42998.0</v>
      </c>
      <c r="F564" s="49" t="s">
        <v>160</v>
      </c>
      <c r="G564" s="49" t="s">
        <v>140</v>
      </c>
      <c r="H564" s="49" t="s">
        <v>141</v>
      </c>
      <c r="I564" s="142">
        <v>43003.0</v>
      </c>
      <c r="J564" s="146">
        <v>43004.0</v>
      </c>
    </row>
    <row r="565" hidden="1">
      <c r="A565" s="110" t="s">
        <v>2979</v>
      </c>
      <c r="B565" s="49" t="s">
        <v>3353</v>
      </c>
      <c r="C565" s="49" t="s">
        <v>139</v>
      </c>
      <c r="D565" s="50">
        <v>42990.0</v>
      </c>
      <c r="E565" s="133"/>
      <c r="F565" s="49" t="s">
        <v>160</v>
      </c>
      <c r="G565" s="49" t="s">
        <v>1587</v>
      </c>
      <c r="H565" s="49" t="s">
        <v>140</v>
      </c>
      <c r="I565" s="132"/>
      <c r="J565" s="133"/>
    </row>
    <row r="566" hidden="1">
      <c r="A566" s="120" t="s">
        <v>2999</v>
      </c>
      <c r="B566" s="121" t="s">
        <v>3354</v>
      </c>
      <c r="C566" s="121" t="s">
        <v>139</v>
      </c>
      <c r="D566" s="122">
        <v>42989.0</v>
      </c>
      <c r="E566" s="122">
        <v>42998.0</v>
      </c>
      <c r="F566" s="121" t="s">
        <v>215</v>
      </c>
      <c r="G566" s="121" t="s">
        <v>148</v>
      </c>
      <c r="H566" s="121" t="s">
        <v>216</v>
      </c>
      <c r="I566" s="135">
        <v>43059.0</v>
      </c>
      <c r="J566" s="157" t="s">
        <v>3358</v>
      </c>
    </row>
    <row r="567" hidden="1">
      <c r="A567" s="110" t="s">
        <v>2983</v>
      </c>
      <c r="B567" s="49" t="s">
        <v>3361</v>
      </c>
      <c r="C567" s="49" t="s">
        <v>139</v>
      </c>
      <c r="D567" s="50">
        <v>42989.0</v>
      </c>
      <c r="E567" s="133"/>
      <c r="F567" s="49" t="s">
        <v>176</v>
      </c>
      <c r="G567" s="49" t="s">
        <v>155</v>
      </c>
      <c r="H567" s="49" t="s">
        <v>155</v>
      </c>
      <c r="I567" s="49" t="s">
        <v>3323</v>
      </c>
      <c r="J567" s="49" t="s">
        <v>3362</v>
      </c>
    </row>
    <row r="568" hidden="1">
      <c r="A568" s="110" t="s">
        <v>2989</v>
      </c>
      <c r="B568" s="49" t="s">
        <v>3366</v>
      </c>
      <c r="C568" s="49" t="s">
        <v>139</v>
      </c>
      <c r="D568" s="50">
        <v>42989.0</v>
      </c>
      <c r="E568" s="53"/>
      <c r="F568" s="139"/>
      <c r="G568" s="49" t="s">
        <v>140</v>
      </c>
      <c r="H568" s="49" t="s">
        <v>140</v>
      </c>
      <c r="I568" s="132"/>
      <c r="J568" s="53"/>
    </row>
    <row r="569" hidden="1">
      <c r="A569" s="110" t="s">
        <v>3009</v>
      </c>
      <c r="B569" s="49" t="s">
        <v>3367</v>
      </c>
      <c r="C569" s="49" t="s">
        <v>139</v>
      </c>
      <c r="D569" s="50">
        <v>42986.0</v>
      </c>
      <c r="E569" s="53"/>
      <c r="F569" s="49" t="s">
        <v>723</v>
      </c>
      <c r="G569" s="49" t="s">
        <v>140</v>
      </c>
      <c r="H569" s="49" t="s">
        <v>122</v>
      </c>
      <c r="I569" s="49" t="s">
        <v>3369</v>
      </c>
      <c r="J569" s="49" t="s">
        <v>3370</v>
      </c>
    </row>
    <row r="570" hidden="1">
      <c r="A570" s="110" t="s">
        <v>3372</v>
      </c>
      <c r="B570" s="49" t="s">
        <v>3373</v>
      </c>
      <c r="C570" s="49" t="s">
        <v>196</v>
      </c>
      <c r="D570" s="50">
        <v>42986.0</v>
      </c>
      <c r="E570" s="50">
        <v>42991.0</v>
      </c>
      <c r="F570" s="139"/>
      <c r="G570" s="49" t="s">
        <v>2926</v>
      </c>
      <c r="H570" s="49" t="s">
        <v>141</v>
      </c>
      <c r="I570" s="49" t="s">
        <v>3323</v>
      </c>
      <c r="J570" s="146">
        <v>42996.0</v>
      </c>
    </row>
    <row r="571" hidden="1">
      <c r="A571" s="110" t="s">
        <v>3375</v>
      </c>
      <c r="B571" s="49" t="s">
        <v>3376</v>
      </c>
      <c r="C571" s="49" t="s">
        <v>196</v>
      </c>
      <c r="D571" s="50">
        <v>42986.0</v>
      </c>
      <c r="E571" s="50">
        <v>42991.0</v>
      </c>
      <c r="F571" s="139"/>
      <c r="G571" s="49" t="s">
        <v>2926</v>
      </c>
      <c r="H571" s="49" t="s">
        <v>141</v>
      </c>
      <c r="I571" s="49" t="s">
        <v>3323</v>
      </c>
      <c r="J571" s="146">
        <v>42991.0</v>
      </c>
    </row>
    <row r="572" hidden="1">
      <c r="A572" s="110" t="s">
        <v>3017</v>
      </c>
      <c r="B572" s="49" t="s">
        <v>3380</v>
      </c>
      <c r="C572" s="49" t="s">
        <v>139</v>
      </c>
      <c r="D572" s="50">
        <v>42985.0</v>
      </c>
      <c r="E572" s="50">
        <v>43003.0</v>
      </c>
      <c r="F572" s="49" t="s">
        <v>176</v>
      </c>
      <c r="G572" s="49" t="s">
        <v>337</v>
      </c>
      <c r="H572" s="49" t="s">
        <v>177</v>
      </c>
      <c r="I572" s="150">
        <v>43024.0</v>
      </c>
      <c r="J572" s="146">
        <v>43024.0</v>
      </c>
    </row>
    <row r="573" hidden="1">
      <c r="A573" s="110" t="s">
        <v>3023</v>
      </c>
      <c r="B573" s="49" t="s">
        <v>3384</v>
      </c>
      <c r="C573" s="49" t="s">
        <v>139</v>
      </c>
      <c r="D573" s="50">
        <v>42985.0</v>
      </c>
      <c r="E573" s="50">
        <v>43021.0</v>
      </c>
      <c r="F573" s="49" t="s">
        <v>176</v>
      </c>
      <c r="G573" s="49" t="s">
        <v>177</v>
      </c>
      <c r="H573" s="49" t="s">
        <v>177</v>
      </c>
      <c r="I573" s="150">
        <v>43003.0</v>
      </c>
      <c r="J573" s="146">
        <v>43005.0</v>
      </c>
    </row>
    <row r="574" hidden="1">
      <c r="A574" s="110" t="s">
        <v>3033</v>
      </c>
      <c r="B574" s="49" t="s">
        <v>3387</v>
      </c>
      <c r="C574" s="49" t="s">
        <v>139</v>
      </c>
      <c r="D574" s="50">
        <v>42985.0</v>
      </c>
      <c r="E574" s="53"/>
      <c r="F574" s="139"/>
      <c r="G574" s="49" t="s">
        <v>140</v>
      </c>
      <c r="H574" s="49" t="s">
        <v>140</v>
      </c>
      <c r="I574" s="132"/>
      <c r="J574" s="53"/>
    </row>
    <row r="575" hidden="1">
      <c r="A575" s="110" t="s">
        <v>3038</v>
      </c>
      <c r="B575" s="49" t="s">
        <v>3389</v>
      </c>
      <c r="C575" s="49" t="s">
        <v>139</v>
      </c>
      <c r="D575" s="50">
        <v>42984.0</v>
      </c>
      <c r="E575" s="53"/>
      <c r="F575" s="49" t="s">
        <v>160</v>
      </c>
      <c r="G575" s="49" t="s">
        <v>140</v>
      </c>
      <c r="H575" s="49" t="s">
        <v>140</v>
      </c>
      <c r="I575" s="132"/>
      <c r="J575" s="53"/>
    </row>
    <row r="576" hidden="1">
      <c r="A576" s="110" t="s">
        <v>3043</v>
      </c>
      <c r="B576" s="49" t="s">
        <v>3392</v>
      </c>
      <c r="C576" s="49" t="s">
        <v>139</v>
      </c>
      <c r="D576" s="50">
        <v>42984.0</v>
      </c>
      <c r="E576" s="133"/>
      <c r="F576" s="49" t="s">
        <v>176</v>
      </c>
      <c r="G576" s="49" t="s">
        <v>140</v>
      </c>
      <c r="H576" s="49" t="s">
        <v>140</v>
      </c>
      <c r="I576" s="132"/>
      <c r="J576" s="53"/>
    </row>
    <row r="577" hidden="1">
      <c r="A577" s="110" t="s">
        <v>3047</v>
      </c>
      <c r="B577" s="49" t="s">
        <v>3395</v>
      </c>
      <c r="C577" s="49" t="s">
        <v>139</v>
      </c>
      <c r="D577" s="50">
        <v>42984.0</v>
      </c>
      <c r="E577" s="133"/>
      <c r="F577" s="49" t="s">
        <v>176</v>
      </c>
      <c r="G577" s="49" t="s">
        <v>148</v>
      </c>
      <c r="H577" s="49" t="s">
        <v>153</v>
      </c>
      <c r="I577" s="132"/>
      <c r="J577" s="53"/>
    </row>
    <row r="578" hidden="1">
      <c r="A578" s="110" t="s">
        <v>3052</v>
      </c>
      <c r="B578" s="49" t="s">
        <v>3397</v>
      </c>
      <c r="C578" s="49" t="s">
        <v>139</v>
      </c>
      <c r="D578" s="50">
        <v>42983.0</v>
      </c>
      <c r="E578" s="53"/>
      <c r="F578" s="49" t="s">
        <v>160</v>
      </c>
      <c r="G578" s="49" t="s">
        <v>140</v>
      </c>
      <c r="H578" s="49" t="s">
        <v>153</v>
      </c>
      <c r="I578" s="139"/>
      <c r="J578" s="133"/>
    </row>
    <row r="579" hidden="1">
      <c r="A579" s="110" t="s">
        <v>3058</v>
      </c>
      <c r="B579" s="49" t="s">
        <v>3400</v>
      </c>
      <c r="C579" s="49" t="s">
        <v>139</v>
      </c>
      <c r="D579" s="50">
        <v>42983.0</v>
      </c>
      <c r="E579" s="53"/>
      <c r="F579" s="139"/>
      <c r="G579" s="49" t="s">
        <v>2197</v>
      </c>
      <c r="H579" s="49" t="s">
        <v>140</v>
      </c>
      <c r="I579" s="132"/>
      <c r="J579" s="53"/>
    </row>
    <row r="580" hidden="1">
      <c r="A580" s="110" t="s">
        <v>3062</v>
      </c>
      <c r="B580" s="49" t="s">
        <v>3402</v>
      </c>
      <c r="C580" s="49" t="s">
        <v>139</v>
      </c>
      <c r="D580" s="50">
        <v>42979.0</v>
      </c>
      <c r="E580" s="133"/>
      <c r="F580" s="49" t="s">
        <v>176</v>
      </c>
      <c r="G580" s="49" t="s">
        <v>337</v>
      </c>
      <c r="H580" s="49" t="s">
        <v>337</v>
      </c>
      <c r="I580" s="49" t="s">
        <v>3369</v>
      </c>
      <c r="J580" s="146">
        <v>42990.0</v>
      </c>
    </row>
    <row r="581" hidden="1">
      <c r="A581" s="110" t="s">
        <v>3070</v>
      </c>
      <c r="B581" s="49" t="s">
        <v>3405</v>
      </c>
      <c r="C581" s="49" t="s">
        <v>139</v>
      </c>
      <c r="D581" s="50">
        <v>42978.0</v>
      </c>
      <c r="E581" s="133"/>
      <c r="F581" s="49" t="s">
        <v>3407</v>
      </c>
      <c r="G581" s="49" t="s">
        <v>148</v>
      </c>
      <c r="H581" s="49" t="s">
        <v>216</v>
      </c>
      <c r="I581" s="49" t="s">
        <v>3323</v>
      </c>
      <c r="J581" s="146">
        <v>42998.0</v>
      </c>
    </row>
    <row r="582" hidden="1">
      <c r="A582" s="110" t="s">
        <v>3082</v>
      </c>
      <c r="B582" s="49" t="s">
        <v>3408</v>
      </c>
      <c r="C582" s="49" t="s">
        <v>139</v>
      </c>
      <c r="D582" s="50">
        <v>42978.0</v>
      </c>
      <c r="E582" s="53"/>
      <c r="F582" s="49" t="s">
        <v>723</v>
      </c>
      <c r="G582" s="49" t="s">
        <v>2197</v>
      </c>
      <c r="H582" s="49" t="s">
        <v>153</v>
      </c>
      <c r="I582" s="132"/>
      <c r="J582" s="53"/>
    </row>
    <row r="583" hidden="1">
      <c r="A583" s="110" t="s">
        <v>3088</v>
      </c>
      <c r="B583" s="49" t="s">
        <v>3412</v>
      </c>
      <c r="C583" s="49" t="s">
        <v>139</v>
      </c>
      <c r="D583" s="50">
        <v>42978.0</v>
      </c>
      <c r="E583" s="53"/>
      <c r="F583" s="49" t="s">
        <v>723</v>
      </c>
      <c r="G583" s="49" t="s">
        <v>140</v>
      </c>
      <c r="H583" s="49" t="s">
        <v>153</v>
      </c>
      <c r="I583" s="132"/>
      <c r="J583" s="53"/>
    </row>
    <row r="584" hidden="1">
      <c r="A584" s="110" t="s">
        <v>3092</v>
      </c>
      <c r="B584" s="49" t="s">
        <v>3413</v>
      </c>
      <c r="C584" s="49" t="s">
        <v>139</v>
      </c>
      <c r="D584" s="50">
        <v>42976.0</v>
      </c>
      <c r="E584" s="53"/>
      <c r="F584" s="49" t="s">
        <v>160</v>
      </c>
      <c r="G584" s="49" t="s">
        <v>140</v>
      </c>
      <c r="H584" s="49" t="s">
        <v>140</v>
      </c>
      <c r="I584" s="132"/>
      <c r="J584" s="53"/>
    </row>
    <row r="585" hidden="1">
      <c r="A585" s="110" t="s">
        <v>3097</v>
      </c>
      <c r="B585" s="49" t="s">
        <v>3417</v>
      </c>
      <c r="C585" s="49" t="s">
        <v>139</v>
      </c>
      <c r="D585" s="50">
        <v>42976.0</v>
      </c>
      <c r="E585" s="53"/>
      <c r="F585" s="49" t="s">
        <v>160</v>
      </c>
      <c r="G585" s="49" t="s">
        <v>140</v>
      </c>
      <c r="H585" s="49" t="s">
        <v>140</v>
      </c>
      <c r="I585" s="132"/>
      <c r="J585" s="53"/>
    </row>
    <row r="586" hidden="1">
      <c r="A586" s="110" t="s">
        <v>3104</v>
      </c>
      <c r="B586" s="49" t="s">
        <v>3419</v>
      </c>
      <c r="C586" s="49" t="s">
        <v>139</v>
      </c>
      <c r="D586" s="50">
        <v>42976.0</v>
      </c>
      <c r="E586" s="53"/>
      <c r="F586" s="49" t="s">
        <v>160</v>
      </c>
      <c r="G586" s="49" t="s">
        <v>140</v>
      </c>
      <c r="H586" s="49" t="s">
        <v>140</v>
      </c>
      <c r="I586" s="132"/>
      <c r="J586" s="53"/>
    </row>
    <row r="587" hidden="1">
      <c r="A587" s="110" t="s">
        <v>3102</v>
      </c>
      <c r="B587" s="49" t="s">
        <v>3422</v>
      </c>
      <c r="C587" s="49" t="s">
        <v>139</v>
      </c>
      <c r="D587" s="50">
        <v>42976.0</v>
      </c>
      <c r="E587" s="53"/>
      <c r="F587" s="49" t="s">
        <v>398</v>
      </c>
      <c r="G587" s="49" t="s">
        <v>140</v>
      </c>
      <c r="H587" s="49" t="s">
        <v>140</v>
      </c>
      <c r="I587" s="132"/>
      <c r="J587" s="53"/>
    </row>
    <row r="588" hidden="1">
      <c r="A588" s="110" t="s">
        <v>3111</v>
      </c>
      <c r="B588" s="49" t="s">
        <v>3425</v>
      </c>
      <c r="C588" s="49" t="s">
        <v>139</v>
      </c>
      <c r="D588" s="50">
        <v>42975.0</v>
      </c>
      <c r="E588" s="133"/>
      <c r="F588" s="49" t="s">
        <v>160</v>
      </c>
      <c r="G588" s="49" t="s">
        <v>140</v>
      </c>
      <c r="H588" s="49" t="s">
        <v>140</v>
      </c>
      <c r="I588" s="132"/>
      <c r="J588" s="139"/>
    </row>
    <row r="589" hidden="1">
      <c r="A589" s="110" t="s">
        <v>3116</v>
      </c>
      <c r="B589" s="49" t="s">
        <v>3428</v>
      </c>
      <c r="C589" s="49" t="s">
        <v>139</v>
      </c>
      <c r="D589" s="50">
        <v>42975.0</v>
      </c>
      <c r="E589" s="50">
        <v>42976.0</v>
      </c>
      <c r="F589" s="49" t="s">
        <v>160</v>
      </c>
      <c r="G589" s="49" t="s">
        <v>141</v>
      </c>
      <c r="H589" s="49" t="s">
        <v>141</v>
      </c>
      <c r="I589" s="142">
        <v>42975.0</v>
      </c>
      <c r="J589" s="49" t="s">
        <v>3429</v>
      </c>
    </row>
    <row r="590" hidden="1">
      <c r="A590" s="110" t="s">
        <v>3120</v>
      </c>
      <c r="B590" s="49" t="s">
        <v>3431</v>
      </c>
      <c r="C590" s="49" t="s">
        <v>139</v>
      </c>
      <c r="D590" s="50">
        <v>42975.0</v>
      </c>
      <c r="E590" s="50">
        <v>42976.0</v>
      </c>
      <c r="F590" s="49" t="s">
        <v>160</v>
      </c>
      <c r="G590" s="49" t="s">
        <v>141</v>
      </c>
      <c r="H590" s="49" t="s">
        <v>141</v>
      </c>
      <c r="I590" s="132"/>
      <c r="J590" s="133"/>
    </row>
    <row r="591" hidden="1">
      <c r="A591" s="110" t="s">
        <v>3127</v>
      </c>
      <c r="B591" s="49" t="s">
        <v>3433</v>
      </c>
      <c r="C591" s="49" t="s">
        <v>139</v>
      </c>
      <c r="D591" s="50">
        <v>42972.0</v>
      </c>
      <c r="E591" s="53"/>
      <c r="F591" s="49" t="s">
        <v>176</v>
      </c>
      <c r="G591" s="49" t="s">
        <v>148</v>
      </c>
      <c r="H591" s="49" t="s">
        <v>337</v>
      </c>
      <c r="I591" s="142">
        <v>42975.0</v>
      </c>
      <c r="J591" s="146">
        <v>42972.0</v>
      </c>
    </row>
    <row r="592" hidden="1">
      <c r="A592" s="110" t="s">
        <v>3131</v>
      </c>
      <c r="B592" s="49" t="s">
        <v>3435</v>
      </c>
      <c r="C592" s="49" t="s">
        <v>139</v>
      </c>
      <c r="D592" s="50">
        <v>42972.0</v>
      </c>
      <c r="E592" s="53"/>
      <c r="F592" s="49" t="s">
        <v>723</v>
      </c>
      <c r="G592" s="49" t="s">
        <v>122</v>
      </c>
      <c r="H592" s="49" t="s">
        <v>122</v>
      </c>
      <c r="I592" s="49" t="s">
        <v>3437</v>
      </c>
      <c r="J592" s="146">
        <v>42978.0</v>
      </c>
    </row>
    <row r="593" hidden="1">
      <c r="A593" s="110" t="s">
        <v>3138</v>
      </c>
      <c r="B593" s="49" t="s">
        <v>3438</v>
      </c>
      <c r="C593" s="49" t="s">
        <v>139</v>
      </c>
      <c r="D593" s="50">
        <v>42972.0</v>
      </c>
      <c r="E593" s="133"/>
      <c r="F593" s="49" t="s">
        <v>723</v>
      </c>
      <c r="G593" s="49" t="s">
        <v>122</v>
      </c>
      <c r="H593" s="49" t="s">
        <v>122</v>
      </c>
      <c r="I593" s="142">
        <v>42975.0</v>
      </c>
      <c r="J593" s="146">
        <v>42976.0</v>
      </c>
    </row>
    <row r="594" hidden="1">
      <c r="A594" s="110" t="s">
        <v>3144</v>
      </c>
      <c r="B594" s="49" t="s">
        <v>3441</v>
      </c>
      <c r="C594" s="49" t="s">
        <v>139</v>
      </c>
      <c r="D594" s="50">
        <v>42972.0</v>
      </c>
      <c r="E594" s="133"/>
      <c r="F594" s="49" t="s">
        <v>723</v>
      </c>
      <c r="G594" s="49" t="s">
        <v>1196</v>
      </c>
      <c r="H594" s="49" t="s">
        <v>122</v>
      </c>
      <c r="I594" s="50">
        <v>42975.0</v>
      </c>
      <c r="J594" s="146">
        <v>42976.0</v>
      </c>
    </row>
    <row r="595" hidden="1">
      <c r="A595" s="110" t="s">
        <v>3149</v>
      </c>
      <c r="B595" s="49" t="s">
        <v>3444</v>
      </c>
      <c r="C595" s="49" t="s">
        <v>139</v>
      </c>
      <c r="D595" s="50">
        <v>42971.0</v>
      </c>
      <c r="E595" s="133"/>
      <c r="F595" s="49" t="s">
        <v>176</v>
      </c>
      <c r="G595" s="49" t="s">
        <v>140</v>
      </c>
      <c r="H595" s="49" t="s">
        <v>140</v>
      </c>
      <c r="I595" s="132"/>
      <c r="J595" s="53"/>
    </row>
    <row r="596" hidden="1">
      <c r="A596" s="110" t="s">
        <v>3153</v>
      </c>
      <c r="B596" s="49" t="s">
        <v>3448</v>
      </c>
      <c r="C596" s="49" t="s">
        <v>139</v>
      </c>
      <c r="D596" s="50">
        <v>42971.0</v>
      </c>
      <c r="E596" s="53"/>
      <c r="F596" s="49" t="s">
        <v>176</v>
      </c>
      <c r="G596" s="49" t="s">
        <v>140</v>
      </c>
      <c r="H596" s="49" t="s">
        <v>140</v>
      </c>
      <c r="I596" s="132"/>
      <c r="J596" s="53"/>
    </row>
    <row r="597" hidden="1">
      <c r="A597" s="110" t="s">
        <v>3157</v>
      </c>
      <c r="B597" s="49" t="s">
        <v>3449</v>
      </c>
      <c r="C597" s="49" t="s">
        <v>139</v>
      </c>
      <c r="D597" s="50">
        <v>42971.0</v>
      </c>
      <c r="E597" s="133"/>
      <c r="F597" s="49" t="s">
        <v>176</v>
      </c>
      <c r="G597" s="49" t="s">
        <v>148</v>
      </c>
      <c r="H597" s="49" t="s">
        <v>177</v>
      </c>
      <c r="I597" s="132"/>
      <c r="J597" s="53"/>
    </row>
    <row r="598" hidden="1">
      <c r="A598" s="110" t="s">
        <v>3162</v>
      </c>
      <c r="B598" s="49" t="s">
        <v>3449</v>
      </c>
      <c r="C598" s="49" t="s">
        <v>139</v>
      </c>
      <c r="D598" s="50">
        <v>42971.0</v>
      </c>
      <c r="E598" s="53"/>
      <c r="F598" s="49" t="s">
        <v>176</v>
      </c>
      <c r="G598" s="49" t="s">
        <v>140</v>
      </c>
      <c r="H598" s="49" t="s">
        <v>177</v>
      </c>
      <c r="I598" s="132"/>
      <c r="J598" s="53"/>
    </row>
    <row r="599" hidden="1">
      <c r="A599" s="110" t="s">
        <v>3169</v>
      </c>
      <c r="B599" s="49" t="s">
        <v>3449</v>
      </c>
      <c r="C599" s="49" t="s">
        <v>139</v>
      </c>
      <c r="D599" s="50">
        <v>42971.0</v>
      </c>
      <c r="E599" s="53"/>
      <c r="F599" s="49" t="s">
        <v>176</v>
      </c>
      <c r="G599" s="49" t="s">
        <v>140</v>
      </c>
      <c r="H599" s="49" t="s">
        <v>177</v>
      </c>
      <c r="I599" s="132"/>
      <c r="J599" s="53"/>
    </row>
    <row r="600" hidden="1">
      <c r="A600" s="110" t="s">
        <v>3174</v>
      </c>
      <c r="B600" s="49" t="s">
        <v>3456</v>
      </c>
      <c r="C600" s="49" t="s">
        <v>139</v>
      </c>
      <c r="D600" s="50">
        <v>42971.0</v>
      </c>
      <c r="E600" s="133"/>
      <c r="F600" s="49" t="s">
        <v>176</v>
      </c>
      <c r="G600" s="49" t="s">
        <v>337</v>
      </c>
      <c r="H600" s="49" t="s">
        <v>177</v>
      </c>
      <c r="I600" s="132"/>
      <c r="J600" s="53"/>
    </row>
    <row r="601" hidden="1">
      <c r="A601" s="110" t="s">
        <v>3178</v>
      </c>
      <c r="B601" s="49" t="s">
        <v>3459</v>
      </c>
      <c r="C601" s="49" t="s">
        <v>139</v>
      </c>
      <c r="D601" s="50">
        <v>42971.0</v>
      </c>
      <c r="E601" s="50">
        <v>42710.0</v>
      </c>
      <c r="F601" s="49" t="s">
        <v>176</v>
      </c>
      <c r="G601" s="49" t="s">
        <v>453</v>
      </c>
      <c r="H601" s="49" t="s">
        <v>177</v>
      </c>
      <c r="I601" s="132"/>
      <c r="J601" s="133"/>
    </row>
    <row r="602" hidden="1">
      <c r="A602" s="110" t="s">
        <v>3183</v>
      </c>
      <c r="B602" s="49" t="s">
        <v>1859</v>
      </c>
      <c r="C602" s="49" t="s">
        <v>139</v>
      </c>
      <c r="D602" s="50">
        <v>42971.0</v>
      </c>
      <c r="E602" s="50">
        <v>42978.0</v>
      </c>
      <c r="F602" s="49" t="s">
        <v>176</v>
      </c>
      <c r="G602" s="49" t="s">
        <v>148</v>
      </c>
      <c r="H602" s="49" t="s">
        <v>177</v>
      </c>
      <c r="I602" s="142">
        <v>42975.0</v>
      </c>
      <c r="J602" s="146">
        <v>42978.0</v>
      </c>
    </row>
    <row r="603" hidden="1">
      <c r="A603" s="110" t="s">
        <v>3190</v>
      </c>
      <c r="B603" s="49" t="s">
        <v>3463</v>
      </c>
      <c r="C603" s="49" t="s">
        <v>139</v>
      </c>
      <c r="D603" s="50">
        <v>42971.0</v>
      </c>
      <c r="E603" s="133"/>
      <c r="F603" s="49" t="s">
        <v>160</v>
      </c>
      <c r="G603" s="49" t="s">
        <v>140</v>
      </c>
      <c r="H603" s="49" t="s">
        <v>153</v>
      </c>
      <c r="I603" s="132"/>
      <c r="J603" s="53"/>
    </row>
    <row r="604" hidden="1">
      <c r="A604" s="110" t="s">
        <v>3195</v>
      </c>
      <c r="B604" s="49" t="s">
        <v>3466</v>
      </c>
      <c r="C604" s="49" t="s">
        <v>139</v>
      </c>
      <c r="D604" s="50">
        <v>42971.0</v>
      </c>
      <c r="E604" s="50">
        <v>42975.0</v>
      </c>
      <c r="F604" s="49" t="s">
        <v>160</v>
      </c>
      <c r="G604" s="49" t="s">
        <v>148</v>
      </c>
      <c r="H604" s="49" t="s">
        <v>244</v>
      </c>
      <c r="I604" s="132"/>
      <c r="J604" s="53"/>
    </row>
    <row r="605" hidden="1">
      <c r="A605" s="110" t="s">
        <v>3202</v>
      </c>
      <c r="B605" s="49" t="s">
        <v>3469</v>
      </c>
      <c r="C605" s="49" t="s">
        <v>139</v>
      </c>
      <c r="D605" s="50">
        <v>42971.0</v>
      </c>
      <c r="E605" s="50">
        <v>42972.0</v>
      </c>
      <c r="F605" s="49" t="s">
        <v>160</v>
      </c>
      <c r="G605" s="49" t="s">
        <v>453</v>
      </c>
      <c r="H605" s="49" t="s">
        <v>244</v>
      </c>
      <c r="I605" s="139"/>
      <c r="J605" s="139"/>
    </row>
    <row r="606" hidden="1">
      <c r="A606" s="110" t="s">
        <v>3208</v>
      </c>
      <c r="B606" s="49" t="s">
        <v>3319</v>
      </c>
      <c r="C606" s="49" t="s">
        <v>139</v>
      </c>
      <c r="D606" s="50">
        <v>42971.0</v>
      </c>
      <c r="E606" s="50">
        <v>42984.0</v>
      </c>
      <c r="F606" s="49" t="s">
        <v>160</v>
      </c>
      <c r="G606" s="49" t="s">
        <v>148</v>
      </c>
      <c r="H606" s="49" t="s">
        <v>244</v>
      </c>
      <c r="I606" s="49" t="s">
        <v>3472</v>
      </c>
      <c r="J606" s="49" t="s">
        <v>3473</v>
      </c>
    </row>
    <row r="607" hidden="1">
      <c r="A607" s="110" t="s">
        <v>3212</v>
      </c>
      <c r="B607" s="49" t="s">
        <v>3476</v>
      </c>
      <c r="C607" s="49" t="s">
        <v>139</v>
      </c>
      <c r="D607" s="50">
        <v>42971.0</v>
      </c>
      <c r="E607" s="53"/>
      <c r="F607" s="49" t="s">
        <v>160</v>
      </c>
      <c r="G607" s="49" t="s">
        <v>148</v>
      </c>
      <c r="H607" s="49" t="s">
        <v>153</v>
      </c>
      <c r="I607" s="132"/>
      <c r="J607" s="53"/>
    </row>
    <row r="608" hidden="1">
      <c r="A608" s="110" t="s">
        <v>3217</v>
      </c>
      <c r="B608" s="49" t="s">
        <v>3478</v>
      </c>
      <c r="C608" s="49" t="s">
        <v>139</v>
      </c>
      <c r="D608" s="50">
        <v>42971.0</v>
      </c>
      <c r="E608" s="53"/>
      <c r="F608" s="49" t="s">
        <v>160</v>
      </c>
      <c r="G608" s="49" t="s">
        <v>140</v>
      </c>
      <c r="H608" s="49" t="s">
        <v>153</v>
      </c>
      <c r="I608" s="132"/>
      <c r="J608" s="53"/>
    </row>
    <row r="609" hidden="1">
      <c r="A609" s="110" t="s">
        <v>3480</v>
      </c>
      <c r="B609" s="49" t="s">
        <v>3483</v>
      </c>
      <c r="C609" s="49" t="s">
        <v>196</v>
      </c>
      <c r="D609" s="50">
        <v>42971.0</v>
      </c>
      <c r="E609" s="50">
        <v>42997.0</v>
      </c>
      <c r="F609" s="139"/>
      <c r="G609" s="49" t="s">
        <v>2926</v>
      </c>
      <c r="H609" s="49" t="s">
        <v>141</v>
      </c>
      <c r="I609" s="49" t="s">
        <v>3323</v>
      </c>
      <c r="J609" s="146">
        <v>42979.0</v>
      </c>
    </row>
    <row r="610" hidden="1">
      <c r="A610" s="110" t="s">
        <v>3222</v>
      </c>
      <c r="B610" s="49" t="s">
        <v>3487</v>
      </c>
      <c r="C610" s="49" t="s">
        <v>139</v>
      </c>
      <c r="D610" s="50">
        <v>42971.0</v>
      </c>
      <c r="E610" s="53"/>
      <c r="F610" s="139"/>
      <c r="G610" s="49" t="s">
        <v>155</v>
      </c>
      <c r="H610" s="49" t="s">
        <v>140</v>
      </c>
      <c r="I610" s="132"/>
      <c r="J610" s="53"/>
    </row>
    <row r="611" hidden="1">
      <c r="A611" s="110" t="s">
        <v>3225</v>
      </c>
      <c r="B611" s="49" t="s">
        <v>3488</v>
      </c>
      <c r="C611" s="49" t="s">
        <v>139</v>
      </c>
      <c r="D611" s="50">
        <v>42970.0</v>
      </c>
      <c r="E611" s="53"/>
      <c r="F611" s="49" t="s">
        <v>160</v>
      </c>
      <c r="G611" s="49" t="s">
        <v>140</v>
      </c>
      <c r="H611" s="49" t="s">
        <v>153</v>
      </c>
      <c r="I611" s="132"/>
      <c r="J611" s="53"/>
    </row>
    <row r="612" hidden="1">
      <c r="A612" s="110" t="s">
        <v>3229</v>
      </c>
      <c r="B612" s="49" t="s">
        <v>3492</v>
      </c>
      <c r="C612" s="49" t="s">
        <v>139</v>
      </c>
      <c r="D612" s="50">
        <v>42970.0</v>
      </c>
      <c r="E612" s="133"/>
      <c r="F612" s="139"/>
      <c r="G612" s="49" t="s">
        <v>140</v>
      </c>
      <c r="H612" s="49" t="s">
        <v>153</v>
      </c>
      <c r="I612" s="132"/>
      <c r="J612" s="53"/>
    </row>
    <row r="613" hidden="1">
      <c r="A613" s="110" t="s">
        <v>3234</v>
      </c>
      <c r="B613" s="49" t="s">
        <v>3495</v>
      </c>
      <c r="C613" s="49" t="s">
        <v>139</v>
      </c>
      <c r="D613" s="50">
        <v>42969.0</v>
      </c>
      <c r="E613" s="53"/>
      <c r="F613" s="49" t="s">
        <v>160</v>
      </c>
      <c r="G613" s="49" t="s">
        <v>140</v>
      </c>
      <c r="H613" s="49" t="s">
        <v>140</v>
      </c>
      <c r="I613" s="132"/>
      <c r="J613" s="53"/>
    </row>
    <row r="614" hidden="1">
      <c r="A614" s="110" t="s">
        <v>3238</v>
      </c>
      <c r="B614" s="49" t="s">
        <v>3498</v>
      </c>
      <c r="C614" s="49" t="s">
        <v>139</v>
      </c>
      <c r="D614" s="50">
        <v>42969.0</v>
      </c>
      <c r="E614" s="133"/>
      <c r="F614" s="49" t="s">
        <v>160</v>
      </c>
      <c r="G614" s="49" t="s">
        <v>140</v>
      </c>
      <c r="H614" s="49" t="s">
        <v>140</v>
      </c>
      <c r="I614" s="139"/>
      <c r="J614" s="133"/>
    </row>
    <row r="615" hidden="1">
      <c r="A615" s="110" t="s">
        <v>3241</v>
      </c>
      <c r="B615" s="49" t="s">
        <v>3503</v>
      </c>
      <c r="C615" s="49" t="s">
        <v>139</v>
      </c>
      <c r="D615" s="50">
        <v>42969.0</v>
      </c>
      <c r="E615" s="53"/>
      <c r="F615" s="49" t="s">
        <v>723</v>
      </c>
      <c r="G615" s="49" t="s">
        <v>140</v>
      </c>
      <c r="H615" s="49" t="s">
        <v>153</v>
      </c>
      <c r="I615" s="132"/>
      <c r="J615" s="53"/>
    </row>
    <row r="616" hidden="1">
      <c r="A616" s="110" t="s">
        <v>3244</v>
      </c>
      <c r="B616" s="49" t="s">
        <v>3507</v>
      </c>
      <c r="C616" s="49" t="s">
        <v>139</v>
      </c>
      <c r="D616" s="50">
        <v>42968.0</v>
      </c>
      <c r="E616" s="50">
        <v>42993.0</v>
      </c>
      <c r="F616" s="49" t="s">
        <v>160</v>
      </c>
      <c r="G616" s="49" t="s">
        <v>140</v>
      </c>
      <c r="H616" s="49" t="s">
        <v>141</v>
      </c>
      <c r="I616" s="158" t="s">
        <v>3508</v>
      </c>
      <c r="J616" s="146">
        <v>43024.0</v>
      </c>
    </row>
    <row r="617" hidden="1">
      <c r="A617" s="110" t="s">
        <v>3249</v>
      </c>
      <c r="B617" s="49" t="s">
        <v>3515</v>
      </c>
      <c r="C617" s="49" t="s">
        <v>139</v>
      </c>
      <c r="D617" s="50">
        <v>42968.0</v>
      </c>
      <c r="E617" s="50">
        <v>42993.0</v>
      </c>
      <c r="F617" s="49" t="s">
        <v>160</v>
      </c>
      <c r="G617" s="49" t="s">
        <v>141</v>
      </c>
      <c r="H617" s="49" t="s">
        <v>141</v>
      </c>
      <c r="I617" s="159">
        <v>43024.0</v>
      </c>
      <c r="J617" s="49" t="s">
        <v>3521</v>
      </c>
    </row>
    <row r="618" hidden="1">
      <c r="A618" s="110" t="s">
        <v>3253</v>
      </c>
      <c r="B618" s="49" t="s">
        <v>3525</v>
      </c>
      <c r="C618" s="49" t="s">
        <v>139</v>
      </c>
      <c r="D618" s="50">
        <v>42968.0</v>
      </c>
      <c r="E618" s="50">
        <v>42992.0</v>
      </c>
      <c r="F618" s="49" t="s">
        <v>160</v>
      </c>
      <c r="G618" s="49" t="s">
        <v>148</v>
      </c>
      <c r="H618" s="49" t="s">
        <v>141</v>
      </c>
      <c r="I618" s="139"/>
      <c r="J618" s="146">
        <v>43005.0</v>
      </c>
    </row>
    <row r="619" hidden="1">
      <c r="A619" s="110" t="s">
        <v>3258</v>
      </c>
      <c r="B619" s="49" t="s">
        <v>3529</v>
      </c>
      <c r="C619" s="49" t="s">
        <v>139</v>
      </c>
      <c r="D619" s="50">
        <v>42968.0</v>
      </c>
      <c r="E619" s="50">
        <v>42992.0</v>
      </c>
      <c r="F619" s="49" t="s">
        <v>160</v>
      </c>
      <c r="G619" s="49" t="s">
        <v>140</v>
      </c>
      <c r="H619" s="49" t="s">
        <v>141</v>
      </c>
      <c r="I619" s="158" t="s">
        <v>3508</v>
      </c>
      <c r="J619" s="49" t="s">
        <v>3530</v>
      </c>
    </row>
    <row r="620" hidden="1">
      <c r="A620" s="110" t="s">
        <v>3263</v>
      </c>
      <c r="B620" s="49" t="s">
        <v>3532</v>
      </c>
      <c r="C620" s="49" t="s">
        <v>139</v>
      </c>
      <c r="D620" s="50">
        <v>42968.0</v>
      </c>
      <c r="E620" s="50">
        <v>42991.0</v>
      </c>
      <c r="F620" s="49" t="s">
        <v>160</v>
      </c>
      <c r="G620" s="49" t="s">
        <v>141</v>
      </c>
      <c r="H620" s="49" t="s">
        <v>141</v>
      </c>
      <c r="I620" s="154">
        <v>43003.0</v>
      </c>
      <c r="J620" s="49" t="s">
        <v>3535</v>
      </c>
    </row>
    <row r="621" hidden="1">
      <c r="A621" s="110" t="s">
        <v>3272</v>
      </c>
      <c r="B621" s="49" t="s">
        <v>3536</v>
      </c>
      <c r="C621" s="49" t="s">
        <v>139</v>
      </c>
      <c r="D621" s="50">
        <v>42968.0</v>
      </c>
      <c r="E621" s="50">
        <v>42991.0</v>
      </c>
      <c r="F621" s="49" t="s">
        <v>160</v>
      </c>
      <c r="G621" s="49" t="s">
        <v>141</v>
      </c>
      <c r="H621" s="49" t="s">
        <v>141</v>
      </c>
      <c r="I621" s="160">
        <v>43024.0</v>
      </c>
      <c r="J621" s="49" t="s">
        <v>3542</v>
      </c>
    </row>
    <row r="622" hidden="1">
      <c r="A622" s="110" t="s">
        <v>3278</v>
      </c>
      <c r="B622" s="49" t="s">
        <v>3544</v>
      </c>
      <c r="C622" s="49" t="s">
        <v>139</v>
      </c>
      <c r="D622" s="50">
        <v>42968.0</v>
      </c>
      <c r="E622" s="50">
        <v>42990.0</v>
      </c>
      <c r="F622" s="49" t="s">
        <v>160</v>
      </c>
      <c r="G622" s="49" t="s">
        <v>141</v>
      </c>
      <c r="H622" s="49" t="s">
        <v>141</v>
      </c>
      <c r="I622" s="49" t="s">
        <v>3323</v>
      </c>
      <c r="J622" s="49" t="s">
        <v>3547</v>
      </c>
    </row>
    <row r="623" hidden="1">
      <c r="A623" s="110" t="s">
        <v>3282</v>
      </c>
      <c r="B623" s="49" t="s">
        <v>3548</v>
      </c>
      <c r="C623" s="49" t="s">
        <v>139</v>
      </c>
      <c r="D623" s="50">
        <v>42968.0</v>
      </c>
      <c r="E623" s="50">
        <v>42990.0</v>
      </c>
      <c r="F623" s="49" t="s">
        <v>160</v>
      </c>
      <c r="G623" s="49" t="s">
        <v>141</v>
      </c>
      <c r="H623" s="49" t="s">
        <v>141</v>
      </c>
      <c r="I623" s="49" t="s">
        <v>3369</v>
      </c>
      <c r="J623" s="146">
        <v>42992.0</v>
      </c>
    </row>
    <row r="624" hidden="1">
      <c r="A624" s="110" t="s">
        <v>3289</v>
      </c>
      <c r="B624" s="49" t="s">
        <v>3552</v>
      </c>
      <c r="C624" s="49" t="s">
        <v>139</v>
      </c>
      <c r="D624" s="50">
        <v>42968.0</v>
      </c>
      <c r="E624" s="50">
        <v>42989.0</v>
      </c>
      <c r="F624" s="49" t="s">
        <v>160</v>
      </c>
      <c r="G624" s="49" t="s">
        <v>140</v>
      </c>
      <c r="H624" s="49" t="s">
        <v>141</v>
      </c>
      <c r="I624" s="161">
        <v>43017.0</v>
      </c>
      <c r="J624" s="49" t="s">
        <v>3558</v>
      </c>
    </row>
    <row r="625" hidden="1">
      <c r="A625" s="110" t="s">
        <v>3295</v>
      </c>
      <c r="B625" s="49" t="s">
        <v>3561</v>
      </c>
      <c r="C625" s="49" t="s">
        <v>139</v>
      </c>
      <c r="D625" s="50">
        <v>42968.0</v>
      </c>
      <c r="E625" s="50">
        <v>42989.0</v>
      </c>
      <c r="F625" s="49" t="s">
        <v>160</v>
      </c>
      <c r="G625" s="49" t="s">
        <v>141</v>
      </c>
      <c r="H625" s="49" t="s">
        <v>141</v>
      </c>
      <c r="I625" s="49" t="s">
        <v>3369</v>
      </c>
      <c r="J625" s="49" t="s">
        <v>3567</v>
      </c>
    </row>
    <row r="626" hidden="1">
      <c r="A626" s="110" t="s">
        <v>3300</v>
      </c>
      <c r="B626" s="49" t="s">
        <v>3570</v>
      </c>
      <c r="C626" s="49" t="s">
        <v>139</v>
      </c>
      <c r="D626" s="50">
        <v>42968.0</v>
      </c>
      <c r="E626" s="50">
        <v>42972.0</v>
      </c>
      <c r="F626" s="49" t="s">
        <v>160</v>
      </c>
      <c r="G626" s="49" t="s">
        <v>141</v>
      </c>
      <c r="H626" s="49" t="s">
        <v>141</v>
      </c>
      <c r="I626" s="49" t="s">
        <v>3574</v>
      </c>
      <c r="J626" s="49" t="s">
        <v>3575</v>
      </c>
    </row>
    <row r="627" hidden="1">
      <c r="A627" s="110" t="s">
        <v>3306</v>
      </c>
      <c r="B627" s="49" t="s">
        <v>3578</v>
      </c>
      <c r="C627" s="49" t="s">
        <v>139</v>
      </c>
      <c r="D627" s="50">
        <v>42968.0</v>
      </c>
      <c r="E627" s="50">
        <v>42982.0</v>
      </c>
      <c r="F627" s="49" t="s">
        <v>160</v>
      </c>
      <c r="G627" s="49" t="s">
        <v>141</v>
      </c>
      <c r="H627" s="49" t="s">
        <v>141</v>
      </c>
      <c r="I627" s="161">
        <v>43003.0</v>
      </c>
      <c r="J627" s="49" t="s">
        <v>3581</v>
      </c>
    </row>
    <row r="628" hidden="1">
      <c r="A628" s="110" t="s">
        <v>3313</v>
      </c>
      <c r="B628" s="49" t="s">
        <v>3582</v>
      </c>
      <c r="C628" s="49" t="s">
        <v>139</v>
      </c>
      <c r="D628" s="50">
        <v>42968.0</v>
      </c>
      <c r="E628" s="50">
        <v>42972.0</v>
      </c>
      <c r="F628" s="49" t="s">
        <v>160</v>
      </c>
      <c r="G628" s="49" t="s">
        <v>141</v>
      </c>
      <c r="H628" s="49" t="s">
        <v>141</v>
      </c>
      <c r="I628" s="49" t="s">
        <v>3574</v>
      </c>
      <c r="J628" s="49" t="s">
        <v>3585</v>
      </c>
    </row>
    <row r="629" hidden="1">
      <c r="A629" s="110" t="s">
        <v>3317</v>
      </c>
      <c r="B629" s="49" t="s">
        <v>3587</v>
      </c>
      <c r="C629" s="49" t="s">
        <v>139</v>
      </c>
      <c r="D629" s="50">
        <v>42968.0</v>
      </c>
      <c r="E629" s="50">
        <v>42973.0</v>
      </c>
      <c r="F629" s="49" t="s">
        <v>160</v>
      </c>
      <c r="G629" s="49" t="s">
        <v>141</v>
      </c>
      <c r="H629" s="49" t="s">
        <v>141</v>
      </c>
      <c r="I629" s="50">
        <v>42975.0</v>
      </c>
      <c r="J629" s="146">
        <v>42975.0</v>
      </c>
    </row>
    <row r="630" hidden="1">
      <c r="A630" s="110" t="s">
        <v>3324</v>
      </c>
      <c r="B630" s="49" t="s">
        <v>3593</v>
      </c>
      <c r="C630" s="49" t="s">
        <v>139</v>
      </c>
      <c r="D630" s="50">
        <v>42968.0</v>
      </c>
      <c r="E630" s="50">
        <v>42971.0</v>
      </c>
      <c r="F630" s="49" t="s">
        <v>160</v>
      </c>
      <c r="G630" s="49" t="s">
        <v>141</v>
      </c>
      <c r="H630" s="49" t="s">
        <v>141</v>
      </c>
      <c r="I630" s="49" t="s">
        <v>3594</v>
      </c>
      <c r="J630" s="49" t="s">
        <v>3594</v>
      </c>
    </row>
    <row r="631" hidden="1">
      <c r="A631" s="110" t="s">
        <v>3329</v>
      </c>
      <c r="B631" s="49" t="s">
        <v>3598</v>
      </c>
      <c r="C631" s="49" t="s">
        <v>139</v>
      </c>
      <c r="D631" s="50">
        <v>42968.0</v>
      </c>
      <c r="E631" s="50">
        <v>42969.0</v>
      </c>
      <c r="F631" s="49" t="s">
        <v>160</v>
      </c>
      <c r="G631" s="49" t="s">
        <v>453</v>
      </c>
      <c r="H631" s="49" t="s">
        <v>244</v>
      </c>
      <c r="I631" s="132"/>
      <c r="J631" s="53"/>
    </row>
    <row r="632" hidden="1">
      <c r="A632" s="110" t="s">
        <v>3334</v>
      </c>
      <c r="B632" s="49" t="s">
        <v>3603</v>
      </c>
      <c r="C632" s="49" t="s">
        <v>139</v>
      </c>
      <c r="D632" s="50">
        <v>42968.0</v>
      </c>
      <c r="E632" s="50">
        <v>42969.0</v>
      </c>
      <c r="F632" s="49" t="s">
        <v>160</v>
      </c>
      <c r="G632" s="49" t="s">
        <v>141</v>
      </c>
      <c r="H632" s="49" t="s">
        <v>244</v>
      </c>
      <c r="I632" s="132"/>
      <c r="J632" s="139"/>
    </row>
    <row r="633" hidden="1">
      <c r="A633" s="110" t="s">
        <v>3337</v>
      </c>
      <c r="B633" s="49" t="s">
        <v>3604</v>
      </c>
      <c r="C633" s="49" t="s">
        <v>139</v>
      </c>
      <c r="D633" s="50">
        <v>42968.0</v>
      </c>
      <c r="E633" s="50">
        <v>42975.0</v>
      </c>
      <c r="F633" s="49" t="s">
        <v>160</v>
      </c>
      <c r="G633" s="49" t="s">
        <v>148</v>
      </c>
      <c r="H633" s="49" t="s">
        <v>244</v>
      </c>
      <c r="I633" s="50">
        <v>42969.0</v>
      </c>
      <c r="J633" s="49" t="s">
        <v>3608</v>
      </c>
    </row>
    <row r="634" hidden="1">
      <c r="A634" s="110" t="s">
        <v>3343</v>
      </c>
      <c r="B634" s="49" t="s">
        <v>3610</v>
      </c>
      <c r="C634" s="49" t="s">
        <v>139</v>
      </c>
      <c r="D634" s="50">
        <v>42968.0</v>
      </c>
      <c r="E634" s="50">
        <v>42989.0</v>
      </c>
      <c r="F634" s="49" t="s">
        <v>160</v>
      </c>
      <c r="G634" s="49" t="s">
        <v>141</v>
      </c>
      <c r="H634" s="49" t="s">
        <v>141</v>
      </c>
      <c r="I634" s="49" t="s">
        <v>3369</v>
      </c>
      <c r="J634" s="146">
        <v>42984.0</v>
      </c>
    </row>
    <row r="635" hidden="1">
      <c r="A635" s="110" t="s">
        <v>3351</v>
      </c>
      <c r="B635" s="49" t="s">
        <v>3615</v>
      </c>
      <c r="C635" s="49" t="s">
        <v>139</v>
      </c>
      <c r="D635" s="50">
        <v>42968.0</v>
      </c>
      <c r="E635" s="50">
        <v>42968.0</v>
      </c>
      <c r="F635" s="49" t="s">
        <v>160</v>
      </c>
      <c r="G635" s="49" t="s">
        <v>141</v>
      </c>
      <c r="H635" s="49" t="s">
        <v>141</v>
      </c>
      <c r="I635" s="142">
        <v>42968.0</v>
      </c>
      <c r="J635" s="49" t="s">
        <v>3617</v>
      </c>
    </row>
    <row r="636" hidden="1">
      <c r="A636" s="110" t="s">
        <v>3357</v>
      </c>
      <c r="B636" s="49" t="s">
        <v>3619</v>
      </c>
      <c r="C636" s="49" t="s">
        <v>139</v>
      </c>
      <c r="D636" s="50">
        <v>42968.0</v>
      </c>
      <c r="E636" s="50">
        <v>42968.0</v>
      </c>
      <c r="F636" s="49" t="s">
        <v>160</v>
      </c>
      <c r="G636" s="49" t="s">
        <v>141</v>
      </c>
      <c r="H636" s="49" t="s">
        <v>141</v>
      </c>
      <c r="I636" s="142">
        <v>42968.0</v>
      </c>
      <c r="J636" s="49" t="s">
        <v>3617</v>
      </c>
    </row>
    <row r="637" hidden="1">
      <c r="A637" s="110" t="s">
        <v>3364</v>
      </c>
      <c r="B637" s="49" t="s">
        <v>3622</v>
      </c>
      <c r="C637" s="49" t="s">
        <v>139</v>
      </c>
      <c r="D637" s="50">
        <v>42968.0</v>
      </c>
      <c r="E637" s="50">
        <v>42968.0</v>
      </c>
      <c r="F637" s="49" t="s">
        <v>160</v>
      </c>
      <c r="G637" s="49" t="s">
        <v>141</v>
      </c>
      <c r="H637" s="49" t="s">
        <v>141</v>
      </c>
      <c r="I637" s="142">
        <v>42968.0</v>
      </c>
      <c r="J637" s="49" t="s">
        <v>3617</v>
      </c>
    </row>
    <row r="638" hidden="1">
      <c r="A638" s="110" t="s">
        <v>3374</v>
      </c>
      <c r="B638" s="49" t="s">
        <v>3624</v>
      </c>
      <c r="C638" s="49" t="s">
        <v>139</v>
      </c>
      <c r="D638" s="50">
        <v>42965.0</v>
      </c>
      <c r="E638" s="53"/>
      <c r="F638" s="49" t="s">
        <v>215</v>
      </c>
      <c r="G638" s="49" t="s">
        <v>140</v>
      </c>
      <c r="H638" s="49" t="s">
        <v>153</v>
      </c>
      <c r="I638" s="132"/>
      <c r="J638" s="53"/>
    </row>
    <row r="639" hidden="1">
      <c r="A639" s="110" t="s">
        <v>3379</v>
      </c>
      <c r="B639" s="49" t="s">
        <v>3626</v>
      </c>
      <c r="C639" s="49" t="s">
        <v>139</v>
      </c>
      <c r="D639" s="50">
        <v>42964.0</v>
      </c>
      <c r="E639" s="133"/>
      <c r="F639" s="49" t="s">
        <v>160</v>
      </c>
      <c r="G639" s="49" t="s">
        <v>140</v>
      </c>
      <c r="H639" s="49" t="s">
        <v>141</v>
      </c>
      <c r="I639" s="139"/>
      <c r="J639" s="139"/>
    </row>
    <row r="640" hidden="1">
      <c r="A640" s="110" t="s">
        <v>3383</v>
      </c>
      <c r="B640" s="49" t="s">
        <v>3630</v>
      </c>
      <c r="C640" s="49" t="s">
        <v>139</v>
      </c>
      <c r="D640" s="50">
        <v>42964.0</v>
      </c>
      <c r="E640" s="50">
        <v>42968.0</v>
      </c>
      <c r="F640" s="49" t="s">
        <v>160</v>
      </c>
      <c r="G640" s="49" t="s">
        <v>141</v>
      </c>
      <c r="H640" s="49" t="s">
        <v>141</v>
      </c>
      <c r="I640" s="49" t="s">
        <v>3633</v>
      </c>
      <c r="J640" s="49" t="s">
        <v>3634</v>
      </c>
    </row>
    <row r="641" hidden="1">
      <c r="A641" s="110" t="s">
        <v>3388</v>
      </c>
      <c r="B641" s="49" t="s">
        <v>3636</v>
      </c>
      <c r="C641" s="49" t="s">
        <v>139</v>
      </c>
      <c r="D641" s="50">
        <v>42964.0</v>
      </c>
      <c r="E641" s="50">
        <v>42968.0</v>
      </c>
      <c r="F641" s="49" t="s">
        <v>160</v>
      </c>
      <c r="G641" s="49" t="s">
        <v>140</v>
      </c>
      <c r="H641" s="49" t="s">
        <v>141</v>
      </c>
      <c r="I641" s="142">
        <v>42968.0</v>
      </c>
      <c r="J641" s="146">
        <v>42971.0</v>
      </c>
    </row>
    <row r="642" hidden="1">
      <c r="A642" s="110" t="s">
        <v>3393</v>
      </c>
      <c r="B642" s="49" t="s">
        <v>3639</v>
      </c>
      <c r="C642" s="49" t="s">
        <v>139</v>
      </c>
      <c r="D642" s="50">
        <v>42964.0</v>
      </c>
      <c r="E642" s="50">
        <v>42969.0</v>
      </c>
      <c r="F642" s="49" t="s">
        <v>723</v>
      </c>
      <c r="G642" s="49" t="s">
        <v>148</v>
      </c>
      <c r="H642" s="49" t="s">
        <v>122</v>
      </c>
      <c r="I642" s="49" t="s">
        <v>3633</v>
      </c>
    </row>
    <row r="643" hidden="1">
      <c r="A643" s="110" t="s">
        <v>3398</v>
      </c>
      <c r="B643" s="49" t="s">
        <v>3643</v>
      </c>
      <c r="C643" s="49" t="s">
        <v>139</v>
      </c>
      <c r="D643" s="50">
        <v>42964.0</v>
      </c>
      <c r="E643" s="133"/>
      <c r="F643" s="49" t="s">
        <v>215</v>
      </c>
      <c r="G643" s="49" t="s">
        <v>148</v>
      </c>
      <c r="H643" s="49" t="s">
        <v>153</v>
      </c>
      <c r="I643" s="132"/>
      <c r="J643" s="53"/>
    </row>
    <row r="644" hidden="1">
      <c r="A644" s="110" t="s">
        <v>3647</v>
      </c>
      <c r="B644" s="49" t="s">
        <v>3649</v>
      </c>
      <c r="C644" s="49" t="s">
        <v>196</v>
      </c>
      <c r="D644" s="50">
        <v>42964.0</v>
      </c>
      <c r="E644" s="50">
        <v>42983.0</v>
      </c>
      <c r="F644" s="49" t="s">
        <v>3652</v>
      </c>
      <c r="G644" s="49" t="s">
        <v>2926</v>
      </c>
      <c r="H644" s="49" t="s">
        <v>337</v>
      </c>
      <c r="I644" s="49" t="s">
        <v>3574</v>
      </c>
      <c r="J644" s="146">
        <v>42984.0</v>
      </c>
    </row>
    <row r="645" hidden="1">
      <c r="A645" s="110" t="s">
        <v>3403</v>
      </c>
      <c r="B645" s="49" t="s">
        <v>3654</v>
      </c>
      <c r="C645" s="49" t="s">
        <v>139</v>
      </c>
      <c r="D645" s="50">
        <v>42964.0</v>
      </c>
      <c r="E645" s="53"/>
      <c r="F645" s="49" t="s">
        <v>215</v>
      </c>
      <c r="G645" s="49" t="s">
        <v>140</v>
      </c>
      <c r="H645" s="49" t="s">
        <v>153</v>
      </c>
      <c r="I645" s="132"/>
      <c r="J645" s="53"/>
    </row>
    <row r="646" hidden="1">
      <c r="A646" s="110" t="s">
        <v>3410</v>
      </c>
      <c r="B646" s="49" t="s">
        <v>3658</v>
      </c>
      <c r="C646" s="49" t="s">
        <v>139</v>
      </c>
      <c r="D646" s="50">
        <v>42964.0</v>
      </c>
      <c r="E646" s="133"/>
      <c r="F646" s="53"/>
      <c r="G646" s="49" t="s">
        <v>148</v>
      </c>
      <c r="H646" s="49" t="s">
        <v>141</v>
      </c>
      <c r="I646" s="132"/>
      <c r="J646" s="53"/>
    </row>
    <row r="647" hidden="1">
      <c r="A647" s="110" t="s">
        <v>3416</v>
      </c>
      <c r="B647" s="49" t="s">
        <v>3661</v>
      </c>
      <c r="C647" s="49" t="s">
        <v>139</v>
      </c>
      <c r="D647" s="50">
        <v>42964.0</v>
      </c>
      <c r="E647" s="53"/>
      <c r="F647" s="139"/>
      <c r="G647" s="49" t="s">
        <v>148</v>
      </c>
      <c r="H647" s="49" t="s">
        <v>141</v>
      </c>
      <c r="I647" s="132"/>
      <c r="J647" s="53"/>
    </row>
    <row r="648" hidden="1">
      <c r="A648" s="110" t="s">
        <v>3420</v>
      </c>
      <c r="B648" s="49" t="s">
        <v>3665</v>
      </c>
      <c r="C648" s="49" t="s">
        <v>139</v>
      </c>
      <c r="D648" s="50">
        <v>42963.0</v>
      </c>
      <c r="E648" s="53"/>
      <c r="F648" s="49" t="s">
        <v>160</v>
      </c>
      <c r="G648" s="49" t="s">
        <v>140</v>
      </c>
      <c r="H648" s="49" t="s">
        <v>153</v>
      </c>
      <c r="I648" s="132"/>
      <c r="J648" s="53"/>
    </row>
    <row r="649" hidden="1">
      <c r="A649" s="110" t="s">
        <v>3424</v>
      </c>
      <c r="B649" s="49" t="s">
        <v>3671</v>
      </c>
      <c r="C649" s="49" t="s">
        <v>139</v>
      </c>
      <c r="D649" s="50">
        <v>42963.0</v>
      </c>
      <c r="E649" s="133"/>
      <c r="F649" s="49" t="s">
        <v>398</v>
      </c>
      <c r="G649" s="49" t="s">
        <v>140</v>
      </c>
      <c r="H649" s="49" t="s">
        <v>140</v>
      </c>
      <c r="I649" s="132"/>
      <c r="J649" s="53"/>
    </row>
    <row r="650" hidden="1">
      <c r="A650" s="110" t="s">
        <v>3430</v>
      </c>
      <c r="B650" s="49" t="s">
        <v>3677</v>
      </c>
      <c r="C650" s="49" t="s">
        <v>139</v>
      </c>
      <c r="D650" s="50">
        <v>42963.0</v>
      </c>
      <c r="E650" s="133"/>
      <c r="F650" s="49" t="s">
        <v>160</v>
      </c>
      <c r="G650" s="49" t="s">
        <v>140</v>
      </c>
      <c r="H650" s="49" t="s">
        <v>155</v>
      </c>
      <c r="I650" s="132"/>
      <c r="J650" s="53"/>
    </row>
    <row r="651" hidden="1">
      <c r="A651" s="110" t="s">
        <v>3434</v>
      </c>
      <c r="B651" s="49" t="s">
        <v>3680</v>
      </c>
      <c r="C651" s="49" t="s">
        <v>139</v>
      </c>
      <c r="D651" s="50">
        <v>42963.0</v>
      </c>
      <c r="E651" s="50">
        <v>42997.0</v>
      </c>
      <c r="F651" s="139"/>
      <c r="G651" s="49" t="s">
        <v>148</v>
      </c>
      <c r="H651" s="49" t="s">
        <v>216</v>
      </c>
      <c r="I651" s="132"/>
      <c r="J651" s="53"/>
    </row>
    <row r="652" hidden="1">
      <c r="A652" s="110" t="s">
        <v>3440</v>
      </c>
      <c r="B652" s="49" t="s">
        <v>3683</v>
      </c>
      <c r="C652" s="49" t="s">
        <v>139</v>
      </c>
      <c r="D652" s="50">
        <v>42963.0</v>
      </c>
      <c r="E652" s="50">
        <v>42970.0</v>
      </c>
      <c r="F652" s="49" t="s">
        <v>3685</v>
      </c>
      <c r="G652" s="49" t="s">
        <v>148</v>
      </c>
      <c r="H652" s="49" t="s">
        <v>216</v>
      </c>
      <c r="I652" s="49" t="s">
        <v>3633</v>
      </c>
      <c r="J652" s="49" t="s">
        <v>3687</v>
      </c>
    </row>
    <row r="653" hidden="1">
      <c r="A653" s="110" t="s">
        <v>3446</v>
      </c>
      <c r="B653" s="49" t="s">
        <v>3688</v>
      </c>
      <c r="C653" s="49" t="s">
        <v>139</v>
      </c>
      <c r="D653" s="50">
        <v>42962.0</v>
      </c>
      <c r="E653" s="133"/>
      <c r="F653" s="139"/>
      <c r="G653" s="49" t="s">
        <v>148</v>
      </c>
      <c r="H653" s="49" t="s">
        <v>140</v>
      </c>
      <c r="I653" s="132"/>
      <c r="J653" s="53"/>
    </row>
    <row r="654" hidden="1">
      <c r="A654" s="110" t="s">
        <v>3450</v>
      </c>
      <c r="B654" s="49" t="s">
        <v>3691</v>
      </c>
      <c r="C654" s="49" t="s">
        <v>139</v>
      </c>
      <c r="D654" s="50">
        <v>42961.0</v>
      </c>
      <c r="E654" s="133"/>
      <c r="F654" s="49" t="s">
        <v>160</v>
      </c>
      <c r="G654" s="49" t="s">
        <v>140</v>
      </c>
      <c r="H654" s="49" t="s">
        <v>153</v>
      </c>
      <c r="I654" s="132"/>
      <c r="J654" s="53"/>
    </row>
    <row r="655" hidden="1">
      <c r="A655" s="110" t="s">
        <v>3453</v>
      </c>
      <c r="B655" s="49" t="s">
        <v>3696</v>
      </c>
      <c r="C655" s="49" t="s">
        <v>139</v>
      </c>
      <c r="D655" s="50">
        <v>42961.0</v>
      </c>
      <c r="E655" s="50">
        <v>42961.0</v>
      </c>
      <c r="F655" s="49" t="s">
        <v>160</v>
      </c>
      <c r="G655" s="49" t="s">
        <v>140</v>
      </c>
      <c r="H655" s="49" t="s">
        <v>140</v>
      </c>
      <c r="I655" s="50">
        <v>42961.0</v>
      </c>
      <c r="J655" s="139"/>
    </row>
    <row r="656" hidden="1">
      <c r="A656" s="110" t="s">
        <v>3457</v>
      </c>
      <c r="B656" s="49" t="s">
        <v>3698</v>
      </c>
      <c r="C656" s="49" t="s">
        <v>139</v>
      </c>
      <c r="D656" s="50">
        <v>42958.0</v>
      </c>
      <c r="E656" s="50">
        <v>42961.0</v>
      </c>
      <c r="F656" s="49" t="s">
        <v>160</v>
      </c>
      <c r="G656" s="49" t="s">
        <v>141</v>
      </c>
      <c r="H656" s="49" t="s">
        <v>141</v>
      </c>
      <c r="I656" s="49" t="s">
        <v>3699</v>
      </c>
      <c r="J656" s="49" t="s">
        <v>3700</v>
      </c>
    </row>
    <row r="657" hidden="1">
      <c r="A657" s="110" t="s">
        <v>3462</v>
      </c>
      <c r="B657" s="49" t="s">
        <v>3703</v>
      </c>
      <c r="C657" s="49" t="s">
        <v>139</v>
      </c>
      <c r="D657" s="50">
        <v>42958.0</v>
      </c>
      <c r="E657" s="53"/>
      <c r="F657" s="53"/>
      <c r="G657" s="49" t="s">
        <v>148</v>
      </c>
      <c r="H657" s="49" t="s">
        <v>141</v>
      </c>
      <c r="I657" s="132"/>
      <c r="J657" s="53"/>
    </row>
    <row r="658" hidden="1">
      <c r="A658" s="110" t="s">
        <v>3467</v>
      </c>
      <c r="B658" s="49" t="s">
        <v>3706</v>
      </c>
      <c r="C658" s="49" t="s">
        <v>139</v>
      </c>
      <c r="D658" s="50">
        <v>42957.0</v>
      </c>
      <c r="E658" s="50">
        <v>42898.0</v>
      </c>
      <c r="F658" s="49" t="s">
        <v>160</v>
      </c>
      <c r="G658" s="49" t="s">
        <v>141</v>
      </c>
      <c r="H658" s="49" t="s">
        <v>141</v>
      </c>
      <c r="I658" s="132"/>
      <c r="J658" s="53"/>
    </row>
    <row r="659" hidden="1">
      <c r="A659" s="110" t="s">
        <v>3471</v>
      </c>
      <c r="B659" s="49" t="s">
        <v>3711</v>
      </c>
      <c r="C659" s="49" t="s">
        <v>139</v>
      </c>
      <c r="D659" s="50">
        <v>42957.0</v>
      </c>
      <c r="E659" s="50">
        <v>42887.0</v>
      </c>
      <c r="F659" s="49" t="s">
        <v>160</v>
      </c>
      <c r="G659" s="49" t="s">
        <v>141</v>
      </c>
      <c r="H659" s="49" t="s">
        <v>141</v>
      </c>
      <c r="I659" s="132"/>
      <c r="J659" s="53"/>
    </row>
    <row r="660" hidden="1">
      <c r="A660" s="110" t="s">
        <v>3479</v>
      </c>
      <c r="B660" s="49" t="s">
        <v>3715</v>
      </c>
      <c r="C660" s="49" t="s">
        <v>139</v>
      </c>
      <c r="D660" s="50">
        <v>42957.0</v>
      </c>
      <c r="E660" s="50">
        <v>42887.0</v>
      </c>
      <c r="F660" s="49" t="s">
        <v>160</v>
      </c>
      <c r="G660" s="49" t="s">
        <v>141</v>
      </c>
      <c r="H660" s="49" t="s">
        <v>141</v>
      </c>
      <c r="I660" s="132"/>
      <c r="J660" s="53"/>
    </row>
    <row r="661" hidden="1">
      <c r="A661" s="110" t="s">
        <v>3484</v>
      </c>
      <c r="B661" s="49" t="s">
        <v>3720</v>
      </c>
      <c r="C661" s="49" t="s">
        <v>139</v>
      </c>
      <c r="D661" s="50">
        <v>42957.0</v>
      </c>
      <c r="E661" s="50">
        <v>42962.0</v>
      </c>
      <c r="F661" s="49" t="s">
        <v>160</v>
      </c>
      <c r="G661" s="49" t="s">
        <v>141</v>
      </c>
      <c r="H661" s="49" t="s">
        <v>141</v>
      </c>
      <c r="I661" s="142">
        <v>42961.0</v>
      </c>
      <c r="J661" s="53"/>
    </row>
    <row r="662" hidden="1">
      <c r="A662" s="110" t="s">
        <v>3491</v>
      </c>
      <c r="B662" s="49" t="s">
        <v>3725</v>
      </c>
      <c r="C662" s="49" t="s">
        <v>139</v>
      </c>
      <c r="D662" s="50">
        <v>42957.0</v>
      </c>
      <c r="E662" s="50">
        <v>42867.0</v>
      </c>
      <c r="F662" s="49" t="s">
        <v>160</v>
      </c>
      <c r="G662" s="49" t="s">
        <v>141</v>
      </c>
      <c r="H662" s="49" t="s">
        <v>141</v>
      </c>
      <c r="I662" s="132"/>
      <c r="J662" s="53"/>
    </row>
    <row r="663" hidden="1">
      <c r="A663" s="110" t="s">
        <v>3496</v>
      </c>
      <c r="B663" s="49" t="s">
        <v>3729</v>
      </c>
      <c r="C663" s="49" t="s">
        <v>139</v>
      </c>
      <c r="D663" s="50">
        <v>42957.0</v>
      </c>
      <c r="E663" s="50">
        <v>42962.0</v>
      </c>
      <c r="F663" s="49" t="s">
        <v>160</v>
      </c>
      <c r="G663" s="49" t="s">
        <v>141</v>
      </c>
      <c r="H663" s="49" t="s">
        <v>141</v>
      </c>
      <c r="I663" s="142">
        <v>42961.0</v>
      </c>
      <c r="J663" s="53"/>
    </row>
    <row r="664" hidden="1">
      <c r="A664" s="110" t="s">
        <v>3500</v>
      </c>
      <c r="B664" s="49" t="s">
        <v>3733</v>
      </c>
      <c r="C664" s="49" t="s">
        <v>139</v>
      </c>
      <c r="D664" s="50">
        <v>42957.0</v>
      </c>
      <c r="E664" s="133"/>
      <c r="F664" s="49" t="s">
        <v>160</v>
      </c>
      <c r="G664" s="49" t="s">
        <v>140</v>
      </c>
      <c r="H664" s="49" t="s">
        <v>140</v>
      </c>
      <c r="I664" s="132"/>
      <c r="J664" s="53"/>
    </row>
    <row r="665" hidden="1">
      <c r="A665" s="110" t="s">
        <v>3504</v>
      </c>
      <c r="B665" s="49" t="s">
        <v>3736</v>
      </c>
      <c r="C665" s="49" t="s">
        <v>139</v>
      </c>
      <c r="D665" s="50">
        <v>42957.0</v>
      </c>
      <c r="E665" s="133"/>
      <c r="F665" s="49" t="s">
        <v>160</v>
      </c>
      <c r="G665" s="49" t="s">
        <v>140</v>
      </c>
      <c r="H665" s="49" t="s">
        <v>140</v>
      </c>
      <c r="I665" s="139"/>
      <c r="J665" s="139"/>
    </row>
    <row r="666" hidden="1">
      <c r="A666" s="110" t="s">
        <v>3740</v>
      </c>
      <c r="B666" s="49" t="s">
        <v>3741</v>
      </c>
      <c r="C666" s="49" t="s">
        <v>139</v>
      </c>
      <c r="D666" s="50">
        <v>42957.0</v>
      </c>
      <c r="E666" s="133"/>
      <c r="F666" s="49" t="s">
        <v>3652</v>
      </c>
      <c r="G666" s="49" t="s">
        <v>148</v>
      </c>
      <c r="H666" s="49" t="s">
        <v>453</v>
      </c>
      <c r="I666" s="142">
        <v>42972.0</v>
      </c>
      <c r="J666" s="49" t="s">
        <v>3744</v>
      </c>
    </row>
    <row r="667" hidden="1">
      <c r="A667" s="110" t="s">
        <v>3511</v>
      </c>
      <c r="B667" s="49" t="s">
        <v>3748</v>
      </c>
      <c r="C667" s="49" t="s">
        <v>139</v>
      </c>
      <c r="D667" s="50">
        <v>42957.0</v>
      </c>
      <c r="E667" s="53"/>
      <c r="F667" s="139"/>
      <c r="G667" s="49" t="s">
        <v>148</v>
      </c>
      <c r="H667" s="49" t="s">
        <v>141</v>
      </c>
      <c r="I667" s="132"/>
      <c r="J667" s="53"/>
    </row>
    <row r="668" hidden="1">
      <c r="A668" s="110" t="s">
        <v>3514</v>
      </c>
      <c r="B668" s="49" t="s">
        <v>3750</v>
      </c>
      <c r="C668" s="49" t="s">
        <v>139</v>
      </c>
      <c r="D668" s="50">
        <v>42957.0</v>
      </c>
      <c r="E668" s="53"/>
      <c r="F668" s="53"/>
      <c r="G668" s="49" t="s">
        <v>148</v>
      </c>
      <c r="H668" s="49" t="s">
        <v>141</v>
      </c>
      <c r="I668" s="132"/>
      <c r="J668" s="53"/>
    </row>
    <row r="669" hidden="1">
      <c r="A669" s="110" t="s">
        <v>3518</v>
      </c>
      <c r="B669" s="49" t="s">
        <v>3753</v>
      </c>
      <c r="C669" s="49" t="s">
        <v>139</v>
      </c>
      <c r="D669" s="50">
        <v>42957.0</v>
      </c>
      <c r="E669" s="50">
        <v>42867.0</v>
      </c>
      <c r="F669" s="139"/>
      <c r="G669" s="49" t="s">
        <v>140</v>
      </c>
      <c r="H669" s="49" t="s">
        <v>141</v>
      </c>
      <c r="I669" s="132"/>
      <c r="J669" s="53"/>
    </row>
    <row r="670" hidden="1">
      <c r="A670" s="110" t="s">
        <v>3522</v>
      </c>
      <c r="B670" s="49" t="s">
        <v>3756</v>
      </c>
      <c r="C670" s="49" t="s">
        <v>139</v>
      </c>
      <c r="D670" s="50">
        <v>42955.0</v>
      </c>
      <c r="E670" s="50">
        <v>42963.0</v>
      </c>
      <c r="F670" s="49" t="s">
        <v>160</v>
      </c>
      <c r="G670" s="49" t="s">
        <v>141</v>
      </c>
      <c r="H670" s="49" t="s">
        <v>141</v>
      </c>
      <c r="I670" s="49" t="s">
        <v>3699</v>
      </c>
      <c r="J670" s="49" t="s">
        <v>3700</v>
      </c>
    </row>
    <row r="671" hidden="1">
      <c r="A671" s="110" t="s">
        <v>3528</v>
      </c>
      <c r="B671" s="49" t="s">
        <v>3760</v>
      </c>
      <c r="C671" s="49" t="s">
        <v>139</v>
      </c>
      <c r="D671" s="50">
        <v>42955.0</v>
      </c>
      <c r="E671" s="53"/>
      <c r="F671" s="49" t="s">
        <v>160</v>
      </c>
      <c r="G671" s="49" t="s">
        <v>140</v>
      </c>
      <c r="H671" s="49" t="s">
        <v>140</v>
      </c>
      <c r="I671" s="132"/>
      <c r="J671" s="53"/>
    </row>
    <row r="672" hidden="1">
      <c r="A672" s="110" t="s">
        <v>3534</v>
      </c>
      <c r="B672" s="49" t="s">
        <v>3767</v>
      </c>
      <c r="C672" s="49" t="s">
        <v>139</v>
      </c>
      <c r="D672" s="50">
        <v>42955.0</v>
      </c>
      <c r="E672" s="53"/>
      <c r="F672" s="49" t="s">
        <v>176</v>
      </c>
      <c r="G672" s="49" t="s">
        <v>140</v>
      </c>
      <c r="H672" s="49" t="s">
        <v>140</v>
      </c>
      <c r="I672" s="132"/>
      <c r="J672" s="53"/>
    </row>
    <row r="673" hidden="1">
      <c r="A673" s="110" t="s">
        <v>3565</v>
      </c>
      <c r="B673" s="49" t="s">
        <v>3769</v>
      </c>
      <c r="C673" s="49" t="s">
        <v>139</v>
      </c>
      <c r="D673" s="50">
        <v>42955.0</v>
      </c>
      <c r="E673" s="50">
        <v>42965.0</v>
      </c>
      <c r="F673" s="49" t="s">
        <v>215</v>
      </c>
      <c r="G673" s="49" t="s">
        <v>216</v>
      </c>
      <c r="H673" s="49" t="s">
        <v>1313</v>
      </c>
      <c r="I673" s="142">
        <v>42961.0</v>
      </c>
      <c r="J673" s="53"/>
    </row>
    <row r="674" hidden="1">
      <c r="A674" s="110" t="s">
        <v>3539</v>
      </c>
      <c r="B674" s="49" t="s">
        <v>3775</v>
      </c>
      <c r="C674" s="49" t="s">
        <v>139</v>
      </c>
      <c r="D674" s="50">
        <v>42955.0</v>
      </c>
      <c r="E674" s="133"/>
      <c r="F674" s="53"/>
      <c r="G674" s="49" t="s">
        <v>148</v>
      </c>
      <c r="H674" s="49" t="s">
        <v>141</v>
      </c>
      <c r="I674" s="132"/>
      <c r="J674" s="53"/>
    </row>
    <row r="675" hidden="1">
      <c r="A675" s="110" t="s">
        <v>3543</v>
      </c>
      <c r="B675" s="49" t="s">
        <v>3778</v>
      </c>
      <c r="C675" s="49" t="s">
        <v>139</v>
      </c>
      <c r="D675" s="50">
        <v>42955.0</v>
      </c>
      <c r="E675" s="53"/>
      <c r="F675" s="53"/>
      <c r="G675" s="49" t="s">
        <v>148</v>
      </c>
      <c r="H675" s="49" t="s">
        <v>141</v>
      </c>
      <c r="I675" s="132"/>
      <c r="J675" s="53"/>
    </row>
    <row r="676" hidden="1">
      <c r="A676" s="110" t="s">
        <v>3550</v>
      </c>
      <c r="B676" s="49" t="s">
        <v>3780</v>
      </c>
      <c r="C676" s="49" t="s">
        <v>139</v>
      </c>
      <c r="D676" s="50">
        <v>42954.0</v>
      </c>
      <c r="E676" s="53"/>
      <c r="F676" s="49" t="s">
        <v>176</v>
      </c>
      <c r="G676" s="49" t="s">
        <v>140</v>
      </c>
      <c r="H676" s="49" t="s">
        <v>140</v>
      </c>
      <c r="I676" s="132"/>
      <c r="J676" s="53"/>
    </row>
    <row r="677" hidden="1">
      <c r="A677" s="110" t="s">
        <v>3555</v>
      </c>
      <c r="B677" s="49" t="s">
        <v>3784</v>
      </c>
      <c r="C677" s="49" t="s">
        <v>139</v>
      </c>
      <c r="D677" s="50">
        <v>42954.0</v>
      </c>
      <c r="E677" s="53"/>
      <c r="F677" s="49" t="s">
        <v>176</v>
      </c>
      <c r="G677" s="49" t="s">
        <v>140</v>
      </c>
      <c r="H677" s="49" t="s">
        <v>140</v>
      </c>
      <c r="I677" s="132"/>
      <c r="J677" s="53"/>
    </row>
    <row r="678" hidden="1">
      <c r="A678" s="110" t="s">
        <v>3788</v>
      </c>
      <c r="B678" s="49" t="s">
        <v>3789</v>
      </c>
      <c r="C678" s="49" t="s">
        <v>196</v>
      </c>
      <c r="D678" s="50">
        <v>42954.0</v>
      </c>
      <c r="E678" s="50">
        <v>42961.0</v>
      </c>
      <c r="F678" s="139"/>
      <c r="G678" s="49" t="s">
        <v>2926</v>
      </c>
      <c r="H678" s="49" t="s">
        <v>233</v>
      </c>
      <c r="I678" s="49" t="s">
        <v>3790</v>
      </c>
      <c r="J678" s="53"/>
    </row>
    <row r="679" hidden="1">
      <c r="A679" s="110" t="s">
        <v>3576</v>
      </c>
      <c r="B679" s="49" t="s">
        <v>3794</v>
      </c>
      <c r="C679" s="49" t="s">
        <v>139</v>
      </c>
      <c r="D679" s="50">
        <v>42952.0</v>
      </c>
      <c r="E679" s="50">
        <v>42963.0</v>
      </c>
      <c r="F679" s="49" t="s">
        <v>215</v>
      </c>
      <c r="G679" s="49" t="s">
        <v>148</v>
      </c>
      <c r="H679" s="49" t="s">
        <v>3577</v>
      </c>
      <c r="I679" s="153">
        <v>43038.0</v>
      </c>
      <c r="J679" s="146">
        <v>43038.0</v>
      </c>
    </row>
    <row r="680" hidden="1">
      <c r="A680" s="110" t="s">
        <v>3583</v>
      </c>
      <c r="B680" s="49" t="s">
        <v>3798</v>
      </c>
      <c r="C680" s="49" t="s">
        <v>139</v>
      </c>
      <c r="D680" s="50">
        <v>42951.0</v>
      </c>
      <c r="E680" s="133"/>
      <c r="F680" s="49" t="s">
        <v>176</v>
      </c>
      <c r="G680" s="49" t="s">
        <v>337</v>
      </c>
      <c r="H680" s="49" t="s">
        <v>140</v>
      </c>
      <c r="I680" s="132"/>
      <c r="J680" s="53"/>
    </row>
    <row r="681" hidden="1">
      <c r="A681" s="110" t="s">
        <v>3801</v>
      </c>
      <c r="B681" s="49" t="s">
        <v>3802</v>
      </c>
      <c r="C681" s="49" t="s">
        <v>3803</v>
      </c>
      <c r="D681" s="50">
        <v>42951.0</v>
      </c>
      <c r="E681" s="53"/>
      <c r="F681" s="49" t="s">
        <v>3804</v>
      </c>
      <c r="G681" s="49" t="s">
        <v>2926</v>
      </c>
      <c r="H681" s="49" t="s">
        <v>233</v>
      </c>
      <c r="I681" s="142">
        <v>42969.0</v>
      </c>
      <c r="J681" s="53"/>
    </row>
    <row r="682" hidden="1">
      <c r="A682" s="110" t="s">
        <v>3590</v>
      </c>
      <c r="B682" s="49" t="s">
        <v>3808</v>
      </c>
      <c r="C682" s="49" t="s">
        <v>139</v>
      </c>
      <c r="D682" s="50">
        <v>42951.0</v>
      </c>
      <c r="E682" s="53"/>
      <c r="F682" s="139"/>
      <c r="G682" s="49" t="s">
        <v>140</v>
      </c>
      <c r="H682" s="49" t="s">
        <v>140</v>
      </c>
      <c r="I682" s="132"/>
      <c r="J682" s="53"/>
    </row>
    <row r="683" hidden="1">
      <c r="A683" s="110" t="s">
        <v>3596</v>
      </c>
      <c r="B683" s="49" t="s">
        <v>3812</v>
      </c>
      <c r="C683" s="49" t="s">
        <v>139</v>
      </c>
      <c r="D683" s="50">
        <v>42950.0</v>
      </c>
      <c r="E683" s="50">
        <v>42969.0</v>
      </c>
      <c r="F683" s="49" t="s">
        <v>160</v>
      </c>
      <c r="G683" s="49" t="s">
        <v>155</v>
      </c>
      <c r="H683" s="49" t="s">
        <v>155</v>
      </c>
      <c r="I683" s="142">
        <v>42968.0</v>
      </c>
      <c r="J683" s="53"/>
    </row>
    <row r="684" hidden="1">
      <c r="A684" s="110" t="s">
        <v>3601</v>
      </c>
      <c r="B684" s="49" t="s">
        <v>3815</v>
      </c>
      <c r="C684" s="49" t="s">
        <v>139</v>
      </c>
      <c r="D684" s="50">
        <v>42950.0</v>
      </c>
      <c r="E684" s="50">
        <v>42963.0</v>
      </c>
      <c r="F684" s="49" t="s">
        <v>147</v>
      </c>
      <c r="G684" s="49" t="s">
        <v>148</v>
      </c>
      <c r="H684" s="49" t="s">
        <v>726</v>
      </c>
      <c r="I684" s="142">
        <v>42961.0</v>
      </c>
      <c r="J684" s="53"/>
    </row>
    <row r="685" hidden="1">
      <c r="A685" s="110" t="s">
        <v>3609</v>
      </c>
      <c r="B685" s="49" t="s">
        <v>3819</v>
      </c>
      <c r="C685" s="49" t="s">
        <v>139</v>
      </c>
      <c r="D685" s="50">
        <v>42949.0</v>
      </c>
      <c r="E685" s="50">
        <v>42950.0</v>
      </c>
      <c r="F685" s="49" t="s">
        <v>176</v>
      </c>
      <c r="G685" s="49" t="s">
        <v>148</v>
      </c>
      <c r="H685" s="49" t="s">
        <v>283</v>
      </c>
      <c r="I685" s="132"/>
      <c r="J685" s="53"/>
    </row>
    <row r="686" hidden="1">
      <c r="A686" s="110" t="s">
        <v>3614</v>
      </c>
      <c r="B686" s="49" t="s">
        <v>3823</v>
      </c>
      <c r="C686" s="49" t="s">
        <v>139</v>
      </c>
      <c r="D686" s="50">
        <v>42949.0</v>
      </c>
      <c r="E686" s="133"/>
      <c r="F686" s="139"/>
      <c r="G686" s="49" t="s">
        <v>140</v>
      </c>
      <c r="H686" s="49" t="s">
        <v>140</v>
      </c>
      <c r="I686" s="132"/>
      <c r="J686" s="53"/>
    </row>
    <row r="687" hidden="1">
      <c r="A687" s="110" t="s">
        <v>3629</v>
      </c>
      <c r="B687" s="49" t="s">
        <v>3825</v>
      </c>
      <c r="C687" s="49" t="s">
        <v>139</v>
      </c>
      <c r="D687" s="50">
        <v>42948.0</v>
      </c>
      <c r="E687" s="53"/>
      <c r="F687" s="49" t="s">
        <v>176</v>
      </c>
      <c r="G687" s="49" t="s">
        <v>140</v>
      </c>
      <c r="H687" s="49" t="s">
        <v>153</v>
      </c>
      <c r="I687" s="132"/>
      <c r="J687" s="53"/>
    </row>
    <row r="688" hidden="1">
      <c r="A688" s="110" t="s">
        <v>3635</v>
      </c>
      <c r="B688" s="49" t="s">
        <v>3828</v>
      </c>
      <c r="C688" s="49" t="s">
        <v>139</v>
      </c>
      <c r="D688" s="50">
        <v>42948.0</v>
      </c>
      <c r="E688" s="133"/>
      <c r="F688" s="49" t="s">
        <v>176</v>
      </c>
      <c r="G688" s="49" t="s">
        <v>140</v>
      </c>
      <c r="H688" s="49" t="s">
        <v>337</v>
      </c>
      <c r="I688" s="132"/>
      <c r="J688" s="53"/>
    </row>
    <row r="689" hidden="1">
      <c r="A689" s="110" t="s">
        <v>3641</v>
      </c>
      <c r="B689" s="49" t="s">
        <v>3831</v>
      </c>
      <c r="C689" s="49" t="s">
        <v>139</v>
      </c>
      <c r="D689" s="50">
        <v>42947.0</v>
      </c>
      <c r="E689" s="133"/>
      <c r="F689" s="49" t="s">
        <v>176</v>
      </c>
      <c r="G689" s="49" t="s">
        <v>140</v>
      </c>
      <c r="H689" s="49" t="s">
        <v>140</v>
      </c>
      <c r="I689" s="132"/>
      <c r="J689" s="53"/>
    </row>
    <row r="690" hidden="1">
      <c r="A690" s="110" t="s">
        <v>3645</v>
      </c>
      <c r="B690" s="49" t="s">
        <v>3835</v>
      </c>
      <c r="C690" s="49" t="s">
        <v>139</v>
      </c>
      <c r="D690" s="50">
        <v>42947.0</v>
      </c>
      <c r="E690" s="50">
        <v>42949.0</v>
      </c>
      <c r="F690" s="49" t="s">
        <v>176</v>
      </c>
      <c r="G690" s="49" t="s">
        <v>337</v>
      </c>
      <c r="H690" s="49" t="s">
        <v>337</v>
      </c>
      <c r="I690" s="132"/>
      <c r="J690" s="53"/>
    </row>
    <row r="691" hidden="1">
      <c r="A691" s="110" t="s">
        <v>3653</v>
      </c>
      <c r="B691" s="49" t="s">
        <v>3838</v>
      </c>
      <c r="C691" s="49" t="s">
        <v>139</v>
      </c>
      <c r="D691" s="50">
        <v>42947.0</v>
      </c>
      <c r="E691" s="50">
        <v>42949.0</v>
      </c>
      <c r="F691" s="49" t="s">
        <v>176</v>
      </c>
      <c r="G691" s="49" t="s">
        <v>337</v>
      </c>
      <c r="H691" s="49" t="s">
        <v>337</v>
      </c>
      <c r="I691" s="132"/>
      <c r="J691" s="53"/>
    </row>
    <row r="692" hidden="1">
      <c r="A692" s="110" t="s">
        <v>3657</v>
      </c>
      <c r="B692" s="49" t="s">
        <v>3840</v>
      </c>
      <c r="C692" s="49" t="s">
        <v>139</v>
      </c>
      <c r="D692" s="50">
        <v>42947.0</v>
      </c>
      <c r="E692" s="50">
        <v>42948.0</v>
      </c>
      <c r="F692" s="49" t="s">
        <v>176</v>
      </c>
      <c r="G692" s="49" t="s">
        <v>337</v>
      </c>
      <c r="H692" s="49" t="s">
        <v>337</v>
      </c>
      <c r="I692" s="132"/>
      <c r="J692" s="53"/>
    </row>
    <row r="693" hidden="1">
      <c r="A693" s="110" t="s">
        <v>3662</v>
      </c>
      <c r="B693" s="49" t="s">
        <v>3844</v>
      </c>
      <c r="C693" s="49" t="s">
        <v>139</v>
      </c>
      <c r="D693" s="50">
        <v>42947.0</v>
      </c>
      <c r="E693" s="50">
        <v>42948.0</v>
      </c>
      <c r="F693" s="49" t="s">
        <v>176</v>
      </c>
      <c r="G693" s="49" t="s">
        <v>337</v>
      </c>
      <c r="H693" s="49" t="s">
        <v>337</v>
      </c>
      <c r="I693" s="132"/>
      <c r="J693" s="53"/>
    </row>
    <row r="694" hidden="1">
      <c r="A694" s="110" t="s">
        <v>3667</v>
      </c>
      <c r="B694" s="49" t="s">
        <v>3850</v>
      </c>
      <c r="C694" s="49" t="s">
        <v>139</v>
      </c>
      <c r="D694" s="50">
        <v>42947.0</v>
      </c>
      <c r="E694" s="50">
        <v>42948.0</v>
      </c>
      <c r="F694" s="49" t="s">
        <v>176</v>
      </c>
      <c r="G694" s="49" t="s">
        <v>337</v>
      </c>
      <c r="H694" s="49" t="s">
        <v>337</v>
      </c>
      <c r="I694" s="132"/>
      <c r="J694" s="53"/>
    </row>
    <row r="695" hidden="1">
      <c r="A695" s="110" t="s">
        <v>3673</v>
      </c>
      <c r="B695" s="49" t="s">
        <v>3852</v>
      </c>
      <c r="C695" s="49" t="s">
        <v>139</v>
      </c>
      <c r="D695" s="50">
        <v>42943.0</v>
      </c>
      <c r="E695" s="50">
        <v>42964.0</v>
      </c>
      <c r="F695" s="49" t="s">
        <v>1399</v>
      </c>
      <c r="G695" s="49" t="s">
        <v>148</v>
      </c>
      <c r="H695" s="49" t="s">
        <v>1400</v>
      </c>
      <c r="I695" s="142">
        <v>42961.0</v>
      </c>
      <c r="J695" s="53"/>
    </row>
    <row r="696" hidden="1">
      <c r="A696" s="110" t="s">
        <v>3712</v>
      </c>
      <c r="B696" s="49" t="s">
        <v>3855</v>
      </c>
      <c r="C696" s="49" t="s">
        <v>139</v>
      </c>
      <c r="D696" s="50">
        <v>42942.0</v>
      </c>
      <c r="E696" s="50">
        <v>42964.0</v>
      </c>
      <c r="F696" s="49" t="s">
        <v>215</v>
      </c>
      <c r="G696" s="49" t="s">
        <v>148</v>
      </c>
      <c r="H696" s="49" t="s">
        <v>216</v>
      </c>
      <c r="I696" s="142">
        <v>42961.0</v>
      </c>
      <c r="J696" s="53"/>
    </row>
    <row r="697" hidden="1">
      <c r="A697" s="110" t="s">
        <v>3718</v>
      </c>
      <c r="B697" s="49" t="s">
        <v>3859</v>
      </c>
      <c r="C697" s="49" t="s">
        <v>139</v>
      </c>
      <c r="D697" s="50">
        <v>42942.0</v>
      </c>
      <c r="E697" s="133"/>
      <c r="F697" s="49" t="s">
        <v>176</v>
      </c>
      <c r="G697" s="49" t="s">
        <v>283</v>
      </c>
      <c r="H697" s="49" t="s">
        <v>3722</v>
      </c>
      <c r="I697" s="132"/>
      <c r="J697" s="53"/>
    </row>
    <row r="698" hidden="1">
      <c r="A698" s="110" t="s">
        <v>3726</v>
      </c>
      <c r="B698" s="49" t="s">
        <v>3862</v>
      </c>
      <c r="C698" s="49" t="s">
        <v>139</v>
      </c>
      <c r="D698" s="50">
        <v>42942.0</v>
      </c>
      <c r="E698" s="133"/>
      <c r="F698" s="49" t="s">
        <v>147</v>
      </c>
      <c r="G698" s="49" t="s">
        <v>2926</v>
      </c>
      <c r="H698" s="49" t="s">
        <v>283</v>
      </c>
      <c r="I698" s="132"/>
      <c r="J698" s="53"/>
    </row>
    <row r="699" hidden="1">
      <c r="A699" s="110" t="s">
        <v>3732</v>
      </c>
      <c r="B699" s="49" t="s">
        <v>3866</v>
      </c>
      <c r="C699" s="49" t="s">
        <v>139</v>
      </c>
      <c r="D699" s="50">
        <v>42940.0</v>
      </c>
      <c r="E699" s="133"/>
      <c r="F699" s="139"/>
      <c r="G699" s="49" t="s">
        <v>140</v>
      </c>
      <c r="H699" s="49" t="s">
        <v>283</v>
      </c>
      <c r="I699" s="132"/>
      <c r="J699" s="53"/>
    </row>
    <row r="700" hidden="1">
      <c r="A700" s="110" t="s">
        <v>3739</v>
      </c>
      <c r="B700" s="49" t="s">
        <v>3870</v>
      </c>
      <c r="C700" s="49" t="s">
        <v>139</v>
      </c>
      <c r="D700" s="50">
        <v>42940.0</v>
      </c>
      <c r="E700" s="50">
        <v>42940.0</v>
      </c>
      <c r="F700" s="49" t="s">
        <v>160</v>
      </c>
      <c r="G700" s="49" t="s">
        <v>141</v>
      </c>
      <c r="H700" s="49" t="s">
        <v>244</v>
      </c>
      <c r="I700" s="132"/>
      <c r="J700" s="53"/>
    </row>
    <row r="701" hidden="1">
      <c r="A701" s="110" t="s">
        <v>3745</v>
      </c>
      <c r="B701" s="49" t="s">
        <v>3873</v>
      </c>
      <c r="C701" s="49" t="s">
        <v>139</v>
      </c>
      <c r="D701" s="50">
        <v>42940.0</v>
      </c>
      <c r="E701" s="50">
        <v>42940.0</v>
      </c>
      <c r="F701" s="49" t="s">
        <v>160</v>
      </c>
      <c r="G701" s="49" t="s">
        <v>141</v>
      </c>
      <c r="H701" s="49" t="s">
        <v>244</v>
      </c>
      <c r="I701" s="132"/>
      <c r="J701" s="53"/>
    </row>
    <row r="702" hidden="1">
      <c r="A702" s="110" t="s">
        <v>3752</v>
      </c>
      <c r="B702" s="49" t="s">
        <v>3877</v>
      </c>
      <c r="C702" s="49" t="s">
        <v>139</v>
      </c>
      <c r="D702" s="50">
        <v>42940.0</v>
      </c>
      <c r="E702" s="50">
        <v>42940.0</v>
      </c>
      <c r="F702" s="49" t="s">
        <v>160</v>
      </c>
      <c r="G702" s="49" t="s">
        <v>453</v>
      </c>
      <c r="H702" s="49" t="s">
        <v>244</v>
      </c>
      <c r="I702" s="132"/>
      <c r="J702" s="133"/>
    </row>
    <row r="703" hidden="1">
      <c r="A703" s="110" t="s">
        <v>3757</v>
      </c>
      <c r="B703" s="49" t="s">
        <v>2098</v>
      </c>
      <c r="C703" s="49" t="s">
        <v>139</v>
      </c>
      <c r="D703" s="50">
        <v>42940.0</v>
      </c>
      <c r="E703" s="50">
        <v>42947.0</v>
      </c>
      <c r="F703" s="49" t="s">
        <v>160</v>
      </c>
      <c r="G703" s="49" t="s">
        <v>283</v>
      </c>
      <c r="H703" s="49" t="s">
        <v>244</v>
      </c>
      <c r="I703" s="132"/>
      <c r="J703" s="53"/>
    </row>
    <row r="704" hidden="1">
      <c r="A704" s="110" t="s">
        <v>3764</v>
      </c>
      <c r="B704" s="49" t="s">
        <v>3882</v>
      </c>
      <c r="C704" s="49" t="s">
        <v>139</v>
      </c>
      <c r="D704" s="50">
        <v>42940.0</v>
      </c>
      <c r="E704" s="50">
        <v>42940.0</v>
      </c>
      <c r="F704" s="49" t="s">
        <v>160</v>
      </c>
      <c r="G704" s="49" t="s">
        <v>141</v>
      </c>
      <c r="H704" s="49" t="s">
        <v>244</v>
      </c>
      <c r="I704" s="132"/>
      <c r="J704" s="139"/>
    </row>
    <row r="705" hidden="1">
      <c r="A705" s="110" t="s">
        <v>3768</v>
      </c>
      <c r="B705" s="49" t="s">
        <v>3886</v>
      </c>
      <c r="C705" s="49" t="s">
        <v>139</v>
      </c>
      <c r="D705" s="50">
        <v>42940.0</v>
      </c>
      <c r="E705" s="50">
        <v>42940.0</v>
      </c>
      <c r="F705" s="49" t="s">
        <v>160</v>
      </c>
      <c r="G705" s="49" t="s">
        <v>141</v>
      </c>
      <c r="H705" s="49" t="s">
        <v>244</v>
      </c>
      <c r="I705" s="132"/>
      <c r="J705" s="53"/>
    </row>
    <row r="706" hidden="1">
      <c r="A706" s="110" t="s">
        <v>3774</v>
      </c>
      <c r="B706" s="49" t="s">
        <v>3890</v>
      </c>
      <c r="C706" s="49" t="s">
        <v>139</v>
      </c>
      <c r="D706" s="50">
        <v>42940.0</v>
      </c>
      <c r="E706" s="50">
        <v>42940.0</v>
      </c>
      <c r="F706" s="49" t="s">
        <v>160</v>
      </c>
      <c r="G706" s="49" t="s">
        <v>453</v>
      </c>
      <c r="H706" s="49" t="s">
        <v>244</v>
      </c>
      <c r="I706" s="132"/>
      <c r="J706" s="53"/>
    </row>
    <row r="707" hidden="1">
      <c r="A707" s="110" t="s">
        <v>3779</v>
      </c>
      <c r="B707" s="49" t="s">
        <v>3892</v>
      </c>
      <c r="C707" s="49" t="s">
        <v>139</v>
      </c>
      <c r="D707" s="50">
        <v>42940.0</v>
      </c>
      <c r="E707" s="50">
        <v>42947.0</v>
      </c>
      <c r="F707" s="49" t="s">
        <v>160</v>
      </c>
      <c r="G707" s="49" t="s">
        <v>283</v>
      </c>
      <c r="H707" s="49" t="s">
        <v>244</v>
      </c>
      <c r="I707" s="132"/>
      <c r="J707" s="53"/>
    </row>
    <row r="708" hidden="1">
      <c r="A708" s="110" t="s">
        <v>3785</v>
      </c>
      <c r="B708" s="49" t="s">
        <v>3895</v>
      </c>
      <c r="C708" s="49" t="s">
        <v>139</v>
      </c>
      <c r="D708" s="50">
        <v>42940.0</v>
      </c>
      <c r="E708" s="50">
        <v>42940.0</v>
      </c>
      <c r="F708" s="49" t="s">
        <v>160</v>
      </c>
      <c r="G708" s="49" t="s">
        <v>141</v>
      </c>
      <c r="H708" s="49" t="s">
        <v>244</v>
      </c>
      <c r="I708" s="132"/>
      <c r="J708" s="53"/>
    </row>
    <row r="709" hidden="1">
      <c r="A709" s="110" t="s">
        <v>3793</v>
      </c>
      <c r="B709" s="49" t="s">
        <v>3897</v>
      </c>
      <c r="C709" s="49" t="s">
        <v>139</v>
      </c>
      <c r="D709" s="50">
        <v>42940.0</v>
      </c>
      <c r="E709" s="50">
        <v>42940.0</v>
      </c>
      <c r="F709" s="49" t="s">
        <v>160</v>
      </c>
      <c r="G709" s="49" t="s">
        <v>141</v>
      </c>
      <c r="H709" s="49" t="s">
        <v>244</v>
      </c>
      <c r="I709" s="132"/>
      <c r="J709" s="133"/>
    </row>
    <row r="710" hidden="1">
      <c r="A710" s="110" t="s">
        <v>3797</v>
      </c>
      <c r="B710" s="49" t="s">
        <v>3900</v>
      </c>
      <c r="C710" s="49" t="s">
        <v>139</v>
      </c>
      <c r="D710" s="50">
        <v>42940.0</v>
      </c>
      <c r="E710" s="50">
        <v>42940.0</v>
      </c>
      <c r="F710" s="49" t="s">
        <v>160</v>
      </c>
      <c r="G710" s="49" t="s">
        <v>453</v>
      </c>
      <c r="H710" s="49" t="s">
        <v>244</v>
      </c>
      <c r="I710" s="132"/>
      <c r="J710" s="53"/>
    </row>
    <row r="711" hidden="1">
      <c r="A711" s="110" t="s">
        <v>3806</v>
      </c>
      <c r="B711" s="49" t="s">
        <v>3904</v>
      </c>
      <c r="C711" s="49" t="s">
        <v>139</v>
      </c>
      <c r="D711" s="50">
        <v>42940.0</v>
      </c>
      <c r="E711" s="50">
        <v>42949.0</v>
      </c>
      <c r="F711" s="49" t="s">
        <v>160</v>
      </c>
      <c r="G711" s="49" t="s">
        <v>283</v>
      </c>
      <c r="H711" s="49" t="s">
        <v>244</v>
      </c>
      <c r="I711" s="132"/>
      <c r="J711" s="53"/>
    </row>
    <row r="712" hidden="1">
      <c r="A712" s="110" t="s">
        <v>3811</v>
      </c>
      <c r="B712" s="49" t="s">
        <v>3910</v>
      </c>
      <c r="C712" s="49" t="s">
        <v>139</v>
      </c>
      <c r="D712" s="50">
        <v>42940.0</v>
      </c>
      <c r="E712" s="50">
        <v>42940.0</v>
      </c>
      <c r="F712" s="49" t="s">
        <v>160</v>
      </c>
      <c r="G712" s="49" t="s">
        <v>141</v>
      </c>
      <c r="H712" s="49" t="s">
        <v>244</v>
      </c>
      <c r="I712" s="132"/>
      <c r="J712" s="53"/>
    </row>
    <row r="713" hidden="1">
      <c r="A713" s="110" t="s">
        <v>3816</v>
      </c>
      <c r="B713" s="49" t="s">
        <v>3914</v>
      </c>
      <c r="C713" s="49" t="s">
        <v>139</v>
      </c>
      <c r="D713" s="50">
        <v>42940.0</v>
      </c>
      <c r="E713" s="50">
        <v>42940.0</v>
      </c>
      <c r="F713" s="49" t="s">
        <v>160</v>
      </c>
      <c r="G713" s="49" t="s">
        <v>141</v>
      </c>
      <c r="H713" s="49" t="s">
        <v>244</v>
      </c>
      <c r="I713" s="132"/>
      <c r="J713" s="53"/>
    </row>
    <row r="714" hidden="1">
      <c r="A714" s="110" t="s">
        <v>3820</v>
      </c>
      <c r="B714" s="49" t="s">
        <v>3915</v>
      </c>
      <c r="C714" s="49" t="s">
        <v>139</v>
      </c>
      <c r="D714" s="50">
        <v>42940.0</v>
      </c>
      <c r="E714" s="50">
        <v>42940.0</v>
      </c>
      <c r="F714" s="49" t="s">
        <v>160</v>
      </c>
      <c r="G714" s="49" t="s">
        <v>453</v>
      </c>
      <c r="H714" s="49" t="s">
        <v>244</v>
      </c>
      <c r="I714" s="132"/>
      <c r="J714" s="53"/>
    </row>
    <row r="715" hidden="1">
      <c r="A715" s="110" t="s">
        <v>3824</v>
      </c>
      <c r="B715" s="49" t="s">
        <v>3918</v>
      </c>
      <c r="C715" s="49" t="s">
        <v>139</v>
      </c>
      <c r="D715" s="50">
        <v>42940.0</v>
      </c>
      <c r="E715" s="50">
        <v>42947.0</v>
      </c>
      <c r="F715" s="49" t="s">
        <v>160</v>
      </c>
      <c r="G715" s="49" t="s">
        <v>148</v>
      </c>
      <c r="H715" s="49" t="s">
        <v>244</v>
      </c>
      <c r="I715" s="132"/>
      <c r="J715" s="53"/>
    </row>
    <row r="716" hidden="1">
      <c r="A716" s="110" t="s">
        <v>3829</v>
      </c>
      <c r="B716" s="49" t="s">
        <v>3920</v>
      </c>
      <c r="C716" s="49" t="s">
        <v>139</v>
      </c>
      <c r="D716" s="50">
        <v>42940.0</v>
      </c>
      <c r="E716" s="50">
        <v>42940.0</v>
      </c>
      <c r="F716" s="49" t="s">
        <v>176</v>
      </c>
      <c r="G716" s="49" t="s">
        <v>2926</v>
      </c>
      <c r="H716" s="49" t="s">
        <v>283</v>
      </c>
      <c r="I716" s="132"/>
      <c r="J716" s="53"/>
    </row>
    <row r="717" hidden="1">
      <c r="A717" s="110" t="s">
        <v>3841</v>
      </c>
      <c r="B717" s="49" t="s">
        <v>3923</v>
      </c>
      <c r="C717" s="49" t="s">
        <v>139</v>
      </c>
      <c r="D717" s="50">
        <v>42935.0</v>
      </c>
      <c r="E717" s="50">
        <v>43349.0</v>
      </c>
      <c r="F717" s="49" t="s">
        <v>176</v>
      </c>
      <c r="G717" s="49" t="s">
        <v>155</v>
      </c>
      <c r="H717" s="49" t="s">
        <v>155</v>
      </c>
      <c r="I717" s="49" t="s">
        <v>3574</v>
      </c>
      <c r="J717" s="146">
        <v>42983.0</v>
      </c>
    </row>
    <row r="718" hidden="1">
      <c r="A718" s="110" t="s">
        <v>3849</v>
      </c>
      <c r="B718" s="49" t="s">
        <v>3927</v>
      </c>
      <c r="C718" s="49" t="s">
        <v>139</v>
      </c>
      <c r="D718" s="50">
        <v>42935.0</v>
      </c>
      <c r="E718" s="50">
        <v>42963.0</v>
      </c>
      <c r="F718" s="49" t="s">
        <v>147</v>
      </c>
      <c r="G718" s="49" t="s">
        <v>148</v>
      </c>
      <c r="H718" s="49" t="s">
        <v>283</v>
      </c>
      <c r="I718" s="142">
        <v>42961.0</v>
      </c>
      <c r="J718" s="139"/>
    </row>
    <row r="719" hidden="1">
      <c r="A719" s="110" t="s">
        <v>3858</v>
      </c>
      <c r="B719" s="49" t="s">
        <v>3931</v>
      </c>
      <c r="C719" s="49" t="s">
        <v>139</v>
      </c>
      <c r="D719" s="50">
        <v>42934.0</v>
      </c>
      <c r="E719" s="133"/>
      <c r="F719" s="49" t="s">
        <v>176</v>
      </c>
      <c r="G719" s="49" t="s">
        <v>140</v>
      </c>
      <c r="H719" s="49" t="s">
        <v>233</v>
      </c>
      <c r="I719" s="132"/>
      <c r="J719" s="139"/>
    </row>
    <row r="720" hidden="1">
      <c r="A720" s="110" t="s">
        <v>3863</v>
      </c>
      <c r="B720" s="49" t="s">
        <v>3933</v>
      </c>
      <c r="C720" s="49" t="s">
        <v>139</v>
      </c>
      <c r="D720" s="50">
        <v>42934.0</v>
      </c>
      <c r="E720" s="133"/>
      <c r="F720" s="49" t="s">
        <v>160</v>
      </c>
      <c r="G720" s="49" t="s">
        <v>155</v>
      </c>
      <c r="H720" s="49" t="s">
        <v>155</v>
      </c>
      <c r="I720" s="132"/>
      <c r="J720" s="139"/>
    </row>
    <row r="721" hidden="1">
      <c r="A721" s="110" t="s">
        <v>3868</v>
      </c>
      <c r="B721" s="49" t="s">
        <v>3937</v>
      </c>
      <c r="C721" s="49" t="s">
        <v>139</v>
      </c>
      <c r="D721" s="50">
        <v>42934.0</v>
      </c>
      <c r="E721" s="50">
        <v>42934.0</v>
      </c>
      <c r="F721" s="49" t="s">
        <v>176</v>
      </c>
      <c r="G721" s="49" t="s">
        <v>2926</v>
      </c>
      <c r="H721" s="49" t="s">
        <v>283</v>
      </c>
      <c r="I721" s="132"/>
      <c r="J721" s="53"/>
    </row>
    <row r="722" hidden="1">
      <c r="A722" s="110" t="s">
        <v>3875</v>
      </c>
      <c r="B722" s="49" t="s">
        <v>3942</v>
      </c>
      <c r="C722" s="49" t="s">
        <v>139</v>
      </c>
      <c r="D722" s="50">
        <v>42933.0</v>
      </c>
      <c r="E722" s="133"/>
      <c r="F722" s="49" t="s">
        <v>160</v>
      </c>
      <c r="G722" s="49" t="s">
        <v>233</v>
      </c>
      <c r="H722" s="49" t="s">
        <v>233</v>
      </c>
      <c r="I722" s="132"/>
      <c r="J722" s="133"/>
    </row>
    <row r="723" hidden="1">
      <c r="A723" s="110" t="s">
        <v>3881</v>
      </c>
      <c r="B723" s="49" t="s">
        <v>3944</v>
      </c>
      <c r="C723" s="49" t="s">
        <v>139</v>
      </c>
      <c r="D723" s="50">
        <v>42933.0</v>
      </c>
      <c r="E723" s="53"/>
      <c r="F723" s="49" t="s">
        <v>160</v>
      </c>
      <c r="G723" s="49" t="s">
        <v>283</v>
      </c>
      <c r="H723" s="49" t="s">
        <v>140</v>
      </c>
      <c r="I723" s="132"/>
      <c r="J723" s="53"/>
    </row>
    <row r="724" hidden="1">
      <c r="A724" s="110" t="s">
        <v>3883</v>
      </c>
      <c r="B724" s="49" t="s">
        <v>3948</v>
      </c>
      <c r="C724" s="49" t="s">
        <v>139</v>
      </c>
      <c r="D724" s="50">
        <v>42930.0</v>
      </c>
      <c r="E724" s="133"/>
      <c r="F724" s="49" t="s">
        <v>176</v>
      </c>
      <c r="G724" s="49" t="s">
        <v>170</v>
      </c>
      <c r="H724" s="49" t="s">
        <v>170</v>
      </c>
      <c r="I724" s="132"/>
      <c r="J724" s="53"/>
    </row>
    <row r="725" hidden="1">
      <c r="A725" s="110" t="s">
        <v>3891</v>
      </c>
      <c r="B725" s="49" t="s">
        <v>3951</v>
      </c>
      <c r="C725" s="49" t="s">
        <v>139</v>
      </c>
      <c r="D725" s="50">
        <v>42930.0</v>
      </c>
      <c r="E725" s="50">
        <v>42898.0</v>
      </c>
      <c r="F725" s="49" t="s">
        <v>160</v>
      </c>
      <c r="G725" s="49" t="s">
        <v>141</v>
      </c>
      <c r="H725" s="49" t="s">
        <v>141</v>
      </c>
      <c r="I725" s="132"/>
      <c r="J725" s="53"/>
    </row>
    <row r="726" hidden="1">
      <c r="A726" s="110" t="s">
        <v>3896</v>
      </c>
      <c r="B726" s="49" t="s">
        <v>3956</v>
      </c>
      <c r="C726" s="49" t="s">
        <v>139</v>
      </c>
      <c r="D726" s="50">
        <v>42930.0</v>
      </c>
      <c r="E726" s="50">
        <v>42887.0</v>
      </c>
      <c r="F726" s="49" t="s">
        <v>160</v>
      </c>
      <c r="G726" s="49" t="s">
        <v>141</v>
      </c>
      <c r="H726" s="49" t="s">
        <v>141</v>
      </c>
      <c r="I726" s="132"/>
      <c r="J726" s="53"/>
    </row>
    <row r="727" hidden="1">
      <c r="A727" s="110" t="s">
        <v>3902</v>
      </c>
      <c r="B727" s="49" t="s">
        <v>3960</v>
      </c>
      <c r="C727" s="49" t="s">
        <v>139</v>
      </c>
      <c r="D727" s="50">
        <v>42930.0</v>
      </c>
      <c r="E727" s="50">
        <v>42887.0</v>
      </c>
      <c r="F727" s="49" t="s">
        <v>160</v>
      </c>
      <c r="G727" s="49" t="s">
        <v>141</v>
      </c>
      <c r="H727" s="49" t="s">
        <v>141</v>
      </c>
      <c r="I727" s="132"/>
      <c r="J727" s="53"/>
    </row>
    <row r="728" hidden="1">
      <c r="A728" s="110" t="s">
        <v>3907</v>
      </c>
      <c r="B728" s="49" t="s">
        <v>3964</v>
      </c>
      <c r="C728" s="49" t="s">
        <v>139</v>
      </c>
      <c r="D728" s="50">
        <v>42930.0</v>
      </c>
      <c r="E728" s="50">
        <v>42898.0</v>
      </c>
      <c r="F728" s="49" t="s">
        <v>160</v>
      </c>
      <c r="G728" s="49" t="s">
        <v>141</v>
      </c>
      <c r="H728" s="49" t="s">
        <v>141</v>
      </c>
      <c r="I728" s="132"/>
      <c r="J728" s="53"/>
    </row>
    <row r="729" hidden="1">
      <c r="A729" s="110" t="s">
        <v>3911</v>
      </c>
      <c r="B729" s="49" t="s">
        <v>3968</v>
      </c>
      <c r="C729" s="49" t="s">
        <v>139</v>
      </c>
      <c r="D729" s="50">
        <v>42930.0</v>
      </c>
      <c r="E729" s="50">
        <v>42887.0</v>
      </c>
      <c r="F729" s="49" t="s">
        <v>160</v>
      </c>
      <c r="G729" s="49" t="s">
        <v>141</v>
      </c>
      <c r="H729" s="49" t="s">
        <v>141</v>
      </c>
      <c r="I729" s="132"/>
      <c r="J729" s="53"/>
    </row>
    <row r="730" hidden="1">
      <c r="A730" s="110" t="s">
        <v>3919</v>
      </c>
      <c r="B730" s="49" t="s">
        <v>3973</v>
      </c>
      <c r="C730" s="49" t="s">
        <v>139</v>
      </c>
      <c r="D730" s="50">
        <v>42930.0</v>
      </c>
      <c r="E730" s="50">
        <v>42887.0</v>
      </c>
      <c r="F730" s="49" t="s">
        <v>160</v>
      </c>
      <c r="G730" s="49" t="s">
        <v>141</v>
      </c>
      <c r="H730" s="49" t="s">
        <v>141</v>
      </c>
      <c r="I730" s="132"/>
      <c r="J730" s="53"/>
    </row>
    <row r="731" hidden="1">
      <c r="A731" s="110" t="s">
        <v>3924</v>
      </c>
      <c r="B731" s="49" t="s">
        <v>3973</v>
      </c>
      <c r="C731" s="49" t="s">
        <v>139</v>
      </c>
      <c r="D731" s="50">
        <v>42930.0</v>
      </c>
      <c r="E731" s="50">
        <v>42887.0</v>
      </c>
      <c r="F731" s="49" t="s">
        <v>160</v>
      </c>
      <c r="G731" s="49" t="s">
        <v>141</v>
      </c>
      <c r="H731" s="49" t="s">
        <v>141</v>
      </c>
      <c r="I731" s="132"/>
      <c r="J731" s="139"/>
    </row>
    <row r="732" hidden="1">
      <c r="A732" s="110" t="s">
        <v>3930</v>
      </c>
      <c r="B732" s="49" t="s">
        <v>3981</v>
      </c>
      <c r="C732" s="49" t="s">
        <v>139</v>
      </c>
      <c r="D732" s="50">
        <v>42930.0</v>
      </c>
      <c r="E732" s="50">
        <v>42867.0</v>
      </c>
      <c r="F732" s="49" t="s">
        <v>160</v>
      </c>
      <c r="G732" s="49" t="s">
        <v>141</v>
      </c>
      <c r="H732" s="49" t="s">
        <v>141</v>
      </c>
      <c r="I732" s="132"/>
      <c r="J732" s="53"/>
    </row>
    <row r="733" hidden="1">
      <c r="A733" s="110" t="s">
        <v>3935</v>
      </c>
      <c r="B733" s="49" t="s">
        <v>3986</v>
      </c>
      <c r="C733" s="49" t="s">
        <v>139</v>
      </c>
      <c r="D733" s="50">
        <v>42930.0</v>
      </c>
      <c r="E733" s="50">
        <v>42961.0</v>
      </c>
      <c r="F733" s="49" t="s">
        <v>160</v>
      </c>
      <c r="G733" s="49" t="s">
        <v>141</v>
      </c>
      <c r="H733" s="49" t="s">
        <v>141</v>
      </c>
      <c r="I733" s="142">
        <v>42961.0</v>
      </c>
      <c r="J733" s="53"/>
    </row>
    <row r="734" hidden="1">
      <c r="A734" s="110" t="s">
        <v>3941</v>
      </c>
      <c r="B734" s="49" t="s">
        <v>3989</v>
      </c>
      <c r="C734" s="49" t="s">
        <v>139</v>
      </c>
      <c r="D734" s="50">
        <v>42930.0</v>
      </c>
      <c r="E734" s="50">
        <v>42961.0</v>
      </c>
      <c r="F734" s="49" t="s">
        <v>160</v>
      </c>
      <c r="G734" s="49" t="s">
        <v>148</v>
      </c>
      <c r="H734" s="49" t="s">
        <v>141</v>
      </c>
      <c r="I734" s="142">
        <v>42961.0</v>
      </c>
      <c r="J734" s="133"/>
    </row>
    <row r="735" hidden="1">
      <c r="A735" s="110" t="s">
        <v>3947</v>
      </c>
      <c r="B735" s="49" t="s">
        <v>3992</v>
      </c>
      <c r="C735" s="49" t="s">
        <v>139</v>
      </c>
      <c r="D735" s="50">
        <v>42930.0</v>
      </c>
      <c r="E735" s="133"/>
      <c r="F735" s="49" t="s">
        <v>176</v>
      </c>
      <c r="G735" s="49" t="s">
        <v>283</v>
      </c>
      <c r="H735" s="49" t="s">
        <v>177</v>
      </c>
      <c r="I735" s="132"/>
      <c r="J735" s="139"/>
    </row>
    <row r="736" hidden="1">
      <c r="A736" s="110" t="s">
        <v>3953</v>
      </c>
      <c r="B736" s="49" t="s">
        <v>3995</v>
      </c>
      <c r="C736" s="49" t="s">
        <v>139</v>
      </c>
      <c r="D736" s="50">
        <v>42930.0</v>
      </c>
      <c r="E736" s="133"/>
      <c r="F736" s="49" t="s">
        <v>176</v>
      </c>
      <c r="G736" s="49" t="s">
        <v>170</v>
      </c>
      <c r="H736" s="49" t="s">
        <v>177</v>
      </c>
      <c r="I736" s="132"/>
      <c r="J736" s="139"/>
    </row>
    <row r="737" hidden="1">
      <c r="A737" s="110" t="s">
        <v>3959</v>
      </c>
      <c r="B737" s="49" t="s">
        <v>3998</v>
      </c>
      <c r="C737" s="49" t="s">
        <v>139</v>
      </c>
      <c r="D737" s="50">
        <v>42930.0</v>
      </c>
      <c r="E737" s="50">
        <v>42941.0</v>
      </c>
      <c r="F737" s="49" t="s">
        <v>160</v>
      </c>
      <c r="G737" s="49" t="s">
        <v>2926</v>
      </c>
      <c r="H737" s="49" t="s">
        <v>141</v>
      </c>
      <c r="I737" s="132"/>
      <c r="J737" s="53"/>
    </row>
    <row r="738" hidden="1">
      <c r="A738" s="110" t="s">
        <v>3963</v>
      </c>
      <c r="B738" s="49" t="s">
        <v>4003</v>
      </c>
      <c r="C738" s="49" t="s">
        <v>139</v>
      </c>
      <c r="D738" s="50">
        <v>42930.0</v>
      </c>
      <c r="E738" s="50">
        <v>42941.0</v>
      </c>
      <c r="F738" s="49" t="s">
        <v>160</v>
      </c>
      <c r="G738" s="49" t="s">
        <v>2926</v>
      </c>
      <c r="H738" s="49" t="s">
        <v>141</v>
      </c>
      <c r="I738" s="132"/>
      <c r="J738" s="53"/>
    </row>
    <row r="739" hidden="1">
      <c r="A739" s="110" t="s">
        <v>3967</v>
      </c>
      <c r="B739" s="49" t="s">
        <v>4006</v>
      </c>
      <c r="C739" s="49" t="s">
        <v>139</v>
      </c>
      <c r="D739" s="50">
        <v>42930.0</v>
      </c>
      <c r="E739" s="53"/>
      <c r="F739" s="49" t="s">
        <v>176</v>
      </c>
      <c r="G739" s="49" t="s">
        <v>2926</v>
      </c>
      <c r="H739" s="49" t="s">
        <v>177</v>
      </c>
      <c r="I739" s="132"/>
      <c r="J739" s="53"/>
    </row>
    <row r="740" hidden="1">
      <c r="A740" s="110" t="s">
        <v>3974</v>
      </c>
      <c r="B740" s="49" t="s">
        <v>4009</v>
      </c>
      <c r="C740" s="49" t="s">
        <v>139</v>
      </c>
      <c r="D740" s="50">
        <v>42930.0</v>
      </c>
      <c r="E740" s="133"/>
      <c r="F740" s="139"/>
      <c r="G740" s="49" t="s">
        <v>140</v>
      </c>
      <c r="H740" s="49" t="s">
        <v>177</v>
      </c>
      <c r="I740" s="132"/>
      <c r="J740" s="53"/>
    </row>
    <row r="741" hidden="1">
      <c r="A741" s="110" t="s">
        <v>3977</v>
      </c>
      <c r="B741" s="49" t="s">
        <v>4010</v>
      </c>
      <c r="C741" s="49" t="s">
        <v>139</v>
      </c>
      <c r="D741" s="50">
        <v>42930.0</v>
      </c>
      <c r="E741" s="53"/>
      <c r="F741" s="53"/>
      <c r="G741" s="49" t="s">
        <v>153</v>
      </c>
      <c r="H741" s="49" t="s">
        <v>140</v>
      </c>
      <c r="I741" s="132"/>
      <c r="J741" s="53"/>
    </row>
    <row r="742" hidden="1">
      <c r="A742" s="110" t="s">
        <v>3980</v>
      </c>
      <c r="B742" s="49" t="s">
        <v>4013</v>
      </c>
      <c r="C742" s="49" t="s">
        <v>139</v>
      </c>
      <c r="D742" s="50">
        <v>42930.0</v>
      </c>
      <c r="E742" s="133"/>
      <c r="F742" s="53"/>
      <c r="G742" s="49" t="s">
        <v>140</v>
      </c>
      <c r="H742" s="49" t="s">
        <v>141</v>
      </c>
      <c r="I742" s="132"/>
      <c r="J742" s="53"/>
    </row>
    <row r="743" hidden="1">
      <c r="A743" s="110" t="s">
        <v>3993</v>
      </c>
      <c r="B743" s="49" t="s">
        <v>4017</v>
      </c>
      <c r="C743" s="49" t="s">
        <v>139</v>
      </c>
      <c r="D743" s="50">
        <v>42929.0</v>
      </c>
      <c r="E743" s="50">
        <v>42964.0</v>
      </c>
      <c r="F743" s="49" t="s">
        <v>147</v>
      </c>
      <c r="G743" s="49" t="s">
        <v>148</v>
      </c>
      <c r="H743" s="49" t="s">
        <v>283</v>
      </c>
      <c r="I743" s="142">
        <v>42961.0</v>
      </c>
      <c r="J743" s="49" t="s">
        <v>4020</v>
      </c>
    </row>
    <row r="744" hidden="1">
      <c r="A744" s="110" t="s">
        <v>4023</v>
      </c>
      <c r="B744" s="49" t="s">
        <v>4024</v>
      </c>
      <c r="C744" s="49" t="s">
        <v>139</v>
      </c>
      <c r="D744" s="50">
        <v>42928.0</v>
      </c>
      <c r="E744" s="133"/>
      <c r="F744" s="49" t="s">
        <v>147</v>
      </c>
      <c r="G744" s="49" t="s">
        <v>2926</v>
      </c>
      <c r="H744" s="49" t="s">
        <v>726</v>
      </c>
      <c r="I744" s="132"/>
      <c r="J744" s="53"/>
    </row>
    <row r="745" hidden="1">
      <c r="A745" s="110" t="s">
        <v>4014</v>
      </c>
      <c r="B745" s="49" t="s">
        <v>4027</v>
      </c>
      <c r="C745" s="49" t="s">
        <v>139</v>
      </c>
      <c r="D745" s="50">
        <v>42927.0</v>
      </c>
      <c r="E745" s="50">
        <v>42802.0</v>
      </c>
      <c r="F745" s="49" t="s">
        <v>274</v>
      </c>
      <c r="G745" s="49" t="s">
        <v>155</v>
      </c>
      <c r="H745" s="49" t="s">
        <v>155</v>
      </c>
      <c r="I745" s="132"/>
      <c r="J745" s="133"/>
    </row>
    <row r="746" hidden="1">
      <c r="A746" s="110" t="s">
        <v>4022</v>
      </c>
      <c r="B746" s="49" t="s">
        <v>4032</v>
      </c>
      <c r="C746" s="49" t="s">
        <v>139</v>
      </c>
      <c r="D746" s="50">
        <v>42927.0</v>
      </c>
      <c r="E746" s="133"/>
      <c r="F746" s="49" t="s">
        <v>160</v>
      </c>
      <c r="G746" s="49" t="s">
        <v>140</v>
      </c>
      <c r="H746" s="49" t="s">
        <v>140</v>
      </c>
      <c r="I746" s="132"/>
      <c r="J746" s="133"/>
    </row>
    <row r="747" hidden="1">
      <c r="A747" s="110" t="s">
        <v>4030</v>
      </c>
      <c r="B747" s="49" t="s">
        <v>4035</v>
      </c>
      <c r="C747" s="49" t="s">
        <v>139</v>
      </c>
      <c r="D747" s="50">
        <v>42927.0</v>
      </c>
      <c r="E747" s="50">
        <v>45387.0</v>
      </c>
      <c r="F747" s="49" t="s">
        <v>723</v>
      </c>
      <c r="G747" s="49" t="s">
        <v>2926</v>
      </c>
      <c r="H747" s="49" t="s">
        <v>122</v>
      </c>
      <c r="I747" s="132"/>
      <c r="J747" s="53"/>
    </row>
    <row r="748" hidden="1">
      <c r="A748" s="110" t="s">
        <v>4036</v>
      </c>
      <c r="B748" s="49" t="s">
        <v>4038</v>
      </c>
      <c r="C748" s="49" t="s">
        <v>139</v>
      </c>
      <c r="D748" s="50">
        <v>42927.0</v>
      </c>
      <c r="E748" s="50">
        <v>42927.0</v>
      </c>
      <c r="F748" s="49" t="s">
        <v>176</v>
      </c>
      <c r="G748" s="49" t="s">
        <v>2926</v>
      </c>
      <c r="H748" s="49" t="s">
        <v>283</v>
      </c>
      <c r="I748" s="132"/>
      <c r="J748" s="53"/>
    </row>
    <row r="749" hidden="1">
      <c r="A749" s="110" t="s">
        <v>4041</v>
      </c>
      <c r="B749" s="49" t="s">
        <v>4044</v>
      </c>
      <c r="C749" s="49" t="s">
        <v>139</v>
      </c>
      <c r="D749" s="50">
        <v>42926.0</v>
      </c>
      <c r="E749" s="50">
        <v>42972.0</v>
      </c>
      <c r="F749" s="49" t="s">
        <v>176</v>
      </c>
      <c r="G749" s="49" t="s">
        <v>1587</v>
      </c>
      <c r="H749" s="49" t="s">
        <v>155</v>
      </c>
      <c r="I749" s="150">
        <v>43024.0</v>
      </c>
      <c r="J749" s="146">
        <v>43028.0</v>
      </c>
    </row>
    <row r="750" hidden="1">
      <c r="A750" s="110" t="s">
        <v>4042</v>
      </c>
      <c r="B750" s="49" t="s">
        <v>4047</v>
      </c>
      <c r="C750" s="49" t="s">
        <v>139</v>
      </c>
      <c r="D750" s="50">
        <v>42926.0</v>
      </c>
      <c r="E750" s="53"/>
      <c r="F750" s="49" t="s">
        <v>176</v>
      </c>
      <c r="G750" s="49" t="s">
        <v>140</v>
      </c>
      <c r="H750" s="49" t="s">
        <v>283</v>
      </c>
      <c r="I750" s="132"/>
      <c r="J750" s="53"/>
    </row>
    <row r="751" hidden="1">
      <c r="A751" s="110" t="s">
        <v>4049</v>
      </c>
      <c r="B751" s="49" t="s">
        <v>4052</v>
      </c>
      <c r="C751" s="49" t="s">
        <v>139</v>
      </c>
      <c r="D751" s="50">
        <v>42926.0</v>
      </c>
      <c r="E751" s="133"/>
      <c r="F751" s="49" t="s">
        <v>160</v>
      </c>
      <c r="G751" s="49" t="s">
        <v>155</v>
      </c>
      <c r="H751" s="49" t="s">
        <v>155</v>
      </c>
      <c r="I751" s="132"/>
      <c r="J751" s="53"/>
    </row>
    <row r="752" hidden="1">
      <c r="A752" s="110" t="s">
        <v>4054</v>
      </c>
      <c r="B752" s="49" t="s">
        <v>4056</v>
      </c>
      <c r="C752" s="49" t="s">
        <v>139</v>
      </c>
      <c r="D752" s="50">
        <v>42926.0</v>
      </c>
      <c r="E752" s="133"/>
      <c r="F752" s="49" t="s">
        <v>723</v>
      </c>
      <c r="G752" s="49" t="s">
        <v>140</v>
      </c>
      <c r="H752" s="49" t="s">
        <v>140</v>
      </c>
      <c r="I752" s="132"/>
      <c r="J752" s="53"/>
    </row>
    <row r="753" hidden="1">
      <c r="A753" s="110" t="s">
        <v>4060</v>
      </c>
      <c r="B753" s="49" t="s">
        <v>4061</v>
      </c>
      <c r="C753" s="49" t="s">
        <v>139</v>
      </c>
      <c r="D753" s="50">
        <v>42924.0</v>
      </c>
      <c r="E753" s="53"/>
      <c r="F753" s="49" t="s">
        <v>160</v>
      </c>
      <c r="G753" s="49" t="s">
        <v>140</v>
      </c>
      <c r="H753" s="49" t="s">
        <v>233</v>
      </c>
      <c r="I753" s="132"/>
      <c r="J753" s="53"/>
    </row>
    <row r="754" hidden="1">
      <c r="A754" s="110" t="s">
        <v>4064</v>
      </c>
      <c r="B754" s="49" t="s">
        <v>4065</v>
      </c>
      <c r="C754" s="49" t="s">
        <v>139</v>
      </c>
      <c r="D754" s="50">
        <v>42924.0</v>
      </c>
      <c r="E754" s="53"/>
      <c r="F754" s="49" t="s">
        <v>160</v>
      </c>
      <c r="G754" s="49" t="s">
        <v>140</v>
      </c>
      <c r="H754" s="49" t="s">
        <v>140</v>
      </c>
      <c r="I754" s="132"/>
      <c r="J754" s="53"/>
    </row>
    <row r="755" hidden="1">
      <c r="A755" s="110" t="s">
        <v>4068</v>
      </c>
      <c r="B755" s="49" t="s">
        <v>4069</v>
      </c>
      <c r="C755" s="49" t="s">
        <v>139</v>
      </c>
      <c r="D755" s="50">
        <v>42924.0</v>
      </c>
      <c r="E755" s="133"/>
      <c r="F755" s="49" t="s">
        <v>176</v>
      </c>
      <c r="G755" s="49" t="s">
        <v>140</v>
      </c>
      <c r="H755" s="49" t="s">
        <v>140</v>
      </c>
      <c r="I755" s="132"/>
      <c r="J755" s="53"/>
    </row>
    <row r="756" hidden="1">
      <c r="A756" s="110" t="s">
        <v>4071</v>
      </c>
      <c r="B756" s="49" t="s">
        <v>4073</v>
      </c>
      <c r="C756" s="49" t="s">
        <v>139</v>
      </c>
      <c r="D756" s="50">
        <v>42923.0</v>
      </c>
      <c r="E756" s="50">
        <v>42926.0</v>
      </c>
      <c r="F756" s="49" t="s">
        <v>160</v>
      </c>
      <c r="G756" s="49" t="s">
        <v>141</v>
      </c>
      <c r="H756" s="49" t="s">
        <v>244</v>
      </c>
      <c r="I756" s="132"/>
      <c r="J756" s="53"/>
    </row>
    <row r="757" hidden="1">
      <c r="A757" s="110" t="s">
        <v>4075</v>
      </c>
      <c r="B757" s="49" t="s">
        <v>4077</v>
      </c>
      <c r="C757" s="49" t="s">
        <v>139</v>
      </c>
      <c r="D757" s="50">
        <v>42923.0</v>
      </c>
      <c r="E757" s="133"/>
      <c r="F757" s="49" t="s">
        <v>274</v>
      </c>
      <c r="G757" s="49" t="s">
        <v>140</v>
      </c>
      <c r="H757" s="49" t="s">
        <v>140</v>
      </c>
      <c r="I757" s="132"/>
      <c r="J757" s="53"/>
    </row>
    <row r="758" hidden="1">
      <c r="A758" s="110" t="s">
        <v>4079</v>
      </c>
      <c r="B758" s="49" t="s">
        <v>4081</v>
      </c>
      <c r="C758" s="49" t="s">
        <v>139</v>
      </c>
      <c r="D758" s="50">
        <v>42923.0</v>
      </c>
      <c r="E758" s="50">
        <v>42923.0</v>
      </c>
      <c r="F758" s="49" t="s">
        <v>160</v>
      </c>
      <c r="G758" s="49" t="s">
        <v>453</v>
      </c>
      <c r="H758" s="49" t="s">
        <v>244</v>
      </c>
      <c r="I758" s="132"/>
      <c r="J758" s="53"/>
    </row>
    <row r="759" hidden="1">
      <c r="A759" s="110" t="s">
        <v>4082</v>
      </c>
      <c r="B759" s="49" t="s">
        <v>4085</v>
      </c>
      <c r="C759" s="49" t="s">
        <v>139</v>
      </c>
      <c r="D759" s="50">
        <v>42923.0</v>
      </c>
      <c r="E759" s="50">
        <v>42923.0</v>
      </c>
      <c r="F759" s="49" t="s">
        <v>160</v>
      </c>
      <c r="G759" s="49" t="s">
        <v>1367</v>
      </c>
      <c r="H759" s="49" t="s">
        <v>244</v>
      </c>
      <c r="I759" s="132"/>
      <c r="J759" s="139"/>
    </row>
    <row r="760" hidden="1">
      <c r="A760" s="110" t="s">
        <v>4086</v>
      </c>
      <c r="B760" s="49" t="s">
        <v>4087</v>
      </c>
      <c r="C760" s="49" t="s">
        <v>139</v>
      </c>
      <c r="D760" s="50">
        <v>42923.0</v>
      </c>
      <c r="E760" s="50">
        <v>42927.0</v>
      </c>
      <c r="F760" s="49" t="s">
        <v>160</v>
      </c>
      <c r="G760" s="49" t="s">
        <v>2926</v>
      </c>
      <c r="H760" s="49" t="s">
        <v>244</v>
      </c>
      <c r="I760" s="132"/>
      <c r="J760" s="53"/>
    </row>
    <row r="761" hidden="1">
      <c r="A761" s="110" t="s">
        <v>4090</v>
      </c>
      <c r="B761" s="49" t="s">
        <v>4091</v>
      </c>
      <c r="C761" s="49" t="s">
        <v>139</v>
      </c>
      <c r="D761" s="50">
        <v>42923.0</v>
      </c>
      <c r="E761" s="50">
        <v>42929.0</v>
      </c>
      <c r="F761" s="49" t="s">
        <v>160</v>
      </c>
      <c r="G761" s="49" t="s">
        <v>2926</v>
      </c>
      <c r="H761" s="49" t="s">
        <v>244</v>
      </c>
      <c r="I761" s="132"/>
      <c r="J761" s="53"/>
    </row>
    <row r="762" hidden="1">
      <c r="A762" s="110" t="s">
        <v>4094</v>
      </c>
      <c r="B762" s="49" t="s">
        <v>4096</v>
      </c>
      <c r="C762" s="49" t="s">
        <v>139</v>
      </c>
      <c r="D762" s="50">
        <v>42922.0</v>
      </c>
      <c r="E762" s="53"/>
      <c r="F762" s="49" t="s">
        <v>160</v>
      </c>
      <c r="G762" s="49" t="s">
        <v>141</v>
      </c>
      <c r="H762" s="49" t="s">
        <v>141</v>
      </c>
      <c r="I762" s="132"/>
      <c r="J762" s="139"/>
    </row>
    <row r="763" hidden="1">
      <c r="A763" s="110" t="s">
        <v>4099</v>
      </c>
      <c r="B763" s="49" t="s">
        <v>4100</v>
      </c>
      <c r="C763" s="49" t="s">
        <v>139</v>
      </c>
      <c r="D763" s="50">
        <v>42922.0</v>
      </c>
      <c r="E763" s="133"/>
      <c r="F763" s="49" t="s">
        <v>274</v>
      </c>
      <c r="G763" s="49" t="s">
        <v>283</v>
      </c>
      <c r="H763" s="49" t="s">
        <v>153</v>
      </c>
      <c r="I763" s="132"/>
      <c r="J763" s="139"/>
    </row>
    <row r="764" hidden="1">
      <c r="A764" s="110" t="s">
        <v>4103</v>
      </c>
      <c r="B764" s="49" t="s">
        <v>4104</v>
      </c>
      <c r="C764" s="49" t="s">
        <v>139</v>
      </c>
      <c r="D764" s="50">
        <v>42922.0</v>
      </c>
      <c r="E764" s="50">
        <v>42892.0</v>
      </c>
      <c r="F764" s="49" t="s">
        <v>160</v>
      </c>
      <c r="G764" s="49" t="s">
        <v>141</v>
      </c>
      <c r="H764" s="49" t="s">
        <v>141</v>
      </c>
      <c r="I764" s="132"/>
      <c r="J764" s="133"/>
    </row>
    <row r="765" hidden="1">
      <c r="A765" s="110" t="s">
        <v>4107</v>
      </c>
      <c r="B765" s="49" t="s">
        <v>4108</v>
      </c>
      <c r="C765" s="49" t="s">
        <v>139</v>
      </c>
      <c r="D765" s="50">
        <v>42922.0</v>
      </c>
      <c r="E765" s="50">
        <v>42892.0</v>
      </c>
      <c r="F765" s="49" t="s">
        <v>160</v>
      </c>
      <c r="G765" s="49" t="s">
        <v>141</v>
      </c>
      <c r="H765" s="49" t="s">
        <v>141</v>
      </c>
      <c r="I765" s="132"/>
      <c r="J765" s="53"/>
    </row>
    <row r="766" hidden="1">
      <c r="A766" s="110" t="s">
        <v>4111</v>
      </c>
      <c r="B766" s="49" t="s">
        <v>4113</v>
      </c>
      <c r="C766" s="49" t="s">
        <v>139</v>
      </c>
      <c r="D766" s="50">
        <v>42922.0</v>
      </c>
      <c r="E766" s="50">
        <v>42892.0</v>
      </c>
      <c r="F766" s="49" t="s">
        <v>160</v>
      </c>
      <c r="G766" s="49" t="s">
        <v>453</v>
      </c>
      <c r="H766" s="49" t="s">
        <v>141</v>
      </c>
      <c r="I766" s="132"/>
      <c r="J766" s="133"/>
    </row>
    <row r="767" hidden="1">
      <c r="A767" s="110" t="s">
        <v>4116</v>
      </c>
      <c r="B767" s="49" t="s">
        <v>4117</v>
      </c>
      <c r="C767" s="49" t="s">
        <v>139</v>
      </c>
      <c r="D767" s="50">
        <v>42922.0</v>
      </c>
      <c r="E767" s="50">
        <v>42864.0</v>
      </c>
      <c r="F767" s="49" t="s">
        <v>160</v>
      </c>
      <c r="G767" s="49" t="s">
        <v>453</v>
      </c>
      <c r="H767" s="49" t="s">
        <v>141</v>
      </c>
      <c r="I767" s="132"/>
      <c r="J767" s="53"/>
    </row>
    <row r="768" hidden="1">
      <c r="A768" s="110" t="s">
        <v>4120</v>
      </c>
      <c r="B768" s="49" t="s">
        <v>4121</v>
      </c>
      <c r="C768" s="49" t="s">
        <v>139</v>
      </c>
      <c r="D768" s="50">
        <v>42922.0</v>
      </c>
      <c r="E768" s="50">
        <v>42864.0</v>
      </c>
      <c r="F768" s="49" t="s">
        <v>160</v>
      </c>
      <c r="G768" s="49" t="s">
        <v>148</v>
      </c>
      <c r="H768" s="49" t="s">
        <v>141</v>
      </c>
      <c r="I768" s="132"/>
      <c r="J768" s="53"/>
    </row>
    <row r="769" hidden="1">
      <c r="A769" s="110" t="s">
        <v>4124</v>
      </c>
      <c r="B769" s="49" t="s">
        <v>4125</v>
      </c>
      <c r="C769" s="49" t="s">
        <v>139</v>
      </c>
      <c r="D769" s="50">
        <v>42922.0</v>
      </c>
      <c r="E769" s="133"/>
      <c r="F769" s="49" t="s">
        <v>160</v>
      </c>
      <c r="G769" s="49" t="s">
        <v>1587</v>
      </c>
      <c r="H769" s="49" t="s">
        <v>283</v>
      </c>
      <c r="I769" s="132"/>
      <c r="J769" s="133"/>
    </row>
    <row r="770" hidden="1">
      <c r="A770" s="110" t="s">
        <v>4128</v>
      </c>
      <c r="B770" s="49" t="s">
        <v>4129</v>
      </c>
      <c r="C770" s="49" t="s">
        <v>139</v>
      </c>
      <c r="D770" s="50">
        <v>42922.0</v>
      </c>
      <c r="E770" s="50">
        <v>42892.0</v>
      </c>
      <c r="F770" s="49" t="s">
        <v>160</v>
      </c>
      <c r="G770" s="49" t="s">
        <v>141</v>
      </c>
      <c r="H770" s="49" t="s">
        <v>141</v>
      </c>
      <c r="I770" s="132"/>
      <c r="J770" s="133"/>
    </row>
    <row r="771" hidden="1">
      <c r="A771" s="110" t="s">
        <v>4132</v>
      </c>
      <c r="B771" s="49" t="s">
        <v>4133</v>
      </c>
      <c r="C771" s="49" t="s">
        <v>139</v>
      </c>
      <c r="D771" s="50">
        <v>42922.0</v>
      </c>
      <c r="E771" s="50">
        <v>42892.0</v>
      </c>
      <c r="F771" s="49" t="s">
        <v>160</v>
      </c>
      <c r="G771" s="49" t="s">
        <v>453</v>
      </c>
      <c r="H771" s="49" t="s">
        <v>141</v>
      </c>
      <c r="I771" s="132"/>
      <c r="J771" s="53"/>
    </row>
    <row r="772" hidden="1">
      <c r="A772" s="110" t="s">
        <v>4136</v>
      </c>
      <c r="B772" s="49" t="s">
        <v>4138</v>
      </c>
      <c r="C772" s="49" t="s">
        <v>139</v>
      </c>
      <c r="D772" s="50">
        <v>42922.0</v>
      </c>
      <c r="E772" s="50">
        <v>42898.0</v>
      </c>
      <c r="F772" s="49" t="s">
        <v>160</v>
      </c>
      <c r="G772" s="49" t="s">
        <v>141</v>
      </c>
      <c r="H772" s="49" t="s">
        <v>141</v>
      </c>
      <c r="I772" s="132"/>
      <c r="J772" s="133"/>
    </row>
    <row r="773" hidden="1">
      <c r="A773" s="110" t="s">
        <v>4141</v>
      </c>
      <c r="B773" s="49" t="s">
        <v>4143</v>
      </c>
      <c r="C773" s="49" t="s">
        <v>139</v>
      </c>
      <c r="D773" s="50">
        <v>42922.0</v>
      </c>
      <c r="E773" s="50">
        <v>42887.0</v>
      </c>
      <c r="F773" s="49" t="s">
        <v>160</v>
      </c>
      <c r="G773" s="49" t="s">
        <v>453</v>
      </c>
      <c r="H773" s="49" t="s">
        <v>141</v>
      </c>
      <c r="I773" s="132"/>
      <c r="J773" s="133"/>
    </row>
    <row r="774" hidden="1">
      <c r="A774" s="110" t="s">
        <v>4145</v>
      </c>
      <c r="B774" s="49" t="s">
        <v>4147</v>
      </c>
      <c r="C774" s="49" t="s">
        <v>139</v>
      </c>
      <c r="D774" s="50">
        <v>42922.0</v>
      </c>
      <c r="E774" s="50">
        <v>42887.0</v>
      </c>
      <c r="F774" s="49" t="s">
        <v>160</v>
      </c>
      <c r="G774" s="49" t="s">
        <v>141</v>
      </c>
      <c r="H774" s="49" t="s">
        <v>141</v>
      </c>
      <c r="I774" s="132"/>
      <c r="J774" s="53"/>
    </row>
    <row r="775" hidden="1">
      <c r="A775" s="110" t="s">
        <v>4149</v>
      </c>
      <c r="B775" s="49" t="s">
        <v>4151</v>
      </c>
      <c r="C775" s="49" t="s">
        <v>139</v>
      </c>
      <c r="D775" s="50">
        <v>42922.0</v>
      </c>
      <c r="E775" s="50">
        <v>42867.0</v>
      </c>
      <c r="F775" s="49" t="s">
        <v>160</v>
      </c>
      <c r="G775" s="49" t="s">
        <v>141</v>
      </c>
      <c r="H775" s="49" t="s">
        <v>141</v>
      </c>
      <c r="I775" s="132"/>
      <c r="J775" s="53"/>
    </row>
    <row r="776" hidden="1">
      <c r="A776" s="110" t="s">
        <v>4152</v>
      </c>
      <c r="B776" s="49" t="s">
        <v>4155</v>
      </c>
      <c r="C776" s="49" t="s">
        <v>139</v>
      </c>
      <c r="D776" s="50">
        <v>42922.0</v>
      </c>
      <c r="E776" s="50">
        <v>42881.0</v>
      </c>
      <c r="F776" s="49" t="s">
        <v>160</v>
      </c>
      <c r="G776" s="49" t="s">
        <v>453</v>
      </c>
      <c r="H776" s="49" t="s">
        <v>141</v>
      </c>
      <c r="I776" s="132"/>
      <c r="J776" s="53"/>
    </row>
    <row r="777" hidden="1">
      <c r="A777" s="110" t="s">
        <v>4156</v>
      </c>
      <c r="B777" s="49" t="s">
        <v>4159</v>
      </c>
      <c r="C777" s="49" t="s">
        <v>139</v>
      </c>
      <c r="D777" s="50">
        <v>42922.0</v>
      </c>
      <c r="E777" s="50">
        <v>42881.0</v>
      </c>
      <c r="F777" s="49" t="s">
        <v>160</v>
      </c>
      <c r="G777" s="49" t="s">
        <v>141</v>
      </c>
      <c r="H777" s="49" t="s">
        <v>141</v>
      </c>
      <c r="I777" s="132"/>
      <c r="J777" s="53"/>
    </row>
    <row r="778" hidden="1">
      <c r="A778" s="110" t="s">
        <v>4161</v>
      </c>
      <c r="B778" s="49" t="s">
        <v>4162</v>
      </c>
      <c r="C778" s="49" t="s">
        <v>139</v>
      </c>
      <c r="D778" s="50">
        <v>42922.0</v>
      </c>
      <c r="E778" s="50">
        <v>42881.0</v>
      </c>
      <c r="F778" s="49" t="s">
        <v>160</v>
      </c>
      <c r="G778" s="49" t="s">
        <v>141</v>
      </c>
      <c r="H778" s="49" t="s">
        <v>141</v>
      </c>
      <c r="I778" s="132"/>
      <c r="J778" s="133"/>
    </row>
    <row r="779" hidden="1">
      <c r="A779" s="110" t="s">
        <v>4166</v>
      </c>
      <c r="B779" s="49" t="s">
        <v>4168</v>
      </c>
      <c r="C779" s="49" t="s">
        <v>139</v>
      </c>
      <c r="D779" s="50">
        <v>42922.0</v>
      </c>
      <c r="E779" s="50">
        <v>42870.0</v>
      </c>
      <c r="F779" s="49" t="s">
        <v>160</v>
      </c>
      <c r="G779" s="49" t="s">
        <v>141</v>
      </c>
      <c r="H779" s="49" t="s">
        <v>141</v>
      </c>
      <c r="I779" s="132"/>
      <c r="J779" s="53"/>
    </row>
    <row r="780" hidden="1">
      <c r="A780" s="110" t="s">
        <v>4171</v>
      </c>
      <c r="B780" s="49" t="s">
        <v>4172</v>
      </c>
      <c r="C780" s="49" t="s">
        <v>139</v>
      </c>
      <c r="D780" s="50">
        <v>42922.0</v>
      </c>
      <c r="E780" s="53"/>
      <c r="F780" s="49" t="s">
        <v>160</v>
      </c>
      <c r="G780" s="49" t="s">
        <v>141</v>
      </c>
      <c r="H780" s="49" t="s">
        <v>141</v>
      </c>
      <c r="I780" s="132"/>
      <c r="J780" s="53"/>
    </row>
    <row r="781" hidden="1">
      <c r="A781" s="110" t="s">
        <v>4175</v>
      </c>
      <c r="B781" s="49" t="s">
        <v>4176</v>
      </c>
      <c r="C781" s="49" t="s">
        <v>139</v>
      </c>
      <c r="D781" s="50">
        <v>42922.0</v>
      </c>
      <c r="E781" s="133"/>
      <c r="F781" s="49" t="s">
        <v>160</v>
      </c>
      <c r="G781" s="49" t="s">
        <v>141</v>
      </c>
      <c r="H781" s="49" t="s">
        <v>283</v>
      </c>
      <c r="I781" s="132"/>
      <c r="J781" s="53"/>
    </row>
    <row r="782" hidden="1">
      <c r="A782" s="110" t="s">
        <v>4179</v>
      </c>
      <c r="B782" s="49" t="s">
        <v>4180</v>
      </c>
      <c r="C782" s="49" t="s">
        <v>139</v>
      </c>
      <c r="D782" s="50">
        <v>42922.0</v>
      </c>
      <c r="E782" s="50" t="s">
        <v>92</v>
      </c>
      <c r="F782" s="49" t="s">
        <v>160</v>
      </c>
      <c r="G782" s="49" t="s">
        <v>453</v>
      </c>
      <c r="H782" s="49" t="s">
        <v>141</v>
      </c>
      <c r="I782" s="132"/>
      <c r="J782" s="53"/>
    </row>
    <row r="783" hidden="1">
      <c r="A783" s="110" t="s">
        <v>4183</v>
      </c>
      <c r="B783" s="49" t="s">
        <v>4184</v>
      </c>
      <c r="C783" s="49" t="s">
        <v>139</v>
      </c>
      <c r="D783" s="50">
        <v>42922.0</v>
      </c>
      <c r="E783" s="50" t="s">
        <v>92</v>
      </c>
      <c r="F783" s="49" t="s">
        <v>160</v>
      </c>
      <c r="G783" s="49" t="s">
        <v>141</v>
      </c>
      <c r="H783" s="49" t="s">
        <v>141</v>
      </c>
      <c r="I783" s="132"/>
      <c r="J783" s="53"/>
    </row>
    <row r="784" hidden="1">
      <c r="A784" s="110" t="s">
        <v>4187</v>
      </c>
      <c r="B784" s="49" t="s">
        <v>4188</v>
      </c>
      <c r="C784" s="49" t="s">
        <v>139</v>
      </c>
      <c r="D784" s="50">
        <v>42922.0</v>
      </c>
      <c r="E784" s="50">
        <v>42892.0</v>
      </c>
      <c r="F784" s="49" t="s">
        <v>160</v>
      </c>
      <c r="G784" s="49" t="s">
        <v>141</v>
      </c>
      <c r="H784" s="49" t="s">
        <v>141</v>
      </c>
      <c r="I784" s="132"/>
      <c r="J784" s="139"/>
    </row>
    <row r="785" hidden="1">
      <c r="A785" s="110" t="s">
        <v>4191</v>
      </c>
      <c r="B785" s="49" t="s">
        <v>4192</v>
      </c>
      <c r="C785" s="49" t="s">
        <v>139</v>
      </c>
      <c r="D785" s="50">
        <v>42922.0</v>
      </c>
      <c r="E785" s="50" t="s">
        <v>92</v>
      </c>
      <c r="F785" s="49" t="s">
        <v>160</v>
      </c>
      <c r="G785" s="49" t="s">
        <v>141</v>
      </c>
      <c r="H785" s="49" t="s">
        <v>216</v>
      </c>
      <c r="I785" s="132"/>
      <c r="J785" s="53"/>
    </row>
    <row r="786" hidden="1">
      <c r="A786" s="110" t="s">
        <v>4195</v>
      </c>
      <c r="B786" s="49" t="s">
        <v>4196</v>
      </c>
      <c r="C786" s="49" t="s">
        <v>139</v>
      </c>
      <c r="D786" s="50">
        <v>42922.0</v>
      </c>
      <c r="E786" s="50">
        <v>42887.0</v>
      </c>
      <c r="F786" s="49" t="s">
        <v>160</v>
      </c>
      <c r="G786" s="49" t="s">
        <v>453</v>
      </c>
      <c r="H786" s="49" t="s">
        <v>141</v>
      </c>
      <c r="I786" s="132"/>
      <c r="J786" s="133"/>
    </row>
    <row r="787" hidden="1">
      <c r="A787" s="110" t="s">
        <v>4199</v>
      </c>
      <c r="B787" s="49" t="s">
        <v>4200</v>
      </c>
      <c r="C787" s="49" t="s">
        <v>139</v>
      </c>
      <c r="D787" s="50">
        <v>42922.0</v>
      </c>
      <c r="E787" s="50">
        <v>42887.0</v>
      </c>
      <c r="F787" s="49" t="s">
        <v>160</v>
      </c>
      <c r="G787" s="49" t="s">
        <v>141</v>
      </c>
      <c r="H787" s="49" t="s">
        <v>141</v>
      </c>
      <c r="I787" s="132"/>
      <c r="J787" s="53"/>
    </row>
    <row r="788" hidden="1">
      <c r="A788" s="110" t="s">
        <v>4201</v>
      </c>
      <c r="B788" s="49" t="s">
        <v>4200</v>
      </c>
      <c r="C788" s="49" t="s">
        <v>139</v>
      </c>
      <c r="D788" s="50">
        <v>42922.0</v>
      </c>
      <c r="E788" s="50">
        <v>42887.0</v>
      </c>
      <c r="F788" s="49" t="s">
        <v>160</v>
      </c>
      <c r="G788" s="49" t="s">
        <v>141</v>
      </c>
      <c r="H788" s="49" t="s">
        <v>141</v>
      </c>
      <c r="I788" s="132"/>
      <c r="J788" s="53"/>
    </row>
    <row r="789" hidden="1">
      <c r="A789" s="110" t="s">
        <v>4204</v>
      </c>
      <c r="B789" s="49" t="s">
        <v>4207</v>
      </c>
      <c r="C789" s="49" t="s">
        <v>139</v>
      </c>
      <c r="D789" s="50">
        <v>42922.0</v>
      </c>
      <c r="E789" s="50">
        <v>42865.0</v>
      </c>
      <c r="F789" s="49" t="s">
        <v>160</v>
      </c>
      <c r="G789" s="49" t="s">
        <v>141</v>
      </c>
      <c r="H789" s="49" t="s">
        <v>141</v>
      </c>
      <c r="I789" s="132"/>
      <c r="J789" s="53"/>
    </row>
    <row r="790" hidden="1">
      <c r="A790" s="110" t="s">
        <v>4208</v>
      </c>
      <c r="B790" s="49" t="s">
        <v>4211</v>
      </c>
      <c r="C790" s="49" t="s">
        <v>139</v>
      </c>
      <c r="D790" s="50">
        <v>42922.0</v>
      </c>
      <c r="E790" s="50">
        <v>42936.0</v>
      </c>
      <c r="F790" s="49" t="s">
        <v>160</v>
      </c>
      <c r="G790" s="49" t="s">
        <v>283</v>
      </c>
      <c r="H790" s="49" t="s">
        <v>141</v>
      </c>
      <c r="I790" s="132"/>
      <c r="J790" s="53"/>
    </row>
    <row r="791" hidden="1">
      <c r="A791" s="110" t="s">
        <v>4212</v>
      </c>
      <c r="B791" s="49" t="s">
        <v>4214</v>
      </c>
      <c r="C791" s="49" t="s">
        <v>139</v>
      </c>
      <c r="D791" s="50">
        <v>42922.0</v>
      </c>
      <c r="E791" s="50">
        <v>42937.0</v>
      </c>
      <c r="F791" s="49" t="s">
        <v>160</v>
      </c>
      <c r="G791" s="49" t="s">
        <v>283</v>
      </c>
      <c r="H791" s="49" t="s">
        <v>141</v>
      </c>
      <c r="I791" s="132"/>
      <c r="J791" s="53"/>
    </row>
    <row r="792" hidden="1">
      <c r="A792" s="110" t="s">
        <v>4216</v>
      </c>
      <c r="B792" s="49" t="s">
        <v>4217</v>
      </c>
      <c r="C792" s="49" t="s">
        <v>139</v>
      </c>
      <c r="D792" s="50">
        <v>42922.0</v>
      </c>
      <c r="E792" s="50">
        <v>42934.0</v>
      </c>
      <c r="F792" s="49" t="s">
        <v>160</v>
      </c>
      <c r="G792" s="49" t="s">
        <v>2926</v>
      </c>
      <c r="H792" s="49" t="s">
        <v>141</v>
      </c>
      <c r="I792" s="132"/>
      <c r="J792" s="53"/>
    </row>
    <row r="793" hidden="1">
      <c r="A793" s="110" t="s">
        <v>4220</v>
      </c>
      <c r="B793" s="49" t="s">
        <v>4221</v>
      </c>
      <c r="C793" s="49" t="s">
        <v>139</v>
      </c>
      <c r="D793" s="50">
        <v>42922.0</v>
      </c>
      <c r="E793" s="50">
        <v>42933.0</v>
      </c>
      <c r="F793" s="49" t="s">
        <v>160</v>
      </c>
      <c r="G793" s="49" t="s">
        <v>2926</v>
      </c>
      <c r="H793" s="49" t="s">
        <v>141</v>
      </c>
      <c r="I793" s="132"/>
      <c r="J793" s="53"/>
    </row>
    <row r="794" hidden="1">
      <c r="A794" s="110" t="s">
        <v>4224</v>
      </c>
      <c r="B794" s="49" t="s">
        <v>4225</v>
      </c>
      <c r="C794" s="49" t="s">
        <v>139</v>
      </c>
      <c r="D794" s="50">
        <v>42922.0</v>
      </c>
      <c r="E794" s="50">
        <v>42930.0</v>
      </c>
      <c r="F794" s="49" t="s">
        <v>160</v>
      </c>
      <c r="G794" s="49" t="s">
        <v>2926</v>
      </c>
      <c r="H794" s="49" t="s">
        <v>141</v>
      </c>
      <c r="I794" s="132"/>
      <c r="J794" s="53"/>
    </row>
    <row r="795" hidden="1">
      <c r="A795" s="110" t="s">
        <v>4228</v>
      </c>
      <c r="B795" s="49" t="s">
        <v>4229</v>
      </c>
      <c r="C795" s="49" t="s">
        <v>139</v>
      </c>
      <c r="D795" s="50">
        <v>42922.0</v>
      </c>
      <c r="E795" s="50">
        <v>42929.0</v>
      </c>
      <c r="F795" s="49" t="s">
        <v>160</v>
      </c>
      <c r="G795" s="49" t="s">
        <v>2926</v>
      </c>
      <c r="H795" s="49" t="s">
        <v>141</v>
      </c>
      <c r="I795" s="132"/>
      <c r="J795" s="53"/>
    </row>
    <row r="796" hidden="1">
      <c r="A796" s="110" t="s">
        <v>4232</v>
      </c>
      <c r="B796" s="49" t="s">
        <v>4233</v>
      </c>
      <c r="C796" s="49" t="s">
        <v>139</v>
      </c>
      <c r="D796" s="50">
        <v>42922.0</v>
      </c>
      <c r="E796" s="50">
        <v>42928.0</v>
      </c>
      <c r="F796" s="49" t="s">
        <v>160</v>
      </c>
      <c r="G796" s="49" t="s">
        <v>2926</v>
      </c>
      <c r="H796" s="49" t="s">
        <v>141</v>
      </c>
      <c r="I796" s="132"/>
      <c r="J796" s="53"/>
    </row>
    <row r="797" hidden="1">
      <c r="A797" s="110" t="s">
        <v>4236</v>
      </c>
      <c r="B797" s="49" t="s">
        <v>4237</v>
      </c>
      <c r="C797" s="49" t="s">
        <v>139</v>
      </c>
      <c r="D797" s="50">
        <v>42922.0</v>
      </c>
      <c r="E797" s="50">
        <v>42930.0</v>
      </c>
      <c r="F797" s="49" t="s">
        <v>160</v>
      </c>
      <c r="G797" s="49" t="s">
        <v>2926</v>
      </c>
      <c r="H797" s="49" t="s">
        <v>141</v>
      </c>
      <c r="I797" s="132"/>
      <c r="J797" s="53"/>
    </row>
    <row r="798" hidden="1">
      <c r="A798" s="110" t="s">
        <v>4240</v>
      </c>
      <c r="B798" s="49" t="s">
        <v>4241</v>
      </c>
      <c r="C798" s="49" t="s">
        <v>139</v>
      </c>
      <c r="D798" s="50">
        <v>42922.0</v>
      </c>
      <c r="E798" s="50">
        <v>42937.0</v>
      </c>
      <c r="F798" s="49" t="s">
        <v>160</v>
      </c>
      <c r="G798" s="49" t="s">
        <v>2926</v>
      </c>
      <c r="H798" s="49" t="s">
        <v>141</v>
      </c>
      <c r="I798" s="132"/>
      <c r="J798" s="53"/>
    </row>
    <row r="799" hidden="1">
      <c r="A799" s="110" t="s">
        <v>4244</v>
      </c>
      <c r="B799" s="49" t="s">
        <v>4245</v>
      </c>
      <c r="C799" s="49" t="s">
        <v>139</v>
      </c>
      <c r="D799" s="50">
        <v>42922.0</v>
      </c>
      <c r="E799" s="50">
        <v>42933.0</v>
      </c>
      <c r="F799" s="49" t="s">
        <v>160</v>
      </c>
      <c r="G799" s="49" t="s">
        <v>2926</v>
      </c>
      <c r="H799" s="49" t="s">
        <v>141</v>
      </c>
      <c r="I799" s="132"/>
      <c r="J799" s="53"/>
    </row>
    <row r="800" hidden="1">
      <c r="A800" s="110" t="s">
        <v>4248</v>
      </c>
      <c r="B800" s="49" t="s">
        <v>4250</v>
      </c>
      <c r="C800" s="49" t="s">
        <v>139</v>
      </c>
      <c r="D800" s="50">
        <v>42922.0</v>
      </c>
      <c r="E800" s="50">
        <v>42929.0</v>
      </c>
      <c r="F800" s="49" t="s">
        <v>160</v>
      </c>
      <c r="G800" s="49" t="s">
        <v>2926</v>
      </c>
      <c r="H800" s="49" t="s">
        <v>141</v>
      </c>
      <c r="I800" s="132"/>
      <c r="J800" s="53"/>
    </row>
    <row r="801" hidden="1">
      <c r="A801" s="110" t="s">
        <v>4253</v>
      </c>
      <c r="B801" s="49" t="s">
        <v>4254</v>
      </c>
      <c r="C801" s="49" t="s">
        <v>139</v>
      </c>
      <c r="D801" s="50">
        <v>42921.0</v>
      </c>
      <c r="E801" s="50">
        <v>42892.0</v>
      </c>
      <c r="F801" s="49" t="s">
        <v>160</v>
      </c>
      <c r="G801" s="49" t="s">
        <v>141</v>
      </c>
      <c r="H801" s="49" t="s">
        <v>141</v>
      </c>
      <c r="I801" s="132"/>
      <c r="J801" s="53"/>
    </row>
    <row r="802" hidden="1">
      <c r="A802" s="110" t="s">
        <v>4258</v>
      </c>
      <c r="B802" s="49" t="s">
        <v>4259</v>
      </c>
      <c r="C802" s="49" t="s">
        <v>139</v>
      </c>
      <c r="D802" s="50">
        <v>42921.0</v>
      </c>
      <c r="E802" s="50">
        <v>42892.0</v>
      </c>
      <c r="F802" s="49" t="s">
        <v>160</v>
      </c>
      <c r="G802" s="49" t="s">
        <v>141</v>
      </c>
      <c r="H802" s="49" t="s">
        <v>141</v>
      </c>
      <c r="I802" s="132"/>
      <c r="J802" s="53"/>
    </row>
    <row r="803" hidden="1">
      <c r="A803" s="110" t="s">
        <v>4261</v>
      </c>
      <c r="B803" s="49" t="s">
        <v>4263</v>
      </c>
      <c r="C803" s="49" t="s">
        <v>139</v>
      </c>
      <c r="D803" s="50">
        <v>42921.0</v>
      </c>
      <c r="E803" s="50">
        <v>42892.0</v>
      </c>
      <c r="F803" s="49" t="s">
        <v>160</v>
      </c>
      <c r="G803" s="49" t="s">
        <v>453</v>
      </c>
      <c r="H803" s="49" t="s">
        <v>141</v>
      </c>
      <c r="I803" s="132"/>
      <c r="J803" s="133"/>
    </row>
    <row r="804" hidden="1">
      <c r="A804" s="110" t="s">
        <v>4264</v>
      </c>
      <c r="B804" s="49" t="s">
        <v>4266</v>
      </c>
      <c r="C804" s="49" t="s">
        <v>139</v>
      </c>
      <c r="D804" s="50">
        <v>42921.0</v>
      </c>
      <c r="E804" s="50">
        <v>42881.0</v>
      </c>
      <c r="F804" s="49" t="s">
        <v>160</v>
      </c>
      <c r="G804" s="49" t="s">
        <v>453</v>
      </c>
      <c r="H804" s="49" t="s">
        <v>141</v>
      </c>
      <c r="I804" s="132"/>
      <c r="J804" s="53"/>
    </row>
    <row r="805" hidden="1">
      <c r="A805" s="110" t="s">
        <v>4268</v>
      </c>
      <c r="B805" s="49" t="s">
        <v>4269</v>
      </c>
      <c r="C805" s="49" t="s">
        <v>139</v>
      </c>
      <c r="D805" s="50">
        <v>42921.0</v>
      </c>
      <c r="E805" s="50">
        <v>42881.0</v>
      </c>
      <c r="F805" s="49" t="s">
        <v>160</v>
      </c>
      <c r="G805" s="49" t="s">
        <v>141</v>
      </c>
      <c r="H805" s="49" t="s">
        <v>141</v>
      </c>
      <c r="I805" s="132"/>
      <c r="J805" s="53"/>
    </row>
    <row r="806" hidden="1">
      <c r="A806" s="110" t="s">
        <v>4273</v>
      </c>
      <c r="B806" s="49" t="s">
        <v>4274</v>
      </c>
      <c r="C806" s="49" t="s">
        <v>139</v>
      </c>
      <c r="D806" s="50">
        <v>42921.0</v>
      </c>
      <c r="E806" s="50">
        <v>42881.0</v>
      </c>
      <c r="F806" s="49" t="s">
        <v>160</v>
      </c>
      <c r="G806" s="49" t="s">
        <v>141</v>
      </c>
      <c r="H806" s="49" t="s">
        <v>141</v>
      </c>
      <c r="I806" s="132"/>
      <c r="J806" s="53"/>
    </row>
    <row r="807" hidden="1">
      <c r="A807" s="110" t="s">
        <v>4277</v>
      </c>
      <c r="B807" s="49" t="s">
        <v>4278</v>
      </c>
      <c r="C807" s="49" t="s">
        <v>139</v>
      </c>
      <c r="D807" s="50">
        <v>42921.0</v>
      </c>
      <c r="E807" s="50">
        <v>42899.0</v>
      </c>
      <c r="F807" s="49" t="s">
        <v>160</v>
      </c>
      <c r="G807" s="49" t="s">
        <v>2926</v>
      </c>
      <c r="H807" s="49" t="s">
        <v>141</v>
      </c>
      <c r="I807" s="132"/>
      <c r="J807" s="53"/>
    </row>
    <row r="808" hidden="1">
      <c r="A808" s="110" t="s">
        <v>4281</v>
      </c>
      <c r="B808" s="49" t="s">
        <v>4282</v>
      </c>
      <c r="C808" s="49" t="s">
        <v>139</v>
      </c>
      <c r="D808" s="50">
        <v>42921.0</v>
      </c>
      <c r="E808" s="50">
        <v>42927.0</v>
      </c>
      <c r="F808" s="49" t="s">
        <v>160</v>
      </c>
      <c r="G808" s="49" t="s">
        <v>2926</v>
      </c>
      <c r="H808" s="49" t="s">
        <v>141</v>
      </c>
      <c r="I808" s="132"/>
      <c r="J808" s="53"/>
    </row>
    <row r="809" hidden="1">
      <c r="A809" s="110" t="s">
        <v>4285</v>
      </c>
      <c r="B809" s="49" t="s">
        <v>4286</v>
      </c>
      <c r="C809" s="49" t="s">
        <v>139</v>
      </c>
      <c r="D809" s="50">
        <v>42921.0</v>
      </c>
      <c r="E809" s="50">
        <v>42926.0</v>
      </c>
      <c r="F809" s="49" t="s">
        <v>160</v>
      </c>
      <c r="G809" s="49" t="s">
        <v>2926</v>
      </c>
      <c r="H809" s="49" t="s">
        <v>141</v>
      </c>
      <c r="I809" s="132"/>
      <c r="J809" s="53"/>
    </row>
    <row r="810" hidden="1">
      <c r="A810" s="110" t="s">
        <v>4289</v>
      </c>
      <c r="B810" s="49" t="s">
        <v>4291</v>
      </c>
      <c r="C810" s="49" t="s">
        <v>139</v>
      </c>
      <c r="D810" s="50">
        <v>42921.0</v>
      </c>
      <c r="E810" s="50">
        <v>42917.0</v>
      </c>
      <c r="F810" s="49" t="s">
        <v>160</v>
      </c>
      <c r="G810" s="49" t="s">
        <v>2926</v>
      </c>
      <c r="H810" s="49" t="s">
        <v>141</v>
      </c>
      <c r="I810" s="132"/>
      <c r="J810" s="53"/>
    </row>
    <row r="811" hidden="1">
      <c r="A811" s="110" t="s">
        <v>4292</v>
      </c>
      <c r="B811" s="49" t="s">
        <v>4293</v>
      </c>
      <c r="C811" s="49" t="s">
        <v>139</v>
      </c>
      <c r="D811" s="50">
        <v>42919.0</v>
      </c>
      <c r="E811" s="50">
        <v>42881.0</v>
      </c>
      <c r="F811" s="49" t="s">
        <v>160</v>
      </c>
      <c r="G811" s="49" t="s">
        <v>453</v>
      </c>
      <c r="H811" s="49" t="s">
        <v>141</v>
      </c>
      <c r="I811" s="132"/>
      <c r="J811" s="139"/>
    </row>
    <row r="812" hidden="1">
      <c r="A812" s="110" t="s">
        <v>4294</v>
      </c>
      <c r="B812" s="49" t="s">
        <v>4298</v>
      </c>
      <c r="C812" s="49" t="s">
        <v>139</v>
      </c>
      <c r="D812" s="50">
        <v>42919.0</v>
      </c>
      <c r="E812" s="50">
        <v>42881.0</v>
      </c>
      <c r="F812" s="49" t="s">
        <v>160</v>
      </c>
      <c r="G812" s="49" t="s">
        <v>141</v>
      </c>
      <c r="H812" s="49" t="s">
        <v>141</v>
      </c>
      <c r="I812" s="132"/>
      <c r="J812" s="53"/>
    </row>
    <row r="813" hidden="1">
      <c r="A813" s="110" t="s">
        <v>4299</v>
      </c>
      <c r="B813" s="49" t="s">
        <v>4300</v>
      </c>
      <c r="C813" s="49" t="s">
        <v>139</v>
      </c>
      <c r="D813" s="50">
        <v>42919.0</v>
      </c>
      <c r="E813" s="50">
        <v>42881.0</v>
      </c>
      <c r="F813" s="49" t="s">
        <v>160</v>
      </c>
      <c r="G813" s="49" t="s">
        <v>148</v>
      </c>
      <c r="H813" s="49" t="s">
        <v>141</v>
      </c>
      <c r="I813" s="132"/>
      <c r="J813" s="53"/>
    </row>
    <row r="814" hidden="1">
      <c r="A814" s="110" t="s">
        <v>4303</v>
      </c>
      <c r="B814" s="49" t="s">
        <v>4304</v>
      </c>
      <c r="C814" s="49" t="s">
        <v>139</v>
      </c>
      <c r="D814" s="50">
        <v>42919.0</v>
      </c>
      <c r="E814" s="50">
        <v>42881.0</v>
      </c>
      <c r="F814" s="49" t="s">
        <v>160</v>
      </c>
      <c r="G814" s="49" t="s">
        <v>283</v>
      </c>
      <c r="H814" s="49" t="s">
        <v>141</v>
      </c>
      <c r="I814" s="132"/>
      <c r="J814" s="53"/>
    </row>
    <row r="815" hidden="1">
      <c r="A815" s="110" t="s">
        <v>4307</v>
      </c>
      <c r="B815" s="49" t="s">
        <v>4308</v>
      </c>
      <c r="C815" s="49" t="s">
        <v>139</v>
      </c>
      <c r="D815" s="50">
        <v>42919.0</v>
      </c>
      <c r="E815" s="50">
        <v>42892.0</v>
      </c>
      <c r="F815" s="49" t="s">
        <v>160</v>
      </c>
      <c r="G815" s="49" t="s">
        <v>141</v>
      </c>
      <c r="H815" s="49" t="s">
        <v>141</v>
      </c>
      <c r="I815" s="132"/>
      <c r="J815" s="53"/>
    </row>
    <row r="816" hidden="1">
      <c r="A816" s="110" t="s">
        <v>4311</v>
      </c>
      <c r="B816" s="49" t="s">
        <v>4312</v>
      </c>
      <c r="C816" s="49" t="s">
        <v>139</v>
      </c>
      <c r="D816" s="50">
        <v>42919.0</v>
      </c>
      <c r="E816" s="50">
        <v>42892.0</v>
      </c>
      <c r="F816" s="49" t="s">
        <v>160</v>
      </c>
      <c r="G816" s="49" t="s">
        <v>148</v>
      </c>
      <c r="H816" s="49" t="s">
        <v>141</v>
      </c>
      <c r="I816" s="132"/>
      <c r="J816" s="53"/>
    </row>
    <row r="817" hidden="1">
      <c r="A817" s="110" t="s">
        <v>4313</v>
      </c>
      <c r="B817" s="49" t="s">
        <v>4316</v>
      </c>
      <c r="C817" s="49" t="s">
        <v>139</v>
      </c>
      <c r="D817" s="50">
        <v>42919.0</v>
      </c>
      <c r="E817" s="50">
        <v>42892.0</v>
      </c>
      <c r="F817" s="49" t="s">
        <v>160</v>
      </c>
      <c r="G817" s="49" t="s">
        <v>453</v>
      </c>
      <c r="H817" s="49" t="s">
        <v>141</v>
      </c>
      <c r="I817" s="132"/>
      <c r="J817" s="133"/>
    </row>
    <row r="818" hidden="1">
      <c r="A818" s="110" t="s">
        <v>4317</v>
      </c>
      <c r="B818" s="49" t="s">
        <v>4320</v>
      </c>
      <c r="C818" s="49" t="s">
        <v>139</v>
      </c>
      <c r="D818" s="50">
        <v>42919.0</v>
      </c>
      <c r="E818" s="50">
        <v>42899.0</v>
      </c>
      <c r="F818" s="49" t="s">
        <v>160</v>
      </c>
      <c r="G818" s="49" t="s">
        <v>153</v>
      </c>
      <c r="H818" s="49" t="s">
        <v>141</v>
      </c>
      <c r="I818" s="132"/>
      <c r="J818" s="139"/>
    </row>
    <row r="819" hidden="1">
      <c r="A819" s="110" t="s">
        <v>4321</v>
      </c>
      <c r="B819" s="49" t="s">
        <v>4324</v>
      </c>
      <c r="C819" s="49" t="s">
        <v>139</v>
      </c>
      <c r="D819" s="50">
        <v>42919.0</v>
      </c>
      <c r="E819" s="133"/>
      <c r="F819" s="49" t="s">
        <v>176</v>
      </c>
      <c r="G819" s="49" t="s">
        <v>337</v>
      </c>
      <c r="H819" s="49" t="s">
        <v>337</v>
      </c>
      <c r="I819" s="132"/>
      <c r="J819" s="133"/>
    </row>
    <row r="820" hidden="1">
      <c r="A820" s="110" t="s">
        <v>4325</v>
      </c>
      <c r="B820" s="49" t="s">
        <v>4326</v>
      </c>
      <c r="C820" s="49" t="s">
        <v>139</v>
      </c>
      <c r="D820" s="50">
        <v>42919.0</v>
      </c>
      <c r="E820" s="53"/>
      <c r="F820" s="139"/>
      <c r="G820" s="49" t="s">
        <v>148</v>
      </c>
      <c r="H820" s="49" t="s">
        <v>141</v>
      </c>
      <c r="I820" s="132"/>
      <c r="J820" s="53"/>
    </row>
    <row r="821" hidden="1">
      <c r="A821" s="110" t="s">
        <v>4329</v>
      </c>
      <c r="B821" s="49" t="s">
        <v>4330</v>
      </c>
      <c r="C821" s="49" t="s">
        <v>139</v>
      </c>
      <c r="D821" s="50">
        <v>42919.0</v>
      </c>
      <c r="E821" s="53"/>
      <c r="F821" s="53"/>
      <c r="G821" s="49" t="s">
        <v>148</v>
      </c>
      <c r="H821" s="49" t="s">
        <v>141</v>
      </c>
      <c r="I821" s="132"/>
      <c r="J821" s="53"/>
    </row>
    <row r="822" hidden="1">
      <c r="A822" s="110" t="s">
        <v>4331</v>
      </c>
      <c r="B822" s="49" t="s">
        <v>4334</v>
      </c>
      <c r="C822" s="49" t="s">
        <v>139</v>
      </c>
      <c r="D822" s="50">
        <v>42919.0</v>
      </c>
      <c r="E822" s="133"/>
      <c r="F822" s="139"/>
      <c r="G822" s="49" t="s">
        <v>148</v>
      </c>
      <c r="H822" s="49" t="s">
        <v>141</v>
      </c>
      <c r="I822" s="139"/>
      <c r="J822" s="133"/>
    </row>
    <row r="823" hidden="1">
      <c r="A823" s="110" t="s">
        <v>4335</v>
      </c>
      <c r="B823" s="49" t="s">
        <v>4336</v>
      </c>
      <c r="C823" s="49" t="s">
        <v>139</v>
      </c>
      <c r="D823" s="50">
        <v>42917.0</v>
      </c>
      <c r="E823" s="133"/>
      <c r="F823" s="49" t="s">
        <v>160</v>
      </c>
      <c r="G823" s="49" t="s">
        <v>140</v>
      </c>
      <c r="H823" s="49" t="s">
        <v>140</v>
      </c>
      <c r="I823" s="132"/>
      <c r="J823" s="139"/>
    </row>
    <row r="824" hidden="1">
      <c r="A824" s="110" t="s">
        <v>4338</v>
      </c>
      <c r="B824" s="49" t="s">
        <v>4339</v>
      </c>
      <c r="C824" s="49" t="s">
        <v>139</v>
      </c>
      <c r="D824" s="50">
        <v>42917.0</v>
      </c>
      <c r="E824" s="133"/>
      <c r="F824" s="49" t="s">
        <v>723</v>
      </c>
      <c r="G824" s="49" t="s">
        <v>140</v>
      </c>
      <c r="H824" s="49" t="s">
        <v>140</v>
      </c>
      <c r="I824" s="132"/>
      <c r="J824" s="53"/>
    </row>
    <row r="825" hidden="1">
      <c r="A825" s="110" t="s">
        <v>4342</v>
      </c>
      <c r="B825" s="49" t="s">
        <v>4343</v>
      </c>
      <c r="C825" s="49" t="s">
        <v>139</v>
      </c>
      <c r="D825" s="50">
        <v>42916.0</v>
      </c>
      <c r="E825" s="133"/>
      <c r="F825" s="49" t="s">
        <v>176</v>
      </c>
      <c r="G825" s="49" t="s">
        <v>283</v>
      </c>
      <c r="H825" s="49" t="s">
        <v>153</v>
      </c>
      <c r="I825" s="132"/>
      <c r="J825" s="139"/>
    </row>
    <row r="826" hidden="1">
      <c r="A826" s="110" t="s">
        <v>4346</v>
      </c>
      <c r="B826" s="49" t="s">
        <v>4347</v>
      </c>
      <c r="C826" s="49" t="s">
        <v>139</v>
      </c>
      <c r="D826" s="50">
        <v>42916.0</v>
      </c>
      <c r="E826" s="133"/>
      <c r="F826" s="49" t="s">
        <v>176</v>
      </c>
      <c r="G826" s="49" t="s">
        <v>283</v>
      </c>
      <c r="H826" s="49" t="s">
        <v>153</v>
      </c>
      <c r="I826" s="132"/>
      <c r="J826" s="139"/>
    </row>
    <row r="827" hidden="1">
      <c r="A827" s="110" t="s">
        <v>4350</v>
      </c>
      <c r="B827" s="49" t="s">
        <v>4351</v>
      </c>
      <c r="C827" s="49" t="s">
        <v>139</v>
      </c>
      <c r="D827" s="50">
        <v>42916.0</v>
      </c>
      <c r="E827" s="133"/>
      <c r="F827" s="49" t="s">
        <v>160</v>
      </c>
      <c r="G827" s="49" t="s">
        <v>283</v>
      </c>
      <c r="H827" s="49" t="s">
        <v>153</v>
      </c>
      <c r="I827" s="132"/>
      <c r="J827" s="139"/>
    </row>
    <row r="828" hidden="1">
      <c r="A828" s="110" t="s">
        <v>4354</v>
      </c>
      <c r="B828" s="49" t="s">
        <v>4291</v>
      </c>
      <c r="C828" s="49" t="s">
        <v>139</v>
      </c>
      <c r="D828" s="50">
        <v>42916.0</v>
      </c>
      <c r="E828" s="50">
        <v>42917.0</v>
      </c>
      <c r="F828" s="49" t="s">
        <v>160</v>
      </c>
      <c r="G828" s="49" t="s">
        <v>2926</v>
      </c>
      <c r="H828" s="49" t="s">
        <v>141</v>
      </c>
      <c r="I828" s="132"/>
      <c r="J828" s="53"/>
    </row>
    <row r="829" hidden="1">
      <c r="A829" s="110" t="s">
        <v>4357</v>
      </c>
      <c r="B829" s="49" t="s">
        <v>4282</v>
      </c>
      <c r="C829" s="49" t="s">
        <v>139</v>
      </c>
      <c r="D829" s="50">
        <v>42916.0</v>
      </c>
      <c r="E829" s="50">
        <v>42917.0</v>
      </c>
      <c r="F829" s="49" t="s">
        <v>160</v>
      </c>
      <c r="G829" s="49" t="s">
        <v>2926</v>
      </c>
      <c r="H829" s="49" t="s">
        <v>141</v>
      </c>
      <c r="I829" s="132"/>
      <c r="J829" s="53"/>
    </row>
    <row r="830" hidden="1">
      <c r="A830" s="110" t="s">
        <v>4360</v>
      </c>
      <c r="B830" s="49" t="s">
        <v>4361</v>
      </c>
      <c r="C830" s="49" t="s">
        <v>139</v>
      </c>
      <c r="D830" s="50">
        <v>42916.0</v>
      </c>
      <c r="E830" s="50">
        <v>42971.0</v>
      </c>
      <c r="F830" s="49" t="s">
        <v>4364</v>
      </c>
      <c r="G830" s="49" t="s">
        <v>140</v>
      </c>
      <c r="H830" s="49" t="s">
        <v>283</v>
      </c>
      <c r="I830" s="142">
        <v>42968.0</v>
      </c>
      <c r="J830" s="53"/>
    </row>
    <row r="831" hidden="1">
      <c r="A831" s="110" t="s">
        <v>4365</v>
      </c>
      <c r="B831" s="49" t="s">
        <v>4366</v>
      </c>
      <c r="C831" s="49" t="s">
        <v>139</v>
      </c>
      <c r="D831" s="50">
        <v>42915.0</v>
      </c>
      <c r="E831" s="133"/>
      <c r="F831" s="49" t="s">
        <v>4364</v>
      </c>
      <c r="G831" s="49" t="s">
        <v>140</v>
      </c>
      <c r="H831" s="49" t="s">
        <v>453</v>
      </c>
      <c r="I831" s="132"/>
      <c r="J831" s="53"/>
    </row>
    <row r="832" hidden="1">
      <c r="A832" s="110" t="s">
        <v>4369</v>
      </c>
      <c r="B832" s="49" t="s">
        <v>4370</v>
      </c>
      <c r="C832" s="49" t="s">
        <v>139</v>
      </c>
      <c r="D832" s="50">
        <v>42914.0</v>
      </c>
      <c r="E832" s="133"/>
      <c r="F832" s="49" t="s">
        <v>160</v>
      </c>
      <c r="G832" s="49" t="s">
        <v>141</v>
      </c>
      <c r="H832" s="49" t="s">
        <v>141</v>
      </c>
      <c r="I832" s="132"/>
      <c r="J832" s="133"/>
    </row>
    <row r="833" hidden="1">
      <c r="A833" s="110" t="s">
        <v>4373</v>
      </c>
      <c r="B833" s="49" t="s">
        <v>4375</v>
      </c>
      <c r="C833" s="49" t="s">
        <v>139</v>
      </c>
      <c r="D833" s="50">
        <v>42914.0</v>
      </c>
      <c r="E833" s="50">
        <v>42922.0</v>
      </c>
      <c r="F833" s="49" t="s">
        <v>160</v>
      </c>
      <c r="G833" s="49" t="s">
        <v>283</v>
      </c>
      <c r="H833" s="49" t="s">
        <v>141</v>
      </c>
      <c r="I833" s="132"/>
      <c r="J833" s="139"/>
    </row>
    <row r="834" hidden="1">
      <c r="A834" s="110" t="s">
        <v>4378</v>
      </c>
      <c r="B834" s="49" t="s">
        <v>4379</v>
      </c>
      <c r="C834" s="49" t="s">
        <v>139</v>
      </c>
      <c r="D834" s="50">
        <v>42914.0</v>
      </c>
      <c r="E834" s="50">
        <v>42923.0</v>
      </c>
      <c r="F834" s="49" t="s">
        <v>160</v>
      </c>
      <c r="G834" s="49" t="s">
        <v>140</v>
      </c>
      <c r="H834" s="49" t="s">
        <v>141</v>
      </c>
      <c r="I834" s="132"/>
      <c r="J834" s="139"/>
    </row>
    <row r="835" hidden="1">
      <c r="A835" s="110" t="s">
        <v>4382</v>
      </c>
      <c r="B835" s="49" t="s">
        <v>4383</v>
      </c>
      <c r="C835" s="49" t="s">
        <v>139</v>
      </c>
      <c r="D835" s="50">
        <v>42914.0</v>
      </c>
      <c r="E835" s="133"/>
      <c r="F835" s="49" t="s">
        <v>160</v>
      </c>
      <c r="G835" s="49" t="s">
        <v>141</v>
      </c>
      <c r="H835" s="49" t="s">
        <v>141</v>
      </c>
      <c r="I835" s="132"/>
      <c r="J835" s="139"/>
    </row>
    <row r="836" hidden="1">
      <c r="A836" s="110" t="s">
        <v>4386</v>
      </c>
      <c r="B836" s="49" t="s">
        <v>4387</v>
      </c>
      <c r="C836" s="49" t="s">
        <v>139</v>
      </c>
      <c r="D836" s="50">
        <v>42914.0</v>
      </c>
      <c r="E836" s="50">
        <v>42920.0</v>
      </c>
      <c r="F836" s="49" t="s">
        <v>160</v>
      </c>
      <c r="G836" s="49" t="s">
        <v>140</v>
      </c>
      <c r="H836" s="49" t="s">
        <v>141</v>
      </c>
      <c r="I836" s="132"/>
      <c r="J836" s="139"/>
    </row>
    <row r="837" hidden="1">
      <c r="A837" s="110" t="s">
        <v>4390</v>
      </c>
      <c r="B837" s="49" t="s">
        <v>4391</v>
      </c>
      <c r="C837" s="49" t="s">
        <v>139</v>
      </c>
      <c r="D837" s="50">
        <v>42914.0</v>
      </c>
      <c r="E837" s="50">
        <v>42870.0</v>
      </c>
      <c r="F837" s="49" t="s">
        <v>160</v>
      </c>
      <c r="G837" s="49" t="s">
        <v>141</v>
      </c>
      <c r="H837" s="49" t="s">
        <v>141</v>
      </c>
      <c r="I837" s="132"/>
      <c r="J837" s="139"/>
    </row>
    <row r="838" hidden="1">
      <c r="A838" s="110" t="s">
        <v>4394</v>
      </c>
      <c r="B838" s="49" t="s">
        <v>4395</v>
      </c>
      <c r="C838" s="49" t="s">
        <v>139</v>
      </c>
      <c r="D838" s="50">
        <v>42914.0</v>
      </c>
      <c r="E838" s="50">
        <v>42921.0</v>
      </c>
      <c r="F838" s="49" t="s">
        <v>160</v>
      </c>
      <c r="G838" s="49" t="s">
        <v>141</v>
      </c>
      <c r="H838" s="49" t="s">
        <v>141</v>
      </c>
      <c r="I838" s="132"/>
      <c r="J838" s="133"/>
    </row>
    <row r="839" hidden="1">
      <c r="A839" s="110" t="s">
        <v>4398</v>
      </c>
      <c r="B839" s="49" t="s">
        <v>4399</v>
      </c>
      <c r="C839" s="49" t="s">
        <v>139</v>
      </c>
      <c r="D839" s="50">
        <v>42914.0</v>
      </c>
      <c r="E839" s="133"/>
      <c r="F839" s="49" t="s">
        <v>176</v>
      </c>
      <c r="G839" s="49" t="s">
        <v>155</v>
      </c>
      <c r="H839" s="49" t="s">
        <v>155</v>
      </c>
      <c r="I839" s="132"/>
      <c r="J839" s="139"/>
    </row>
    <row r="840" hidden="1">
      <c r="A840" s="110" t="s">
        <v>4400</v>
      </c>
      <c r="B840" s="49" t="s">
        <v>4403</v>
      </c>
      <c r="C840" s="49" t="s">
        <v>139</v>
      </c>
      <c r="D840" s="50">
        <v>42913.0</v>
      </c>
      <c r="E840" s="50">
        <v>42850.0</v>
      </c>
      <c r="F840" s="49" t="s">
        <v>215</v>
      </c>
      <c r="G840" s="49" t="s">
        <v>216</v>
      </c>
      <c r="H840" s="49" t="s">
        <v>216</v>
      </c>
      <c r="I840" s="132"/>
      <c r="J840" s="53"/>
    </row>
    <row r="841" hidden="1">
      <c r="A841" s="110" t="s">
        <v>4404</v>
      </c>
      <c r="B841" s="49" t="s">
        <v>4406</v>
      </c>
      <c r="C841" s="49" t="s">
        <v>139</v>
      </c>
      <c r="D841" s="50">
        <v>42912.0</v>
      </c>
      <c r="E841" s="50">
        <v>42914.0</v>
      </c>
      <c r="F841" s="49" t="s">
        <v>176</v>
      </c>
      <c r="G841" s="49" t="s">
        <v>337</v>
      </c>
      <c r="H841" s="49" t="s">
        <v>337</v>
      </c>
      <c r="I841" s="132"/>
      <c r="J841" s="53"/>
    </row>
    <row r="842" hidden="1">
      <c r="A842" s="110" t="s">
        <v>4407</v>
      </c>
      <c r="B842" s="49" t="s">
        <v>4409</v>
      </c>
      <c r="C842" s="49" t="s">
        <v>139</v>
      </c>
      <c r="D842" s="50">
        <v>42912.0</v>
      </c>
      <c r="E842" s="133"/>
      <c r="F842" s="49" t="s">
        <v>160</v>
      </c>
      <c r="G842" s="49" t="s">
        <v>453</v>
      </c>
      <c r="H842" s="49" t="s">
        <v>141</v>
      </c>
      <c r="I842" s="132"/>
      <c r="J842" s="53"/>
    </row>
    <row r="843" hidden="1">
      <c r="A843" s="110" t="s">
        <v>4410</v>
      </c>
      <c r="B843" s="49" t="s">
        <v>4411</v>
      </c>
      <c r="C843" s="49" t="s">
        <v>139</v>
      </c>
      <c r="D843" s="50">
        <v>42912.0</v>
      </c>
      <c r="E843" s="133"/>
      <c r="F843" s="49" t="s">
        <v>160</v>
      </c>
      <c r="G843" s="49" t="s">
        <v>141</v>
      </c>
      <c r="H843" s="49" t="s">
        <v>141</v>
      </c>
      <c r="I843" s="132"/>
      <c r="J843" s="139"/>
    </row>
    <row r="844" hidden="1">
      <c r="A844" s="110" t="s">
        <v>4412</v>
      </c>
      <c r="B844" s="49" t="s">
        <v>4415</v>
      </c>
      <c r="C844" s="49" t="s">
        <v>139</v>
      </c>
      <c r="D844" s="50">
        <v>42912.0</v>
      </c>
      <c r="E844" s="133"/>
      <c r="F844" s="49" t="s">
        <v>160</v>
      </c>
      <c r="G844" s="49" t="s">
        <v>140</v>
      </c>
      <c r="H844" s="49" t="s">
        <v>141</v>
      </c>
      <c r="I844" s="132"/>
      <c r="J844" s="133"/>
    </row>
    <row r="845" hidden="1">
      <c r="A845" s="110" t="s">
        <v>4418</v>
      </c>
      <c r="B845" s="49" t="s">
        <v>4419</v>
      </c>
      <c r="C845" s="49" t="s">
        <v>139</v>
      </c>
      <c r="D845" s="50">
        <v>42912.0</v>
      </c>
      <c r="E845" s="133"/>
      <c r="F845" s="49" t="s">
        <v>160</v>
      </c>
      <c r="G845" s="49" t="s">
        <v>141</v>
      </c>
      <c r="H845" s="49" t="s">
        <v>141</v>
      </c>
      <c r="I845" s="132"/>
      <c r="J845" s="139"/>
    </row>
    <row r="846" hidden="1">
      <c r="A846" s="110" t="s">
        <v>4420</v>
      </c>
      <c r="B846" s="49" t="s">
        <v>4423</v>
      </c>
      <c r="C846" s="49" t="s">
        <v>139</v>
      </c>
      <c r="D846" s="50">
        <v>42912.0</v>
      </c>
      <c r="E846" s="133"/>
      <c r="F846" s="49" t="s">
        <v>176</v>
      </c>
      <c r="G846" s="49" t="s">
        <v>337</v>
      </c>
      <c r="H846" s="49" t="s">
        <v>153</v>
      </c>
      <c r="I846" s="132"/>
      <c r="J846" s="139"/>
    </row>
    <row r="847" hidden="1">
      <c r="A847" s="110" t="s">
        <v>4424</v>
      </c>
      <c r="B847" s="49" t="s">
        <v>4426</v>
      </c>
      <c r="C847" s="49" t="s">
        <v>139</v>
      </c>
      <c r="D847" s="50">
        <v>42912.0</v>
      </c>
      <c r="E847" s="50">
        <v>42912.0</v>
      </c>
      <c r="F847" s="49" t="s">
        <v>160</v>
      </c>
      <c r="G847" s="49" t="s">
        <v>2926</v>
      </c>
      <c r="H847" s="49" t="s">
        <v>141</v>
      </c>
      <c r="I847" s="132"/>
      <c r="J847" s="53"/>
    </row>
    <row r="848" hidden="1">
      <c r="A848" s="110" t="s">
        <v>4428</v>
      </c>
      <c r="B848" s="49" t="s">
        <v>4430</v>
      </c>
      <c r="C848" s="49" t="s">
        <v>139</v>
      </c>
      <c r="D848" s="50">
        <v>42909.0</v>
      </c>
      <c r="E848" s="133"/>
      <c r="F848" s="49" t="s">
        <v>274</v>
      </c>
      <c r="G848" s="49" t="s">
        <v>140</v>
      </c>
      <c r="H848" s="49" t="s">
        <v>153</v>
      </c>
      <c r="I848" s="132"/>
      <c r="J848" s="139"/>
    </row>
    <row r="849" hidden="1">
      <c r="A849" s="110" t="s">
        <v>4432</v>
      </c>
      <c r="B849" s="49" t="s">
        <v>4433</v>
      </c>
      <c r="C849" s="49" t="s">
        <v>139</v>
      </c>
      <c r="D849" s="50">
        <v>42909.0</v>
      </c>
      <c r="E849" s="53"/>
      <c r="F849" s="49" t="s">
        <v>160</v>
      </c>
      <c r="G849" s="49" t="s">
        <v>453</v>
      </c>
      <c r="H849" s="49" t="s">
        <v>141</v>
      </c>
      <c r="I849" s="132"/>
      <c r="J849" s="53"/>
    </row>
    <row r="850" hidden="1">
      <c r="A850" s="110" t="s">
        <v>4436</v>
      </c>
      <c r="B850" s="49" t="s">
        <v>4437</v>
      </c>
      <c r="C850" s="49" t="s">
        <v>139</v>
      </c>
      <c r="D850" s="50">
        <v>42909.0</v>
      </c>
      <c r="E850" s="133"/>
      <c r="F850" s="49" t="s">
        <v>160</v>
      </c>
      <c r="G850" s="49" t="s">
        <v>141</v>
      </c>
      <c r="H850" s="49" t="s">
        <v>141</v>
      </c>
      <c r="I850" s="132"/>
      <c r="J850" s="139"/>
    </row>
    <row r="851" hidden="1">
      <c r="A851" s="110" t="s">
        <v>4440</v>
      </c>
      <c r="B851" s="49" t="s">
        <v>4442</v>
      </c>
      <c r="C851" s="49" t="s">
        <v>139</v>
      </c>
      <c r="D851" s="50">
        <v>42909.0</v>
      </c>
      <c r="E851" s="133"/>
      <c r="F851" s="49" t="s">
        <v>160</v>
      </c>
      <c r="G851" s="49" t="s">
        <v>140</v>
      </c>
      <c r="H851" s="49" t="s">
        <v>141</v>
      </c>
      <c r="I851" s="132"/>
      <c r="J851" s="133"/>
    </row>
    <row r="852" hidden="1">
      <c r="A852" s="110" t="s">
        <v>4443</v>
      </c>
      <c r="B852" s="49" t="s">
        <v>4446</v>
      </c>
      <c r="C852" s="49" t="s">
        <v>139</v>
      </c>
      <c r="D852" s="50">
        <v>42909.0</v>
      </c>
      <c r="E852" s="53"/>
      <c r="F852" s="49" t="s">
        <v>160</v>
      </c>
      <c r="G852" s="49" t="s">
        <v>141</v>
      </c>
      <c r="H852" s="49" t="s">
        <v>141</v>
      </c>
      <c r="I852" s="132"/>
      <c r="J852" s="53"/>
    </row>
    <row r="853" hidden="1">
      <c r="A853" s="110" t="s">
        <v>4448</v>
      </c>
      <c r="B853" s="49" t="s">
        <v>4449</v>
      </c>
      <c r="C853" s="49" t="s">
        <v>139</v>
      </c>
      <c r="D853" s="50">
        <v>42909.0</v>
      </c>
      <c r="E853" s="53"/>
      <c r="F853" s="49" t="s">
        <v>160</v>
      </c>
      <c r="G853" s="49" t="s">
        <v>453</v>
      </c>
      <c r="H853" s="49" t="s">
        <v>141</v>
      </c>
      <c r="I853" s="132"/>
      <c r="J853" s="53"/>
    </row>
    <row r="854" hidden="1">
      <c r="A854" s="110" t="s">
        <v>4452</v>
      </c>
      <c r="B854" s="49" t="s">
        <v>4453</v>
      </c>
      <c r="C854" s="49" t="s">
        <v>139</v>
      </c>
      <c r="D854" s="50">
        <v>42909.0</v>
      </c>
      <c r="E854" s="53"/>
      <c r="F854" s="49" t="s">
        <v>160</v>
      </c>
      <c r="G854" s="49" t="s">
        <v>453</v>
      </c>
      <c r="H854" s="49" t="s">
        <v>141</v>
      </c>
      <c r="I854" s="132"/>
      <c r="J854" s="53"/>
    </row>
    <row r="855" hidden="1">
      <c r="A855" s="110" t="s">
        <v>4456</v>
      </c>
      <c r="B855" s="49" t="s">
        <v>4457</v>
      </c>
      <c r="C855" s="49" t="s">
        <v>139</v>
      </c>
      <c r="D855" s="50">
        <v>42909.0</v>
      </c>
      <c r="E855" s="53"/>
      <c r="F855" s="49" t="s">
        <v>160</v>
      </c>
      <c r="G855" s="49" t="s">
        <v>141</v>
      </c>
      <c r="H855" s="49" t="s">
        <v>141</v>
      </c>
      <c r="I855" s="132"/>
      <c r="J855" s="53"/>
    </row>
    <row r="856" hidden="1">
      <c r="A856" s="110" t="s">
        <v>4460</v>
      </c>
      <c r="B856" s="49" t="s">
        <v>4461</v>
      </c>
      <c r="C856" s="49" t="s">
        <v>139</v>
      </c>
      <c r="D856" s="50">
        <v>42909.0</v>
      </c>
      <c r="E856" s="133"/>
      <c r="F856" s="49" t="s">
        <v>160</v>
      </c>
      <c r="G856" s="49" t="s">
        <v>140</v>
      </c>
      <c r="H856" s="49" t="s">
        <v>141</v>
      </c>
      <c r="I856" s="132"/>
      <c r="J856" s="53"/>
    </row>
    <row r="857" hidden="1">
      <c r="A857" s="110" t="s">
        <v>4462</v>
      </c>
      <c r="B857" s="49" t="s">
        <v>4466</v>
      </c>
      <c r="C857" s="49" t="s">
        <v>139</v>
      </c>
      <c r="D857" s="50">
        <v>42909.0</v>
      </c>
      <c r="E857" s="133"/>
      <c r="F857" s="49" t="s">
        <v>160</v>
      </c>
      <c r="G857" s="49" t="s">
        <v>141</v>
      </c>
      <c r="H857" s="49" t="s">
        <v>141</v>
      </c>
      <c r="I857" s="132"/>
      <c r="J857" s="139"/>
    </row>
    <row r="858" hidden="1">
      <c r="A858" s="110" t="s">
        <v>4467</v>
      </c>
      <c r="B858" s="49" t="s">
        <v>4470</v>
      </c>
      <c r="C858" s="49" t="s">
        <v>139</v>
      </c>
      <c r="D858" s="50">
        <v>42909.0</v>
      </c>
      <c r="E858" s="50">
        <v>42912.0</v>
      </c>
      <c r="F858" s="49" t="s">
        <v>160</v>
      </c>
      <c r="G858" s="49" t="s">
        <v>283</v>
      </c>
      <c r="H858" s="49" t="s">
        <v>141</v>
      </c>
      <c r="I858" s="132"/>
      <c r="J858" s="53"/>
    </row>
    <row r="859" hidden="1">
      <c r="A859" s="110" t="s">
        <v>4472</v>
      </c>
      <c r="B859" s="49" t="s">
        <v>4475</v>
      </c>
      <c r="C859" s="49" t="s">
        <v>139</v>
      </c>
      <c r="D859" s="50">
        <v>42909.0</v>
      </c>
      <c r="E859" s="133"/>
      <c r="F859" s="49" t="s">
        <v>160</v>
      </c>
      <c r="G859" s="49" t="s">
        <v>141</v>
      </c>
      <c r="H859" s="49" t="s">
        <v>141</v>
      </c>
      <c r="I859" s="132"/>
      <c r="J859" s="53"/>
    </row>
    <row r="860" hidden="1">
      <c r="A860" s="110" t="s">
        <v>4479</v>
      </c>
      <c r="B860" s="49" t="s">
        <v>4480</v>
      </c>
      <c r="C860" s="49" t="s">
        <v>139</v>
      </c>
      <c r="D860" s="50">
        <v>42909.0</v>
      </c>
      <c r="E860" s="133"/>
      <c r="F860" s="49" t="s">
        <v>160</v>
      </c>
      <c r="G860" s="49" t="s">
        <v>140</v>
      </c>
      <c r="H860" s="49" t="s">
        <v>141</v>
      </c>
      <c r="I860" s="132"/>
      <c r="J860" s="53"/>
    </row>
    <row r="861" hidden="1">
      <c r="A861" s="110" t="s">
        <v>4482</v>
      </c>
      <c r="B861" s="49" t="s">
        <v>4484</v>
      </c>
      <c r="C861" s="49" t="s">
        <v>139</v>
      </c>
      <c r="D861" s="50">
        <v>42909.0</v>
      </c>
      <c r="E861" s="133"/>
      <c r="F861" s="49" t="s">
        <v>160</v>
      </c>
      <c r="G861" s="49" t="s">
        <v>141</v>
      </c>
      <c r="H861" s="49" t="s">
        <v>141</v>
      </c>
      <c r="I861" s="132"/>
      <c r="J861" s="53"/>
    </row>
    <row r="862" hidden="1">
      <c r="A862" s="110" t="s">
        <v>4485</v>
      </c>
      <c r="B862" s="49" t="s">
        <v>4487</v>
      </c>
      <c r="C862" s="49" t="s">
        <v>139</v>
      </c>
      <c r="D862" s="50">
        <v>42909.0</v>
      </c>
      <c r="E862" s="50">
        <v>42912.0</v>
      </c>
      <c r="F862" s="49" t="s">
        <v>160</v>
      </c>
      <c r="G862" s="49" t="s">
        <v>283</v>
      </c>
      <c r="H862" s="49" t="s">
        <v>141</v>
      </c>
      <c r="I862" s="132"/>
      <c r="J862" s="53"/>
    </row>
    <row r="863" hidden="1">
      <c r="A863" s="110" t="s">
        <v>4489</v>
      </c>
      <c r="B863" s="49" t="s">
        <v>4490</v>
      </c>
      <c r="C863" s="49" t="s">
        <v>139</v>
      </c>
      <c r="D863" s="50">
        <v>42909.0</v>
      </c>
      <c r="E863" s="50">
        <v>42912.0</v>
      </c>
      <c r="F863" s="49" t="s">
        <v>160</v>
      </c>
      <c r="G863" s="49" t="s">
        <v>2926</v>
      </c>
      <c r="H863" s="49" t="s">
        <v>141</v>
      </c>
      <c r="I863" s="132"/>
      <c r="J863" s="53"/>
    </row>
    <row r="864" hidden="1">
      <c r="A864" s="110" t="s">
        <v>4493</v>
      </c>
      <c r="B864" s="49" t="s">
        <v>4494</v>
      </c>
      <c r="C864" s="49" t="s">
        <v>139</v>
      </c>
      <c r="D864" s="50">
        <v>42907.0</v>
      </c>
      <c r="E864" s="133"/>
      <c r="F864" s="49" t="s">
        <v>160</v>
      </c>
      <c r="G864" s="49" t="s">
        <v>141</v>
      </c>
      <c r="H864" s="49" t="s">
        <v>283</v>
      </c>
      <c r="I864" s="132"/>
      <c r="J864" s="53"/>
    </row>
    <row r="865" hidden="1">
      <c r="A865" s="110" t="s">
        <v>4498</v>
      </c>
      <c r="B865" s="49" t="s">
        <v>4500</v>
      </c>
      <c r="C865" s="49" t="s">
        <v>139</v>
      </c>
      <c r="D865" s="50">
        <v>42907.0</v>
      </c>
      <c r="E865" s="53"/>
      <c r="F865" s="49" t="s">
        <v>160</v>
      </c>
      <c r="G865" s="49" t="s">
        <v>141</v>
      </c>
      <c r="H865" s="49" t="s">
        <v>283</v>
      </c>
      <c r="I865" s="132"/>
      <c r="J865" s="53"/>
    </row>
    <row r="866" hidden="1">
      <c r="A866" s="110" t="s">
        <v>4503</v>
      </c>
      <c r="B866" s="49" t="s">
        <v>4504</v>
      </c>
      <c r="C866" s="49" t="s">
        <v>139</v>
      </c>
      <c r="D866" s="50">
        <v>42907.0</v>
      </c>
      <c r="E866" s="53"/>
      <c r="F866" s="49" t="s">
        <v>176</v>
      </c>
      <c r="G866" s="49" t="s">
        <v>140</v>
      </c>
      <c r="H866" s="49" t="s">
        <v>140</v>
      </c>
      <c r="I866" s="132"/>
      <c r="J866" s="53"/>
    </row>
    <row r="867" hidden="1">
      <c r="A867" s="110" t="s">
        <v>4509</v>
      </c>
      <c r="B867" s="49" t="s">
        <v>4511</v>
      </c>
      <c r="C867" s="49" t="s">
        <v>139</v>
      </c>
      <c r="D867" s="50">
        <v>42907.0</v>
      </c>
      <c r="E867" s="133"/>
      <c r="F867" s="49" t="s">
        <v>160</v>
      </c>
      <c r="G867" s="49" t="s">
        <v>140</v>
      </c>
      <c r="H867" s="49" t="s">
        <v>177</v>
      </c>
      <c r="I867" s="132"/>
      <c r="J867" s="139"/>
    </row>
    <row r="868" hidden="1">
      <c r="A868" s="110" t="s">
        <v>4513</v>
      </c>
      <c r="B868" s="49" t="s">
        <v>4515</v>
      </c>
      <c r="C868" s="49" t="s">
        <v>139</v>
      </c>
      <c r="D868" s="50">
        <v>42907.0</v>
      </c>
      <c r="E868" s="133"/>
      <c r="F868" s="49" t="s">
        <v>176</v>
      </c>
      <c r="G868" s="49" t="s">
        <v>337</v>
      </c>
      <c r="H868" s="49" t="s">
        <v>177</v>
      </c>
      <c r="I868" s="132"/>
      <c r="J868" s="53"/>
    </row>
    <row r="869" hidden="1">
      <c r="A869" s="110" t="s">
        <v>4518</v>
      </c>
      <c r="B869" s="49" t="s">
        <v>4519</v>
      </c>
      <c r="C869" s="49" t="s">
        <v>139</v>
      </c>
      <c r="D869" s="50">
        <v>42907.0</v>
      </c>
      <c r="E869" s="50">
        <v>42654.0</v>
      </c>
      <c r="F869" s="49" t="s">
        <v>176</v>
      </c>
      <c r="G869" s="49" t="s">
        <v>453</v>
      </c>
      <c r="H869" s="49" t="s">
        <v>177</v>
      </c>
      <c r="I869" s="132"/>
      <c r="J869" s="53"/>
    </row>
    <row r="870" hidden="1">
      <c r="A870" s="110" t="s">
        <v>4522</v>
      </c>
      <c r="B870" s="49" t="s">
        <v>4524</v>
      </c>
      <c r="C870" s="49" t="s">
        <v>139</v>
      </c>
      <c r="D870" s="50">
        <v>42907.0</v>
      </c>
      <c r="E870" s="53"/>
      <c r="F870" s="49" t="s">
        <v>176</v>
      </c>
      <c r="G870" s="49" t="s">
        <v>283</v>
      </c>
      <c r="H870" s="49" t="s">
        <v>177</v>
      </c>
      <c r="I870" s="132"/>
      <c r="J870" s="53"/>
    </row>
    <row r="871" hidden="1">
      <c r="A871" s="110" t="s">
        <v>4527</v>
      </c>
      <c r="B871" s="49" t="s">
        <v>4524</v>
      </c>
      <c r="C871" s="49" t="s">
        <v>139</v>
      </c>
      <c r="D871" s="50">
        <v>42907.0</v>
      </c>
      <c r="E871" s="53"/>
      <c r="F871" s="49" t="s">
        <v>176</v>
      </c>
      <c r="G871" s="49" t="s">
        <v>283</v>
      </c>
      <c r="H871" s="49" t="s">
        <v>177</v>
      </c>
      <c r="I871" s="132"/>
      <c r="J871" s="53"/>
    </row>
    <row r="872" hidden="1">
      <c r="A872" s="110" t="s">
        <v>4530</v>
      </c>
      <c r="B872" s="49" t="s">
        <v>4524</v>
      </c>
      <c r="C872" s="49" t="s">
        <v>139</v>
      </c>
      <c r="D872" s="50">
        <v>42907.0</v>
      </c>
      <c r="E872" s="53"/>
      <c r="F872" s="49" t="s">
        <v>176</v>
      </c>
      <c r="G872" s="49" t="s">
        <v>140</v>
      </c>
      <c r="H872" s="49" t="s">
        <v>177</v>
      </c>
      <c r="I872" s="132"/>
      <c r="J872" s="53"/>
    </row>
    <row r="873" hidden="1">
      <c r="A873" s="110" t="s">
        <v>4531</v>
      </c>
      <c r="B873" s="49" t="s">
        <v>4534</v>
      </c>
      <c r="C873" s="49" t="s">
        <v>139</v>
      </c>
      <c r="D873" s="50">
        <v>42907.0</v>
      </c>
      <c r="E873" s="133"/>
      <c r="F873" s="49" t="s">
        <v>176</v>
      </c>
      <c r="G873" s="49" t="s">
        <v>337</v>
      </c>
      <c r="H873" s="49" t="s">
        <v>177</v>
      </c>
      <c r="I873" s="132"/>
      <c r="J873" s="53"/>
    </row>
    <row r="874" hidden="1">
      <c r="A874" s="110" t="s">
        <v>4538</v>
      </c>
      <c r="B874" s="49" t="s">
        <v>4539</v>
      </c>
      <c r="C874" s="49" t="s">
        <v>139</v>
      </c>
      <c r="D874" s="50">
        <v>42907.0</v>
      </c>
      <c r="E874" s="50">
        <v>42710.0</v>
      </c>
      <c r="F874" s="49" t="s">
        <v>176</v>
      </c>
      <c r="G874" s="49" t="s">
        <v>453</v>
      </c>
      <c r="H874" s="49" t="s">
        <v>177</v>
      </c>
      <c r="I874" s="132"/>
      <c r="J874" s="53"/>
    </row>
    <row r="875" hidden="1">
      <c r="A875" s="110" t="s">
        <v>4542</v>
      </c>
      <c r="B875" s="49" t="s">
        <v>4543</v>
      </c>
      <c r="C875" s="49" t="s">
        <v>139</v>
      </c>
      <c r="D875" s="50">
        <v>42907.0</v>
      </c>
      <c r="E875" s="50">
        <v>42893.0</v>
      </c>
      <c r="F875" s="49" t="s">
        <v>215</v>
      </c>
      <c r="G875" s="49" t="s">
        <v>2926</v>
      </c>
      <c r="H875" s="49" t="s">
        <v>216</v>
      </c>
      <c r="I875" s="132"/>
      <c r="J875" s="53"/>
    </row>
    <row r="876" hidden="1">
      <c r="A876" s="110" t="s">
        <v>4546</v>
      </c>
      <c r="B876" s="49" t="s">
        <v>4547</v>
      </c>
      <c r="C876" s="49" t="s">
        <v>139</v>
      </c>
      <c r="D876" s="50">
        <v>42907.0</v>
      </c>
      <c r="E876" s="50">
        <v>42923.0</v>
      </c>
      <c r="F876" s="49" t="s">
        <v>215</v>
      </c>
      <c r="G876" s="49" t="s">
        <v>2926</v>
      </c>
      <c r="H876" s="49" t="s">
        <v>216</v>
      </c>
      <c r="I876" s="132"/>
      <c r="J876" s="139"/>
    </row>
    <row r="877" hidden="1">
      <c r="A877" s="110" t="s">
        <v>4550</v>
      </c>
      <c r="B877" s="49" t="s">
        <v>4551</v>
      </c>
      <c r="C877" s="49" t="s">
        <v>139</v>
      </c>
      <c r="D877" s="50">
        <v>42907.0</v>
      </c>
      <c r="E877" s="50">
        <v>42916.0</v>
      </c>
      <c r="F877" s="49" t="s">
        <v>176</v>
      </c>
      <c r="G877" s="49" t="s">
        <v>2926</v>
      </c>
      <c r="H877" s="49" t="s">
        <v>177</v>
      </c>
      <c r="I877" s="132"/>
      <c r="J877" s="53"/>
    </row>
    <row r="878" hidden="1">
      <c r="A878" s="110" t="s">
        <v>4554</v>
      </c>
      <c r="B878" s="49" t="s">
        <v>1859</v>
      </c>
      <c r="C878" s="49" t="s">
        <v>139</v>
      </c>
      <c r="D878" s="50">
        <v>42907.0</v>
      </c>
      <c r="E878" s="50">
        <v>42916.0</v>
      </c>
      <c r="F878" s="49" t="s">
        <v>176</v>
      </c>
      <c r="G878" s="49" t="s">
        <v>2926</v>
      </c>
      <c r="H878" s="49" t="s">
        <v>177</v>
      </c>
      <c r="I878" s="132"/>
      <c r="J878" s="53"/>
    </row>
    <row r="879" hidden="1">
      <c r="A879" s="110" t="s">
        <v>4556</v>
      </c>
      <c r="B879" s="49" t="s">
        <v>4558</v>
      </c>
      <c r="C879" s="49" t="s">
        <v>139</v>
      </c>
      <c r="D879" s="50">
        <v>42901.0</v>
      </c>
      <c r="E879" s="50">
        <v>42907.0</v>
      </c>
      <c r="F879" s="49" t="s">
        <v>723</v>
      </c>
      <c r="G879" s="49" t="s">
        <v>140</v>
      </c>
      <c r="H879" s="49" t="s">
        <v>122</v>
      </c>
      <c r="I879" s="132"/>
      <c r="J879" s="53"/>
    </row>
    <row r="880" hidden="1">
      <c r="A880" s="110" t="s">
        <v>4560</v>
      </c>
      <c r="B880" s="49" t="s">
        <v>4562</v>
      </c>
      <c r="C880" s="49" t="s">
        <v>139</v>
      </c>
      <c r="D880" s="50">
        <v>42901.0</v>
      </c>
      <c r="E880" s="50">
        <v>42905.0</v>
      </c>
      <c r="F880" s="49" t="s">
        <v>723</v>
      </c>
      <c r="G880" s="49" t="s">
        <v>140</v>
      </c>
      <c r="H880" s="49" t="s">
        <v>122</v>
      </c>
      <c r="I880" s="132"/>
      <c r="J880" s="133"/>
    </row>
    <row r="881" hidden="1">
      <c r="A881" s="110" t="s">
        <v>4564</v>
      </c>
      <c r="B881" s="49" t="s">
        <v>4565</v>
      </c>
      <c r="C881" s="49" t="s">
        <v>139</v>
      </c>
      <c r="D881" s="50">
        <v>42900.0</v>
      </c>
      <c r="E881" s="133"/>
      <c r="F881" s="139"/>
      <c r="G881" s="49" t="s">
        <v>140</v>
      </c>
      <c r="H881" s="49" t="s">
        <v>140</v>
      </c>
      <c r="I881" s="132"/>
      <c r="J881" s="53"/>
    </row>
    <row r="882" hidden="1">
      <c r="A882" s="110" t="s">
        <v>4567</v>
      </c>
      <c r="B882" s="49" t="s">
        <v>4569</v>
      </c>
      <c r="C882" s="49" t="s">
        <v>139</v>
      </c>
      <c r="D882" s="50">
        <v>42900.0</v>
      </c>
      <c r="E882" s="50">
        <v>42921.0</v>
      </c>
      <c r="F882" s="49" t="s">
        <v>160</v>
      </c>
      <c r="G882" s="49" t="s">
        <v>2926</v>
      </c>
      <c r="H882" s="49" t="s">
        <v>155</v>
      </c>
      <c r="I882" s="132"/>
      <c r="J882" s="53"/>
    </row>
    <row r="883" hidden="1">
      <c r="A883" s="110" t="s">
        <v>4570</v>
      </c>
      <c r="B883" s="49" t="s">
        <v>4572</v>
      </c>
      <c r="C883" s="49" t="s">
        <v>139</v>
      </c>
      <c r="D883" s="50">
        <v>42900.0</v>
      </c>
      <c r="E883" s="50">
        <v>42922.0</v>
      </c>
      <c r="F883" s="49" t="s">
        <v>160</v>
      </c>
      <c r="G883" s="49" t="s">
        <v>2926</v>
      </c>
      <c r="H883" s="49" t="s">
        <v>155</v>
      </c>
      <c r="I883" s="132"/>
      <c r="J883" s="53"/>
    </row>
    <row r="884" hidden="1">
      <c r="A884" s="110" t="s">
        <v>4574</v>
      </c>
      <c r="B884" s="49" t="s">
        <v>4575</v>
      </c>
      <c r="C884" s="49" t="s">
        <v>139</v>
      </c>
      <c r="D884" s="50">
        <v>42900.0</v>
      </c>
      <c r="E884" s="50">
        <v>42923.0</v>
      </c>
      <c r="F884" s="49" t="s">
        <v>160</v>
      </c>
      <c r="G884" s="49" t="s">
        <v>2926</v>
      </c>
      <c r="H884" s="49" t="s">
        <v>155</v>
      </c>
      <c r="I884" s="132"/>
      <c r="J884" s="53"/>
    </row>
    <row r="885" hidden="1">
      <c r="A885" s="110" t="s">
        <v>4578</v>
      </c>
      <c r="B885" s="49" t="s">
        <v>4579</v>
      </c>
      <c r="C885" s="49" t="s">
        <v>139</v>
      </c>
      <c r="D885" s="50">
        <v>42899.0</v>
      </c>
      <c r="E885" s="133"/>
      <c r="F885" s="49" t="s">
        <v>176</v>
      </c>
      <c r="G885" s="49" t="s">
        <v>155</v>
      </c>
      <c r="H885" s="49" t="s">
        <v>155</v>
      </c>
      <c r="I885" s="132"/>
      <c r="J885" s="53"/>
    </row>
    <row r="886" hidden="1">
      <c r="A886" s="110" t="s">
        <v>4582</v>
      </c>
      <c r="B886" s="49" t="s">
        <v>4583</v>
      </c>
      <c r="C886" s="49" t="s">
        <v>139</v>
      </c>
      <c r="D886" s="50">
        <v>42899.0</v>
      </c>
      <c r="E886" s="53"/>
      <c r="F886" s="139"/>
      <c r="G886" s="49" t="s">
        <v>140</v>
      </c>
      <c r="H886" s="49" t="s">
        <v>140</v>
      </c>
      <c r="I886" s="132"/>
      <c r="J886" s="53"/>
    </row>
    <row r="887" hidden="1">
      <c r="A887" s="110" t="s">
        <v>4585</v>
      </c>
      <c r="B887" s="49" t="s">
        <v>4587</v>
      </c>
      <c r="C887" s="49" t="s">
        <v>139</v>
      </c>
      <c r="D887" s="50">
        <v>42898.0</v>
      </c>
      <c r="E887" s="50">
        <v>42899.0</v>
      </c>
      <c r="F887" s="49" t="s">
        <v>160</v>
      </c>
      <c r="G887" s="49" t="s">
        <v>453</v>
      </c>
      <c r="H887" s="49" t="s">
        <v>244</v>
      </c>
      <c r="I887" s="132"/>
      <c r="J887" s="53"/>
    </row>
    <row r="888" hidden="1">
      <c r="A888" s="110" t="s">
        <v>4588</v>
      </c>
      <c r="B888" s="49" t="s">
        <v>4591</v>
      </c>
      <c r="C888" s="49" t="s">
        <v>139</v>
      </c>
      <c r="D888" s="50">
        <v>42898.0</v>
      </c>
      <c r="E888" s="50">
        <v>42900.0</v>
      </c>
      <c r="F888" s="49" t="s">
        <v>160</v>
      </c>
      <c r="G888" s="49" t="s">
        <v>141</v>
      </c>
      <c r="H888" s="49" t="s">
        <v>244</v>
      </c>
      <c r="I888" s="132"/>
      <c r="J888" s="53"/>
    </row>
    <row r="889" hidden="1">
      <c r="A889" s="110" t="s">
        <v>4592</v>
      </c>
      <c r="B889" s="49" t="s">
        <v>4593</v>
      </c>
      <c r="C889" s="49" t="s">
        <v>139</v>
      </c>
      <c r="D889" s="50">
        <v>42898.0</v>
      </c>
      <c r="E889" s="50">
        <v>42902.0</v>
      </c>
      <c r="F889" s="49" t="s">
        <v>160</v>
      </c>
      <c r="G889" s="49" t="s">
        <v>140</v>
      </c>
      <c r="H889" s="49" t="s">
        <v>244</v>
      </c>
      <c r="I889" s="132"/>
      <c r="J889" s="53"/>
    </row>
    <row r="890" hidden="1">
      <c r="A890" s="110" t="s">
        <v>4595</v>
      </c>
      <c r="B890" s="49" t="s">
        <v>4597</v>
      </c>
      <c r="C890" s="49" t="s">
        <v>139</v>
      </c>
      <c r="D890" s="50">
        <v>42898.0</v>
      </c>
      <c r="E890" s="50">
        <v>42898.0</v>
      </c>
      <c r="F890" s="49" t="s">
        <v>160</v>
      </c>
      <c r="G890" s="49" t="s">
        <v>141</v>
      </c>
      <c r="H890" s="49" t="s">
        <v>244</v>
      </c>
      <c r="I890" s="132"/>
      <c r="J890" s="53"/>
    </row>
    <row r="891" hidden="1">
      <c r="A891" s="110" t="s">
        <v>4598</v>
      </c>
      <c r="B891" s="49" t="s">
        <v>4599</v>
      </c>
      <c r="C891" s="49" t="s">
        <v>139</v>
      </c>
      <c r="D891" s="50">
        <v>42898.0</v>
      </c>
      <c r="E891" s="50">
        <v>42898.0</v>
      </c>
      <c r="F891" s="49" t="s">
        <v>160</v>
      </c>
      <c r="G891" s="49" t="s">
        <v>141</v>
      </c>
      <c r="H891" s="49" t="s">
        <v>244</v>
      </c>
      <c r="I891" s="132"/>
      <c r="J891" s="53"/>
    </row>
    <row r="892" hidden="1">
      <c r="A892" s="110" t="s">
        <v>4602</v>
      </c>
      <c r="B892" s="49" t="s">
        <v>4603</v>
      </c>
      <c r="C892" s="49" t="s">
        <v>139</v>
      </c>
      <c r="D892" s="50">
        <v>42894.0</v>
      </c>
      <c r="E892" s="133"/>
      <c r="F892" s="49" t="s">
        <v>176</v>
      </c>
      <c r="G892" s="49" t="s">
        <v>155</v>
      </c>
      <c r="H892" s="49" t="s">
        <v>140</v>
      </c>
      <c r="I892" s="132"/>
      <c r="J892" s="53"/>
    </row>
    <row r="893" hidden="1">
      <c r="A893" s="110" t="s">
        <v>4604</v>
      </c>
      <c r="B893" s="49" t="s">
        <v>4606</v>
      </c>
      <c r="C893" s="49" t="s">
        <v>139</v>
      </c>
      <c r="D893" s="50">
        <v>42894.0</v>
      </c>
      <c r="E893" s="133"/>
      <c r="F893" s="49" t="s">
        <v>166</v>
      </c>
      <c r="G893" s="49" t="s">
        <v>140</v>
      </c>
      <c r="H893" s="49" t="s">
        <v>140</v>
      </c>
      <c r="I893" s="132"/>
      <c r="J893" s="53"/>
    </row>
    <row r="894" hidden="1">
      <c r="A894" s="110" t="s">
        <v>4608</v>
      </c>
      <c r="B894" s="49" t="s">
        <v>4609</v>
      </c>
      <c r="C894" s="49" t="s">
        <v>139</v>
      </c>
      <c r="D894" s="50">
        <v>42894.0</v>
      </c>
      <c r="E894" s="133"/>
      <c r="F894" s="49" t="s">
        <v>176</v>
      </c>
      <c r="G894" s="49" t="s">
        <v>2926</v>
      </c>
      <c r="H894" s="49" t="s">
        <v>337</v>
      </c>
      <c r="I894" s="132"/>
      <c r="J894" s="53"/>
    </row>
    <row r="895" hidden="1">
      <c r="A895" s="110" t="s">
        <v>4612</v>
      </c>
      <c r="B895" s="49" t="s">
        <v>4614</v>
      </c>
      <c r="C895" s="49" t="s">
        <v>139</v>
      </c>
      <c r="D895" s="50">
        <v>42892.0</v>
      </c>
      <c r="E895" s="50">
        <v>42846.0</v>
      </c>
      <c r="F895" s="49" t="s">
        <v>176</v>
      </c>
      <c r="G895" s="49" t="s">
        <v>155</v>
      </c>
      <c r="H895" s="49" t="s">
        <v>155</v>
      </c>
      <c r="I895" s="132"/>
      <c r="J895" s="53"/>
    </row>
    <row r="896" hidden="1">
      <c r="A896" s="110" t="s">
        <v>4617</v>
      </c>
      <c r="B896" s="49" t="s">
        <v>4618</v>
      </c>
      <c r="C896" s="49" t="s">
        <v>139</v>
      </c>
      <c r="D896" s="50">
        <v>42892.0</v>
      </c>
      <c r="E896" s="50">
        <v>42895.0</v>
      </c>
      <c r="F896" s="49" t="s">
        <v>723</v>
      </c>
      <c r="G896" s="49" t="s">
        <v>2926</v>
      </c>
      <c r="H896" s="49" t="s">
        <v>122</v>
      </c>
      <c r="I896" s="132"/>
      <c r="J896" s="53"/>
    </row>
    <row r="897" hidden="1">
      <c r="A897" s="110" t="s">
        <v>4622</v>
      </c>
      <c r="B897" s="49" t="s">
        <v>4623</v>
      </c>
      <c r="C897" s="49" t="s">
        <v>139</v>
      </c>
      <c r="D897" s="50">
        <v>42892.0</v>
      </c>
      <c r="E897" s="50">
        <v>42895.0</v>
      </c>
      <c r="F897" s="49" t="s">
        <v>723</v>
      </c>
      <c r="G897" s="49" t="s">
        <v>2926</v>
      </c>
      <c r="H897" s="49" t="s">
        <v>122</v>
      </c>
      <c r="I897" s="132"/>
      <c r="J897" s="53"/>
    </row>
    <row r="898" hidden="1">
      <c r="A898" s="110" t="s">
        <v>4626</v>
      </c>
      <c r="B898" s="49" t="s">
        <v>4627</v>
      </c>
      <c r="C898" s="49" t="s">
        <v>139</v>
      </c>
      <c r="D898" s="50">
        <v>42891.0</v>
      </c>
      <c r="E898" s="50">
        <v>42892.0</v>
      </c>
      <c r="F898" s="49" t="s">
        <v>160</v>
      </c>
      <c r="G898" s="49" t="s">
        <v>141</v>
      </c>
      <c r="H898" s="49" t="s">
        <v>244</v>
      </c>
      <c r="I898" s="132"/>
      <c r="J898" s="53"/>
    </row>
    <row r="899" hidden="1">
      <c r="A899" s="110" t="s">
        <v>4629</v>
      </c>
      <c r="B899" s="49" t="s">
        <v>4631</v>
      </c>
      <c r="C899" s="49" t="s">
        <v>139</v>
      </c>
      <c r="D899" s="50">
        <v>42891.0</v>
      </c>
      <c r="E899" s="50">
        <v>42892.0</v>
      </c>
      <c r="F899" s="49" t="s">
        <v>160</v>
      </c>
      <c r="G899" s="49" t="s">
        <v>141</v>
      </c>
      <c r="H899" s="49" t="s">
        <v>244</v>
      </c>
      <c r="I899" s="132"/>
      <c r="J899" s="53"/>
    </row>
    <row r="900" hidden="1">
      <c r="A900" s="110" t="s">
        <v>4633</v>
      </c>
      <c r="B900" s="49" t="s">
        <v>4634</v>
      </c>
      <c r="C900" s="49" t="s">
        <v>139</v>
      </c>
      <c r="D900" s="50">
        <v>42891.0</v>
      </c>
      <c r="E900" s="50">
        <v>42892.0</v>
      </c>
      <c r="F900" s="49" t="s">
        <v>160</v>
      </c>
      <c r="G900" s="49" t="s">
        <v>453</v>
      </c>
      <c r="H900" s="49" t="s">
        <v>244</v>
      </c>
      <c r="I900" s="132"/>
      <c r="J900" s="53"/>
    </row>
    <row r="901" hidden="1">
      <c r="A901" s="110" t="s">
        <v>4636</v>
      </c>
      <c r="B901" s="49" t="s">
        <v>4638</v>
      </c>
      <c r="C901" s="49" t="s">
        <v>139</v>
      </c>
      <c r="D901" s="50">
        <v>42891.0</v>
      </c>
      <c r="E901" s="50">
        <v>42892.0</v>
      </c>
      <c r="F901" s="49" t="s">
        <v>160</v>
      </c>
      <c r="G901" s="49" t="s">
        <v>141</v>
      </c>
      <c r="H901" s="49" t="s">
        <v>244</v>
      </c>
      <c r="I901" s="132"/>
      <c r="J901" s="53"/>
    </row>
    <row r="902" hidden="1">
      <c r="A902" s="110" t="s">
        <v>4639</v>
      </c>
      <c r="B902" s="49" t="s">
        <v>4640</v>
      </c>
      <c r="C902" s="49" t="s">
        <v>139</v>
      </c>
      <c r="D902" s="50">
        <v>42891.0</v>
      </c>
      <c r="E902" s="50">
        <v>42892.0</v>
      </c>
      <c r="F902" s="49" t="s">
        <v>160</v>
      </c>
      <c r="G902" s="49" t="s">
        <v>141</v>
      </c>
      <c r="H902" s="49" t="s">
        <v>244</v>
      </c>
      <c r="I902" s="132"/>
      <c r="J902" s="53"/>
    </row>
    <row r="903" hidden="1">
      <c r="A903" s="110" t="s">
        <v>4643</v>
      </c>
      <c r="B903" s="49" t="s">
        <v>4645</v>
      </c>
      <c r="C903" s="49" t="s">
        <v>139</v>
      </c>
      <c r="D903" s="50">
        <v>42891.0</v>
      </c>
      <c r="E903" s="50">
        <v>42892.0</v>
      </c>
      <c r="F903" s="49" t="s">
        <v>160</v>
      </c>
      <c r="G903" s="49" t="s">
        <v>453</v>
      </c>
      <c r="H903" s="49" t="s">
        <v>244</v>
      </c>
      <c r="I903" s="132"/>
      <c r="J903" s="53"/>
    </row>
    <row r="904" hidden="1">
      <c r="A904" s="110" t="s">
        <v>4646</v>
      </c>
      <c r="B904" s="49" t="s">
        <v>4647</v>
      </c>
      <c r="C904" s="49" t="s">
        <v>139</v>
      </c>
      <c r="D904" s="50">
        <v>42891.0</v>
      </c>
      <c r="E904" s="50">
        <v>42892.0</v>
      </c>
      <c r="F904" s="49" t="s">
        <v>160</v>
      </c>
      <c r="G904" s="49" t="s">
        <v>453</v>
      </c>
      <c r="H904" s="49" t="s">
        <v>244</v>
      </c>
      <c r="I904" s="132"/>
      <c r="J904" s="53"/>
    </row>
    <row r="905" hidden="1">
      <c r="A905" s="110" t="s">
        <v>4650</v>
      </c>
      <c r="B905" s="49" t="s">
        <v>4651</v>
      </c>
      <c r="C905" s="49" t="s">
        <v>139</v>
      </c>
      <c r="D905" s="50">
        <v>42891.0</v>
      </c>
      <c r="E905" s="50">
        <v>42892.0</v>
      </c>
      <c r="F905" s="49" t="s">
        <v>160</v>
      </c>
      <c r="G905" s="49" t="s">
        <v>141</v>
      </c>
      <c r="H905" s="49" t="s">
        <v>244</v>
      </c>
      <c r="I905" s="132"/>
      <c r="J905" s="53"/>
    </row>
    <row r="906" hidden="1">
      <c r="A906" s="110" t="s">
        <v>4652</v>
      </c>
      <c r="B906" s="49" t="s">
        <v>4653</v>
      </c>
      <c r="C906" s="49" t="s">
        <v>139</v>
      </c>
      <c r="D906" s="50">
        <v>42891.0</v>
      </c>
      <c r="E906" s="50">
        <v>42892.0</v>
      </c>
      <c r="F906" s="49" t="s">
        <v>160</v>
      </c>
      <c r="G906" s="49" t="s">
        <v>141</v>
      </c>
      <c r="H906" s="49" t="s">
        <v>244</v>
      </c>
      <c r="I906" s="132"/>
      <c r="J906" s="53"/>
    </row>
    <row r="907" hidden="1">
      <c r="A907" s="110" t="s">
        <v>4657</v>
      </c>
      <c r="B907" s="49" t="s">
        <v>4658</v>
      </c>
      <c r="C907" s="49" t="s">
        <v>139</v>
      </c>
      <c r="D907" s="50">
        <v>42891.0</v>
      </c>
      <c r="E907" s="50">
        <v>42892.0</v>
      </c>
      <c r="F907" s="49" t="s">
        <v>160</v>
      </c>
      <c r="G907" s="49" t="s">
        <v>141</v>
      </c>
      <c r="H907" s="49" t="s">
        <v>244</v>
      </c>
      <c r="I907" s="132"/>
      <c r="J907" s="53"/>
    </row>
    <row r="908" hidden="1">
      <c r="A908" s="110" t="s">
        <v>4661</v>
      </c>
      <c r="B908" s="49" t="s">
        <v>4662</v>
      </c>
      <c r="C908" s="49" t="s">
        <v>139</v>
      </c>
      <c r="D908" s="50">
        <v>42891.0</v>
      </c>
      <c r="E908" s="50" t="s">
        <v>92</v>
      </c>
      <c r="F908" s="49" t="s">
        <v>160</v>
      </c>
      <c r="G908" s="49" t="s">
        <v>453</v>
      </c>
      <c r="H908" s="49" t="s">
        <v>244</v>
      </c>
      <c r="I908" s="132"/>
      <c r="J908" s="53"/>
    </row>
    <row r="909" hidden="1">
      <c r="A909" s="110" t="s">
        <v>4663</v>
      </c>
      <c r="B909" s="49" t="s">
        <v>4664</v>
      </c>
      <c r="C909" s="49" t="s">
        <v>139</v>
      </c>
      <c r="D909" s="50">
        <v>42891.0</v>
      </c>
      <c r="E909" s="133"/>
      <c r="F909" s="49" t="s">
        <v>176</v>
      </c>
      <c r="G909" s="49" t="s">
        <v>140</v>
      </c>
      <c r="H909" s="49" t="s">
        <v>337</v>
      </c>
      <c r="I909" s="132"/>
      <c r="J909" s="53"/>
    </row>
    <row r="910" hidden="1">
      <c r="A910" s="110" t="s">
        <v>4667</v>
      </c>
      <c r="B910" s="49" t="s">
        <v>4668</v>
      </c>
      <c r="C910" s="49" t="s">
        <v>139</v>
      </c>
      <c r="D910" s="50">
        <v>42891.0</v>
      </c>
      <c r="E910" s="133"/>
      <c r="F910" s="49" t="s">
        <v>274</v>
      </c>
      <c r="G910" s="49" t="s">
        <v>140</v>
      </c>
      <c r="H910" s="49" t="s">
        <v>140</v>
      </c>
      <c r="I910" s="132"/>
      <c r="J910" s="53"/>
    </row>
    <row r="911" hidden="1">
      <c r="A911" s="110" t="s">
        <v>4669</v>
      </c>
      <c r="B911" s="49" t="s">
        <v>4671</v>
      </c>
      <c r="C911" s="49" t="s">
        <v>139</v>
      </c>
      <c r="D911" s="50">
        <v>42891.0</v>
      </c>
      <c r="E911" s="50">
        <v>42905.0</v>
      </c>
      <c r="F911" s="49" t="s">
        <v>160</v>
      </c>
      <c r="G911" s="49" t="s">
        <v>2926</v>
      </c>
      <c r="H911" s="49" t="s">
        <v>244</v>
      </c>
      <c r="I911" s="132"/>
      <c r="J911" s="53"/>
    </row>
    <row r="912" hidden="1">
      <c r="A912" s="110" t="s">
        <v>4674</v>
      </c>
      <c r="B912" s="49" t="s">
        <v>4675</v>
      </c>
      <c r="C912" s="49" t="s">
        <v>139</v>
      </c>
      <c r="D912" s="50">
        <v>42891.0</v>
      </c>
      <c r="E912" s="50">
        <v>42899.0</v>
      </c>
      <c r="F912" s="49" t="s">
        <v>160</v>
      </c>
      <c r="G912" s="49" t="s">
        <v>2926</v>
      </c>
      <c r="H912" s="49" t="s">
        <v>244</v>
      </c>
      <c r="I912" s="132"/>
      <c r="J912" s="53"/>
    </row>
    <row r="913" hidden="1">
      <c r="A913" s="110" t="s">
        <v>4676</v>
      </c>
      <c r="B913" s="49" t="s">
        <v>4680</v>
      </c>
      <c r="C913" s="49" t="s">
        <v>139</v>
      </c>
      <c r="D913" s="50">
        <v>42891.0</v>
      </c>
      <c r="E913" s="50">
        <v>42902.0</v>
      </c>
      <c r="F913" s="49" t="s">
        <v>160</v>
      </c>
      <c r="G913" s="49" t="s">
        <v>2926</v>
      </c>
      <c r="H913" s="49" t="s">
        <v>244</v>
      </c>
      <c r="I913" s="132"/>
      <c r="J913" s="53"/>
    </row>
    <row r="914" hidden="1">
      <c r="A914" s="110" t="s">
        <v>4681</v>
      </c>
      <c r="B914" s="49" t="s">
        <v>4682</v>
      </c>
      <c r="C914" s="49" t="s">
        <v>139</v>
      </c>
      <c r="D914" s="50">
        <v>42891.0</v>
      </c>
      <c r="E914" s="50">
        <v>42899.0</v>
      </c>
      <c r="F914" s="49" t="s">
        <v>160</v>
      </c>
      <c r="G914" s="49" t="s">
        <v>2926</v>
      </c>
      <c r="H914" s="49" t="s">
        <v>244</v>
      </c>
      <c r="I914" s="132"/>
      <c r="J914" s="53"/>
    </row>
    <row r="915" hidden="1">
      <c r="A915" s="110" t="s">
        <v>4686</v>
      </c>
      <c r="B915" s="49" t="s">
        <v>4687</v>
      </c>
      <c r="C915" s="49" t="s">
        <v>139</v>
      </c>
      <c r="D915" s="50">
        <v>42891.0</v>
      </c>
      <c r="E915" s="133"/>
      <c r="F915" s="49" t="s">
        <v>176</v>
      </c>
      <c r="G915" s="49" t="s">
        <v>2926</v>
      </c>
      <c r="H915" s="49" t="s">
        <v>337</v>
      </c>
      <c r="I915" s="132"/>
      <c r="J915" s="53"/>
    </row>
    <row r="916" hidden="1">
      <c r="A916" s="110" t="s">
        <v>4688</v>
      </c>
      <c r="B916" s="49" t="s">
        <v>4690</v>
      </c>
      <c r="C916" s="49" t="s">
        <v>139</v>
      </c>
      <c r="D916" s="50">
        <v>42888.0</v>
      </c>
      <c r="E916" s="50">
        <v>42802.0</v>
      </c>
      <c r="F916" s="49" t="s">
        <v>274</v>
      </c>
      <c r="G916" s="49" t="s">
        <v>155</v>
      </c>
      <c r="H916" s="49" t="s">
        <v>155</v>
      </c>
      <c r="I916" s="132"/>
      <c r="J916" s="53"/>
    </row>
    <row r="917" hidden="1">
      <c r="A917" s="110" t="s">
        <v>4692</v>
      </c>
      <c r="B917" s="49" t="s">
        <v>4693</v>
      </c>
      <c r="C917" s="49" t="s">
        <v>139</v>
      </c>
      <c r="D917" s="50">
        <v>42887.0</v>
      </c>
      <c r="E917" s="50">
        <v>42887.0</v>
      </c>
      <c r="F917" s="49" t="s">
        <v>160</v>
      </c>
      <c r="G917" s="49" t="s">
        <v>453</v>
      </c>
      <c r="H917" s="49" t="s">
        <v>244</v>
      </c>
      <c r="I917" s="132"/>
      <c r="J917" s="53"/>
    </row>
    <row r="918" hidden="1">
      <c r="A918" s="110" t="s">
        <v>4697</v>
      </c>
      <c r="B918" s="49" t="s">
        <v>4698</v>
      </c>
      <c r="C918" s="49" t="s">
        <v>139</v>
      </c>
      <c r="D918" s="50">
        <v>42887.0</v>
      </c>
      <c r="E918" s="50">
        <v>42887.0</v>
      </c>
      <c r="F918" s="49" t="s">
        <v>160</v>
      </c>
      <c r="G918" s="49" t="s">
        <v>141</v>
      </c>
      <c r="H918" s="49" t="s">
        <v>244</v>
      </c>
      <c r="I918" s="132"/>
      <c r="J918" s="53"/>
    </row>
    <row r="919" hidden="1">
      <c r="A919" s="110" t="s">
        <v>4700</v>
      </c>
      <c r="B919" s="49" t="s">
        <v>4702</v>
      </c>
      <c r="C919" s="49" t="s">
        <v>139</v>
      </c>
      <c r="D919" s="50">
        <v>42886.0</v>
      </c>
      <c r="E919" s="50">
        <v>42887.0</v>
      </c>
      <c r="F919" s="49" t="s">
        <v>160</v>
      </c>
      <c r="G919" s="49" t="s">
        <v>453</v>
      </c>
      <c r="H919" s="49" t="s">
        <v>244</v>
      </c>
      <c r="I919" s="132"/>
      <c r="J919" s="53"/>
    </row>
    <row r="920" hidden="1">
      <c r="A920" s="110" t="s">
        <v>4703</v>
      </c>
      <c r="B920" s="49" t="s">
        <v>4705</v>
      </c>
      <c r="C920" s="49" t="s">
        <v>139</v>
      </c>
      <c r="D920" s="50">
        <v>42886.0</v>
      </c>
      <c r="E920" s="50">
        <v>42887.0</v>
      </c>
      <c r="F920" s="49" t="s">
        <v>160</v>
      </c>
      <c r="G920" s="49" t="s">
        <v>141</v>
      </c>
      <c r="H920" s="49" t="s">
        <v>244</v>
      </c>
      <c r="I920" s="132"/>
      <c r="J920" s="53"/>
    </row>
    <row r="921" hidden="1">
      <c r="A921" s="110" t="s">
        <v>4707</v>
      </c>
      <c r="B921" s="49" t="s">
        <v>4705</v>
      </c>
      <c r="C921" s="49" t="s">
        <v>139</v>
      </c>
      <c r="D921" s="50">
        <v>42886.0</v>
      </c>
      <c r="E921" s="50">
        <v>42887.0</v>
      </c>
      <c r="F921" s="49" t="s">
        <v>160</v>
      </c>
      <c r="G921" s="49" t="s">
        <v>141</v>
      </c>
      <c r="H921" s="49" t="s">
        <v>244</v>
      </c>
      <c r="I921" s="132"/>
      <c r="J921" s="53"/>
    </row>
    <row r="922" hidden="1">
      <c r="A922" s="110" t="s">
        <v>4712</v>
      </c>
      <c r="B922" s="49" t="s">
        <v>4713</v>
      </c>
      <c r="C922" s="49" t="s">
        <v>139</v>
      </c>
      <c r="D922" s="50">
        <v>42886.0</v>
      </c>
      <c r="E922" s="50">
        <v>42887.0</v>
      </c>
      <c r="F922" s="49" t="s">
        <v>160</v>
      </c>
      <c r="G922" s="49" t="s">
        <v>244</v>
      </c>
      <c r="H922" s="49" t="s">
        <v>244</v>
      </c>
      <c r="I922" s="132"/>
      <c r="J922" s="53"/>
    </row>
    <row r="923" hidden="1">
      <c r="A923" s="110" t="s">
        <v>4715</v>
      </c>
      <c r="B923" s="49" t="s">
        <v>4717</v>
      </c>
      <c r="C923" s="49" t="s">
        <v>139</v>
      </c>
      <c r="D923" s="50">
        <v>42881.0</v>
      </c>
      <c r="E923" s="133"/>
      <c r="F923" s="49" t="s">
        <v>176</v>
      </c>
      <c r="G923" s="49" t="s">
        <v>337</v>
      </c>
      <c r="H923" s="49" t="s">
        <v>140</v>
      </c>
      <c r="I923" s="132"/>
      <c r="J923" s="53"/>
    </row>
    <row r="924" hidden="1">
      <c r="A924" s="110" t="s">
        <v>4720</v>
      </c>
      <c r="B924" s="49" t="s">
        <v>4722</v>
      </c>
      <c r="C924" s="49" t="s">
        <v>139</v>
      </c>
      <c r="D924" s="50">
        <v>42881.0</v>
      </c>
      <c r="E924" s="50">
        <v>42881.0</v>
      </c>
      <c r="F924" s="49" t="s">
        <v>160</v>
      </c>
      <c r="G924" s="49" t="s">
        <v>453</v>
      </c>
      <c r="H924" s="49" t="s">
        <v>244</v>
      </c>
      <c r="I924" s="132"/>
      <c r="J924" s="53"/>
    </row>
    <row r="925" hidden="1">
      <c r="A925" s="110" t="s">
        <v>4723</v>
      </c>
      <c r="B925" s="49" t="s">
        <v>4725</v>
      </c>
      <c r="C925" s="49" t="s">
        <v>139</v>
      </c>
      <c r="D925" s="50">
        <v>42881.0</v>
      </c>
      <c r="E925" s="50">
        <v>42881.0</v>
      </c>
      <c r="F925" s="49" t="s">
        <v>160</v>
      </c>
      <c r="G925" s="49" t="s">
        <v>141</v>
      </c>
      <c r="H925" s="49" t="s">
        <v>244</v>
      </c>
      <c r="I925" s="132"/>
      <c r="J925" s="53"/>
    </row>
    <row r="926" hidden="1">
      <c r="A926" s="110" t="s">
        <v>4727</v>
      </c>
      <c r="B926" s="49" t="s">
        <v>4729</v>
      </c>
      <c r="C926" s="49" t="s">
        <v>139</v>
      </c>
      <c r="D926" s="50">
        <v>42881.0</v>
      </c>
      <c r="E926" s="50">
        <v>42881.0</v>
      </c>
      <c r="F926" s="49" t="s">
        <v>160</v>
      </c>
      <c r="G926" s="49" t="s">
        <v>141</v>
      </c>
      <c r="H926" s="49" t="s">
        <v>244</v>
      </c>
      <c r="I926" s="132"/>
      <c r="J926" s="53"/>
    </row>
    <row r="927" hidden="1">
      <c r="A927" s="110" t="s">
        <v>4732</v>
      </c>
      <c r="B927" s="49" t="s">
        <v>4733</v>
      </c>
      <c r="C927" s="49" t="s">
        <v>139</v>
      </c>
      <c r="D927" s="50">
        <v>42881.0</v>
      </c>
      <c r="E927" s="50">
        <v>42881.0</v>
      </c>
      <c r="F927" s="49" t="s">
        <v>160</v>
      </c>
      <c r="G927" s="49" t="s">
        <v>141</v>
      </c>
      <c r="H927" s="49" t="s">
        <v>244</v>
      </c>
      <c r="I927" s="132"/>
      <c r="J927" s="53"/>
    </row>
    <row r="928" hidden="1">
      <c r="A928" s="110" t="s">
        <v>4737</v>
      </c>
      <c r="B928" s="49" t="s">
        <v>4740</v>
      </c>
      <c r="C928" s="49" t="s">
        <v>139</v>
      </c>
      <c r="D928" s="50">
        <v>42881.0</v>
      </c>
      <c r="E928" s="50">
        <v>42899.0</v>
      </c>
      <c r="F928" s="49" t="s">
        <v>160</v>
      </c>
      <c r="G928" s="49" t="s">
        <v>141</v>
      </c>
      <c r="H928" s="49" t="s">
        <v>244</v>
      </c>
      <c r="I928" s="132"/>
      <c r="J928" s="53"/>
    </row>
    <row r="929" hidden="1">
      <c r="A929" s="110" t="s">
        <v>4746</v>
      </c>
      <c r="B929" s="49" t="s">
        <v>4748</v>
      </c>
      <c r="C929" s="49" t="s">
        <v>139</v>
      </c>
      <c r="D929" s="50">
        <v>42881.0</v>
      </c>
      <c r="E929" s="50">
        <v>42881.0</v>
      </c>
      <c r="F929" s="49" t="s">
        <v>160</v>
      </c>
      <c r="G929" s="49" t="s">
        <v>2926</v>
      </c>
      <c r="H929" s="49" t="s">
        <v>244</v>
      </c>
      <c r="I929" s="132"/>
      <c r="J929" s="53"/>
    </row>
    <row r="930" hidden="1">
      <c r="A930" s="110" t="s">
        <v>4750</v>
      </c>
      <c r="B930" s="49" t="s">
        <v>4752</v>
      </c>
      <c r="C930" s="49" t="s">
        <v>139</v>
      </c>
      <c r="D930" s="50">
        <v>42881.0</v>
      </c>
      <c r="E930" s="50">
        <v>42881.0</v>
      </c>
      <c r="F930" s="49" t="s">
        <v>160</v>
      </c>
      <c r="G930" s="49" t="s">
        <v>2926</v>
      </c>
      <c r="H930" s="49" t="s">
        <v>244</v>
      </c>
      <c r="I930" s="132"/>
      <c r="J930" s="53"/>
    </row>
    <row r="931" hidden="1">
      <c r="A931" s="110" t="s">
        <v>4753</v>
      </c>
      <c r="B931" s="49" t="s">
        <v>4756</v>
      </c>
      <c r="C931" s="49" t="s">
        <v>139</v>
      </c>
      <c r="D931" s="50">
        <v>42878.0</v>
      </c>
      <c r="E931" s="53"/>
      <c r="F931" s="49" t="s">
        <v>176</v>
      </c>
      <c r="G931" s="49" t="s">
        <v>2926</v>
      </c>
      <c r="H931" s="49" t="s">
        <v>337</v>
      </c>
      <c r="I931" s="132"/>
      <c r="J931" s="53"/>
    </row>
    <row r="932" hidden="1">
      <c r="A932" s="110" t="s">
        <v>4757</v>
      </c>
      <c r="B932" s="49" t="s">
        <v>4758</v>
      </c>
      <c r="C932" s="49" t="s">
        <v>139</v>
      </c>
      <c r="D932" s="50">
        <v>42878.0</v>
      </c>
      <c r="E932" s="133"/>
      <c r="F932" s="49" t="s">
        <v>215</v>
      </c>
      <c r="G932" s="49" t="s">
        <v>148</v>
      </c>
      <c r="H932" s="49" t="s">
        <v>216</v>
      </c>
      <c r="I932" s="132"/>
      <c r="J932" s="53"/>
    </row>
    <row r="933" hidden="1">
      <c r="A933" s="110" t="s">
        <v>4761</v>
      </c>
      <c r="B933" s="49" t="s">
        <v>4764</v>
      </c>
      <c r="C933" s="49" t="s">
        <v>139</v>
      </c>
      <c r="D933" s="50">
        <v>42874.0</v>
      </c>
      <c r="E933" s="53"/>
      <c r="F933" s="139"/>
      <c r="G933" s="49" t="s">
        <v>140</v>
      </c>
      <c r="H933" s="49" t="s">
        <v>140</v>
      </c>
      <c r="I933" s="132"/>
      <c r="J933" s="53"/>
    </row>
    <row r="934" hidden="1">
      <c r="A934" s="110" t="s">
        <v>4766</v>
      </c>
      <c r="B934" s="49" t="s">
        <v>4769</v>
      </c>
      <c r="C934" s="49" t="s">
        <v>139</v>
      </c>
      <c r="D934" s="50">
        <v>42873.0</v>
      </c>
      <c r="E934" s="53"/>
      <c r="F934" s="139"/>
      <c r="G934" s="49" t="s">
        <v>140</v>
      </c>
      <c r="H934" s="49" t="s">
        <v>140</v>
      </c>
      <c r="I934" s="132"/>
      <c r="J934" s="53"/>
    </row>
    <row r="935" hidden="1">
      <c r="A935" s="110" t="s">
        <v>4771</v>
      </c>
      <c r="B935" s="49" t="s">
        <v>4774</v>
      </c>
      <c r="C935" s="49" t="s">
        <v>139</v>
      </c>
      <c r="D935" s="50">
        <v>42872.0</v>
      </c>
      <c r="E935" s="133"/>
      <c r="F935" s="49" t="s">
        <v>176</v>
      </c>
      <c r="G935" s="49" t="s">
        <v>155</v>
      </c>
      <c r="H935" s="49" t="s">
        <v>177</v>
      </c>
      <c r="I935" s="132"/>
      <c r="J935" s="53"/>
    </row>
    <row r="936" hidden="1">
      <c r="A936" s="110" t="s">
        <v>4775</v>
      </c>
      <c r="B936" s="49" t="s">
        <v>4777</v>
      </c>
      <c r="C936" s="49" t="s">
        <v>139</v>
      </c>
      <c r="D936" s="50">
        <v>42872.0</v>
      </c>
      <c r="E936" s="50">
        <v>42850.0</v>
      </c>
      <c r="F936" s="49" t="s">
        <v>176</v>
      </c>
      <c r="G936" s="49" t="s">
        <v>2926</v>
      </c>
      <c r="H936" s="49" t="s">
        <v>155</v>
      </c>
      <c r="I936" s="132"/>
      <c r="J936" s="53"/>
    </row>
    <row r="937" hidden="1">
      <c r="A937" s="110" t="s">
        <v>4779</v>
      </c>
      <c r="B937" s="49" t="s">
        <v>4780</v>
      </c>
      <c r="C937" s="49" t="s">
        <v>139</v>
      </c>
      <c r="D937" s="50">
        <v>42870.0</v>
      </c>
      <c r="E937" s="50">
        <v>42870.0</v>
      </c>
      <c r="F937" s="49" t="s">
        <v>160</v>
      </c>
      <c r="G937" s="49" t="s">
        <v>141</v>
      </c>
      <c r="H937" s="49" t="s">
        <v>244</v>
      </c>
      <c r="I937" s="132"/>
      <c r="J937" s="53"/>
    </row>
    <row r="938" hidden="1">
      <c r="A938" s="110" t="s">
        <v>4781</v>
      </c>
      <c r="B938" s="49" t="s">
        <v>4395</v>
      </c>
      <c r="C938" s="49" t="s">
        <v>139</v>
      </c>
      <c r="D938" s="50">
        <v>42870.0</v>
      </c>
      <c r="E938" s="50">
        <v>42870.0</v>
      </c>
      <c r="F938" s="49" t="s">
        <v>160</v>
      </c>
      <c r="G938" s="49" t="s">
        <v>244</v>
      </c>
      <c r="H938" s="49" t="s">
        <v>244</v>
      </c>
      <c r="I938" s="132"/>
      <c r="J938" s="53"/>
    </row>
    <row r="939" hidden="1">
      <c r="A939" s="110" t="s">
        <v>4785</v>
      </c>
      <c r="B939" s="49" t="s">
        <v>4787</v>
      </c>
      <c r="C939" s="49" t="s">
        <v>139</v>
      </c>
      <c r="D939" s="50">
        <v>42870.0</v>
      </c>
      <c r="E939" s="50" t="s">
        <v>92</v>
      </c>
      <c r="F939" s="49" t="s">
        <v>176</v>
      </c>
      <c r="G939" s="49" t="s">
        <v>2926</v>
      </c>
      <c r="H939" s="49" t="s">
        <v>177</v>
      </c>
      <c r="I939" s="132"/>
      <c r="J939" s="53"/>
    </row>
    <row r="940" hidden="1">
      <c r="A940" s="110" t="s">
        <v>4788</v>
      </c>
      <c r="B940" s="49" t="s">
        <v>4791</v>
      </c>
      <c r="C940" s="49" t="s">
        <v>139</v>
      </c>
      <c r="D940" s="50">
        <v>42867.0</v>
      </c>
      <c r="E940" s="133"/>
      <c r="F940" s="49" t="s">
        <v>176</v>
      </c>
      <c r="G940" s="49" t="s">
        <v>170</v>
      </c>
      <c r="H940" s="49" t="s">
        <v>177</v>
      </c>
      <c r="I940" s="132"/>
      <c r="J940" s="53"/>
    </row>
    <row r="941" hidden="1">
      <c r="A941" s="110" t="s">
        <v>4792</v>
      </c>
      <c r="B941" s="49" t="s">
        <v>4793</v>
      </c>
      <c r="C941" s="49" t="s">
        <v>139</v>
      </c>
      <c r="D941" s="50">
        <v>42867.0</v>
      </c>
      <c r="E941" s="133"/>
      <c r="F941" s="49" t="s">
        <v>176</v>
      </c>
      <c r="G941" s="49" t="s">
        <v>170</v>
      </c>
      <c r="H941" s="49" t="s">
        <v>177</v>
      </c>
      <c r="I941" s="132"/>
      <c r="J941" s="53"/>
    </row>
    <row r="942" hidden="1">
      <c r="A942" s="110" t="s">
        <v>4796</v>
      </c>
      <c r="B942" s="49" t="s">
        <v>4797</v>
      </c>
      <c r="C942" s="49" t="s">
        <v>139</v>
      </c>
      <c r="D942" s="50">
        <v>42864.0</v>
      </c>
      <c r="E942" s="50">
        <v>42864.0</v>
      </c>
      <c r="F942" s="49" t="s">
        <v>160</v>
      </c>
      <c r="G942" s="49" t="s">
        <v>453</v>
      </c>
      <c r="H942" s="49" t="s">
        <v>244</v>
      </c>
      <c r="I942" s="132"/>
      <c r="J942" s="53"/>
    </row>
    <row r="943" hidden="1">
      <c r="A943" s="110" t="s">
        <v>4800</v>
      </c>
      <c r="B943" s="49" t="s">
        <v>4801</v>
      </c>
      <c r="C943" s="49" t="s">
        <v>139</v>
      </c>
      <c r="D943" s="50">
        <v>42864.0</v>
      </c>
      <c r="E943" s="50">
        <v>42864.0</v>
      </c>
      <c r="F943" s="49" t="s">
        <v>160</v>
      </c>
      <c r="G943" s="49" t="s">
        <v>453</v>
      </c>
      <c r="H943" s="49" t="s">
        <v>244</v>
      </c>
      <c r="I943" s="132"/>
      <c r="J943" s="53"/>
    </row>
    <row r="944" hidden="1">
      <c r="A944" s="110" t="s">
        <v>4804</v>
      </c>
      <c r="B944" s="49" t="s">
        <v>4805</v>
      </c>
      <c r="C944" s="49" t="s">
        <v>139</v>
      </c>
      <c r="D944" s="50">
        <v>42864.0</v>
      </c>
      <c r="E944" s="50">
        <v>42865.0</v>
      </c>
      <c r="F944" s="49" t="s">
        <v>160</v>
      </c>
      <c r="G944" s="49" t="s">
        <v>2926</v>
      </c>
      <c r="H944" s="49" t="s">
        <v>244</v>
      </c>
      <c r="I944" s="132"/>
      <c r="J944" s="53"/>
    </row>
    <row r="945" hidden="1">
      <c r="A945" s="110" t="s">
        <v>4807</v>
      </c>
      <c r="B945" s="49" t="s">
        <v>4207</v>
      </c>
      <c r="C945" s="49" t="s">
        <v>139</v>
      </c>
      <c r="D945" s="50">
        <v>42864.0</v>
      </c>
      <c r="E945" s="50">
        <v>42865.0</v>
      </c>
      <c r="F945" s="49" t="s">
        <v>160</v>
      </c>
      <c r="G945" s="49" t="s">
        <v>2926</v>
      </c>
      <c r="H945" s="49" t="s">
        <v>244</v>
      </c>
      <c r="I945" s="132"/>
      <c r="J945" s="53"/>
    </row>
    <row r="946" hidden="1">
      <c r="A946" s="110" t="s">
        <v>4809</v>
      </c>
      <c r="B946" s="49" t="s">
        <v>4812</v>
      </c>
      <c r="C946" s="49" t="s">
        <v>139</v>
      </c>
      <c r="D946" s="50">
        <v>42863.0</v>
      </c>
      <c r="E946" s="133"/>
      <c r="F946" s="49" t="s">
        <v>1399</v>
      </c>
      <c r="G946" s="49" t="s">
        <v>2926</v>
      </c>
      <c r="H946" s="49" t="s">
        <v>1400</v>
      </c>
      <c r="I946" s="132"/>
      <c r="J946" s="53"/>
    </row>
    <row r="947" hidden="1">
      <c r="A947" s="110" t="s">
        <v>4813</v>
      </c>
      <c r="B947" s="49" t="s">
        <v>4814</v>
      </c>
      <c r="C947" s="49" t="s">
        <v>139</v>
      </c>
      <c r="D947" s="50">
        <v>42860.0</v>
      </c>
      <c r="E947" s="133"/>
      <c r="F947" s="49" t="s">
        <v>176</v>
      </c>
      <c r="G947" s="49" t="s">
        <v>155</v>
      </c>
      <c r="H947" s="49" t="s">
        <v>155</v>
      </c>
      <c r="I947" s="132"/>
      <c r="J947" s="53"/>
    </row>
    <row r="948" hidden="1">
      <c r="A948" s="110" t="s">
        <v>4816</v>
      </c>
      <c r="B948" s="49" t="s">
        <v>4818</v>
      </c>
      <c r="C948" s="49" t="s">
        <v>139</v>
      </c>
      <c r="D948" s="50">
        <v>42859.0</v>
      </c>
      <c r="E948" s="50">
        <v>42863.0</v>
      </c>
      <c r="F948" s="49" t="s">
        <v>160</v>
      </c>
      <c r="G948" s="49" t="s">
        <v>453</v>
      </c>
      <c r="H948" s="49" t="s">
        <v>244</v>
      </c>
      <c r="I948" s="132"/>
      <c r="J948" s="53"/>
    </row>
    <row r="949" hidden="1">
      <c r="A949" s="110" t="s">
        <v>4819</v>
      </c>
      <c r="B949" s="49" t="s">
        <v>4820</v>
      </c>
      <c r="C949" s="49" t="s">
        <v>2554</v>
      </c>
      <c r="D949" s="50">
        <v>42859.0</v>
      </c>
      <c r="E949" s="50">
        <v>42864.0</v>
      </c>
      <c r="F949" s="49" t="s">
        <v>160</v>
      </c>
      <c r="G949" s="49" t="s">
        <v>244</v>
      </c>
      <c r="H949" s="49" t="s">
        <v>244</v>
      </c>
      <c r="I949" s="132"/>
      <c r="J949" s="53"/>
    </row>
    <row r="950" hidden="1">
      <c r="A950" s="110" t="s">
        <v>4822</v>
      </c>
      <c r="B950" s="49" t="s">
        <v>4824</v>
      </c>
      <c r="C950" s="49" t="s">
        <v>139</v>
      </c>
      <c r="D950" s="50">
        <v>42859.0</v>
      </c>
      <c r="E950" s="50">
        <v>42886.0</v>
      </c>
      <c r="F950" s="49" t="s">
        <v>160</v>
      </c>
      <c r="G950" s="49" t="s">
        <v>244</v>
      </c>
      <c r="H950" s="49" t="s">
        <v>244</v>
      </c>
      <c r="I950" s="132"/>
      <c r="J950" s="53"/>
    </row>
    <row r="951" hidden="1">
      <c r="A951" s="110" t="s">
        <v>4825</v>
      </c>
      <c r="B951" s="49" t="s">
        <v>4826</v>
      </c>
      <c r="C951" s="49" t="s">
        <v>139</v>
      </c>
      <c r="D951" s="50">
        <v>42851.0</v>
      </c>
      <c r="E951" s="53"/>
      <c r="F951" s="49" t="s">
        <v>176</v>
      </c>
      <c r="G951" s="49" t="s">
        <v>4827</v>
      </c>
      <c r="H951" s="49" t="s">
        <v>140</v>
      </c>
      <c r="I951" s="132"/>
      <c r="J951" s="53"/>
    </row>
    <row r="952" hidden="1">
      <c r="A952" s="110" t="s">
        <v>4830</v>
      </c>
      <c r="B952" s="49" t="s">
        <v>4831</v>
      </c>
      <c r="C952" s="49" t="s">
        <v>139</v>
      </c>
      <c r="D952" s="50">
        <v>42851.0</v>
      </c>
      <c r="E952" s="53"/>
      <c r="F952" s="49" t="s">
        <v>176</v>
      </c>
      <c r="G952" s="49" t="s">
        <v>155</v>
      </c>
      <c r="H952" s="49" t="s">
        <v>140</v>
      </c>
      <c r="I952" s="132"/>
      <c r="J952" s="53"/>
    </row>
    <row r="953" hidden="1">
      <c r="A953" s="110" t="s">
        <v>4834</v>
      </c>
      <c r="B953" s="49" t="s">
        <v>4836</v>
      </c>
      <c r="C953" s="49" t="s">
        <v>139</v>
      </c>
      <c r="D953" s="50">
        <v>42850.0</v>
      </c>
      <c r="E953" s="53"/>
      <c r="F953" s="49" t="s">
        <v>176</v>
      </c>
      <c r="G953" s="49" t="s">
        <v>4838</v>
      </c>
      <c r="H953" s="49" t="s">
        <v>140</v>
      </c>
      <c r="I953" s="132"/>
      <c r="J953" s="53"/>
    </row>
    <row r="954" hidden="1">
      <c r="A954" s="110" t="s">
        <v>4839</v>
      </c>
      <c r="B954" s="49" t="s">
        <v>4836</v>
      </c>
      <c r="C954" s="49" t="s">
        <v>139</v>
      </c>
      <c r="D954" s="50">
        <v>42850.0</v>
      </c>
      <c r="E954" s="53"/>
      <c r="F954" s="49" t="s">
        <v>176</v>
      </c>
      <c r="G954" s="49" t="s">
        <v>337</v>
      </c>
      <c r="H954" s="49" t="s">
        <v>140</v>
      </c>
      <c r="I954" s="132"/>
      <c r="J954" s="53"/>
    </row>
    <row r="955" hidden="1">
      <c r="A955" s="110" t="s">
        <v>4842</v>
      </c>
      <c r="B955" s="49" t="s">
        <v>4844</v>
      </c>
      <c r="C955" s="49" t="s">
        <v>139</v>
      </c>
      <c r="D955" s="50">
        <v>42850.0</v>
      </c>
      <c r="E955" s="133"/>
      <c r="F955" s="49" t="s">
        <v>398</v>
      </c>
      <c r="G955" s="49" t="s">
        <v>453</v>
      </c>
      <c r="H955" s="49" t="s">
        <v>4728</v>
      </c>
      <c r="I955" s="132"/>
      <c r="J955" s="133"/>
    </row>
    <row r="956" hidden="1">
      <c r="A956" s="110" t="s">
        <v>4846</v>
      </c>
      <c r="B956" s="49" t="s">
        <v>4847</v>
      </c>
      <c r="C956" s="49" t="s">
        <v>139</v>
      </c>
      <c r="D956" s="50">
        <v>42850.0</v>
      </c>
      <c r="E956" s="50">
        <v>42706.0</v>
      </c>
      <c r="F956" s="49" t="s">
        <v>723</v>
      </c>
      <c r="G956" s="49" t="s">
        <v>2926</v>
      </c>
      <c r="H956" s="49" t="s">
        <v>609</v>
      </c>
      <c r="I956" s="132"/>
      <c r="J956" s="53"/>
    </row>
    <row r="957" hidden="1">
      <c r="A957" s="110" t="s">
        <v>4850</v>
      </c>
      <c r="B957" s="49" t="s">
        <v>4851</v>
      </c>
      <c r="C957" s="49" t="s">
        <v>139</v>
      </c>
      <c r="D957" s="50">
        <v>42849.0</v>
      </c>
      <c r="E957" s="133"/>
      <c r="F957" s="49" t="s">
        <v>176</v>
      </c>
      <c r="G957" s="49" t="s">
        <v>155</v>
      </c>
      <c r="H957" s="49" t="s">
        <v>140</v>
      </c>
      <c r="I957" s="132"/>
      <c r="J957" s="53"/>
    </row>
    <row r="958" hidden="1">
      <c r="A958" s="110" t="s">
        <v>4854</v>
      </c>
      <c r="B958" s="49" t="s">
        <v>4855</v>
      </c>
      <c r="C958" s="49" t="s">
        <v>139</v>
      </c>
      <c r="D958" s="50">
        <v>42849.0</v>
      </c>
      <c r="E958" s="53"/>
      <c r="F958" s="49" t="s">
        <v>176</v>
      </c>
      <c r="G958" s="49" t="s">
        <v>155</v>
      </c>
      <c r="H958" s="49" t="s">
        <v>140</v>
      </c>
      <c r="I958" s="132"/>
      <c r="J958" s="53"/>
    </row>
    <row r="959" hidden="1">
      <c r="A959" s="110" t="s">
        <v>4858</v>
      </c>
      <c r="B959" s="49" t="s">
        <v>4851</v>
      </c>
      <c r="C959" s="49" t="s">
        <v>139</v>
      </c>
      <c r="D959" s="50">
        <v>42849.0</v>
      </c>
      <c r="E959" s="133"/>
      <c r="F959" s="49" t="s">
        <v>176</v>
      </c>
      <c r="G959" s="49" t="s">
        <v>337</v>
      </c>
      <c r="H959" s="49" t="s">
        <v>140</v>
      </c>
      <c r="I959" s="132"/>
      <c r="J959" s="53"/>
    </row>
    <row r="960" hidden="1">
      <c r="A960" s="110" t="s">
        <v>4860</v>
      </c>
      <c r="B960" s="49" t="s">
        <v>4863</v>
      </c>
      <c r="C960" s="49" t="s">
        <v>139</v>
      </c>
      <c r="D960" s="50">
        <v>42846.0</v>
      </c>
      <c r="E960" s="50">
        <v>42850.0</v>
      </c>
      <c r="F960" s="49" t="s">
        <v>215</v>
      </c>
      <c r="G960" s="49" t="s">
        <v>140</v>
      </c>
      <c r="H960" s="49" t="s">
        <v>216</v>
      </c>
      <c r="I960" s="132"/>
      <c r="J960" s="53"/>
    </row>
    <row r="961" hidden="1">
      <c r="A961" s="110" t="s">
        <v>4864</v>
      </c>
      <c r="B961" s="49" t="s">
        <v>4867</v>
      </c>
      <c r="C961" s="49" t="s">
        <v>139</v>
      </c>
      <c r="D961" s="50">
        <v>42845.0</v>
      </c>
      <c r="E961" s="133"/>
      <c r="F961" s="49" t="s">
        <v>160</v>
      </c>
      <c r="G961" s="49" t="s">
        <v>155</v>
      </c>
      <c r="H961" s="49" t="s">
        <v>155</v>
      </c>
      <c r="I961" s="132"/>
      <c r="J961" s="53"/>
    </row>
    <row r="962" hidden="1">
      <c r="A962" s="110" t="s">
        <v>4868</v>
      </c>
      <c r="B962" s="49" t="s">
        <v>4870</v>
      </c>
      <c r="C962" s="49" t="s">
        <v>139</v>
      </c>
      <c r="D962" s="50">
        <v>42843.0</v>
      </c>
      <c r="E962" s="50">
        <v>42850.0</v>
      </c>
      <c r="F962" s="49" t="s">
        <v>723</v>
      </c>
      <c r="G962" s="49" t="s">
        <v>2926</v>
      </c>
      <c r="H962" s="49" t="s">
        <v>609</v>
      </c>
      <c r="I962" s="132"/>
      <c r="J962" s="53"/>
    </row>
    <row r="963" hidden="1">
      <c r="A963" s="110" t="s">
        <v>4872</v>
      </c>
      <c r="B963" s="49" t="s">
        <v>4873</v>
      </c>
      <c r="C963" s="49" t="s">
        <v>139</v>
      </c>
      <c r="D963" s="50">
        <v>42842.0</v>
      </c>
      <c r="E963" s="133"/>
      <c r="F963" s="49" t="s">
        <v>215</v>
      </c>
      <c r="G963" s="49" t="s">
        <v>2926</v>
      </c>
      <c r="H963" s="49" t="s">
        <v>216</v>
      </c>
      <c r="I963" s="132"/>
      <c r="J963" s="53"/>
    </row>
    <row r="964" hidden="1">
      <c r="A964" s="110" t="s">
        <v>4876</v>
      </c>
      <c r="B964" s="49" t="s">
        <v>4787</v>
      </c>
      <c r="C964" s="49" t="s">
        <v>139</v>
      </c>
      <c r="D964" s="50">
        <v>42839.0</v>
      </c>
      <c r="E964" s="50">
        <v>42845.0</v>
      </c>
      <c r="F964" s="49" t="s">
        <v>176</v>
      </c>
      <c r="G964" s="49" t="s">
        <v>155</v>
      </c>
      <c r="H964" s="49" t="s">
        <v>155</v>
      </c>
      <c r="I964" s="132"/>
      <c r="J964" s="53"/>
    </row>
    <row r="965" hidden="1">
      <c r="A965" s="110" t="s">
        <v>4877</v>
      </c>
      <c r="B965" s="49" t="s">
        <v>4614</v>
      </c>
      <c r="C965" s="49" t="s">
        <v>139</v>
      </c>
      <c r="D965" s="50">
        <v>42839.0</v>
      </c>
      <c r="E965" s="50">
        <v>42846.0</v>
      </c>
      <c r="F965" s="49" t="s">
        <v>176</v>
      </c>
      <c r="G965" s="49" t="s">
        <v>155</v>
      </c>
      <c r="H965" s="49" t="s">
        <v>155</v>
      </c>
      <c r="I965" s="132"/>
      <c r="J965" s="53"/>
    </row>
    <row r="966" hidden="1">
      <c r="A966" s="110" t="s">
        <v>4881</v>
      </c>
      <c r="B966" s="49" t="s">
        <v>4882</v>
      </c>
      <c r="C966" s="49" t="s">
        <v>139</v>
      </c>
      <c r="D966" s="50">
        <v>42839.0</v>
      </c>
      <c r="E966" s="50">
        <v>42850.0</v>
      </c>
      <c r="F966" s="49" t="s">
        <v>176</v>
      </c>
      <c r="G966" s="49" t="s">
        <v>155</v>
      </c>
      <c r="H966" s="49" t="s">
        <v>155</v>
      </c>
      <c r="I966" s="132"/>
      <c r="J966" s="53"/>
    </row>
    <row r="967" hidden="1">
      <c r="A967" s="110" t="s">
        <v>4886</v>
      </c>
      <c r="B967" s="49" t="s">
        <v>4887</v>
      </c>
      <c r="C967" s="49" t="s">
        <v>139</v>
      </c>
      <c r="D967" s="50">
        <v>42839.0</v>
      </c>
      <c r="E967" s="50">
        <v>42706.0</v>
      </c>
      <c r="F967" s="49" t="s">
        <v>723</v>
      </c>
      <c r="G967" s="49" t="s">
        <v>2926</v>
      </c>
      <c r="H967" s="49" t="s">
        <v>609</v>
      </c>
      <c r="I967" s="132"/>
      <c r="J967" s="53"/>
    </row>
    <row r="968" hidden="1">
      <c r="A968" s="110" t="s">
        <v>4890</v>
      </c>
      <c r="B968" s="49" t="s">
        <v>4891</v>
      </c>
      <c r="C968" s="49" t="s">
        <v>139</v>
      </c>
      <c r="D968" s="50">
        <v>42835.0</v>
      </c>
      <c r="E968" s="50">
        <v>42695.0</v>
      </c>
      <c r="F968" s="49" t="s">
        <v>176</v>
      </c>
      <c r="G968" s="49" t="s">
        <v>453</v>
      </c>
      <c r="H968" s="49" t="s">
        <v>177</v>
      </c>
      <c r="I968" s="132"/>
      <c r="J968" s="53"/>
    </row>
    <row r="969" hidden="1">
      <c r="A969" s="110" t="s">
        <v>4893</v>
      </c>
      <c r="B969" s="49" t="s">
        <v>4895</v>
      </c>
      <c r="C969" s="49" t="s">
        <v>139</v>
      </c>
      <c r="D969" s="50">
        <v>42835.0</v>
      </c>
      <c r="E969" s="50">
        <v>42654.0</v>
      </c>
      <c r="F969" s="49" t="s">
        <v>176</v>
      </c>
      <c r="G969" s="49" t="s">
        <v>453</v>
      </c>
      <c r="H969" s="49" t="s">
        <v>177</v>
      </c>
      <c r="I969" s="132"/>
      <c r="J969" s="53"/>
    </row>
    <row r="970" hidden="1">
      <c r="A970" s="110" t="s">
        <v>4896</v>
      </c>
      <c r="B970" s="49" t="s">
        <v>4899</v>
      </c>
      <c r="C970" s="49" t="s">
        <v>139</v>
      </c>
      <c r="D970" s="50">
        <v>42835.0</v>
      </c>
      <c r="E970" s="133"/>
      <c r="F970" s="49" t="s">
        <v>176</v>
      </c>
      <c r="G970" s="49" t="s">
        <v>453</v>
      </c>
      <c r="H970" s="49" t="s">
        <v>140</v>
      </c>
      <c r="I970" s="132"/>
      <c r="J970" s="53"/>
    </row>
    <row r="971" hidden="1">
      <c r="A971" s="110" t="s">
        <v>4900</v>
      </c>
      <c r="B971" s="49" t="s">
        <v>4903</v>
      </c>
      <c r="C971" s="49" t="s">
        <v>139</v>
      </c>
      <c r="D971" s="50">
        <v>42835.0</v>
      </c>
      <c r="E971" s="133"/>
      <c r="F971" s="49" t="s">
        <v>176</v>
      </c>
      <c r="G971" s="49" t="s">
        <v>453</v>
      </c>
      <c r="H971" s="49" t="s">
        <v>140</v>
      </c>
      <c r="I971" s="132"/>
      <c r="J971" s="53"/>
    </row>
    <row r="972" hidden="1">
      <c r="A972" s="110" t="s">
        <v>4904</v>
      </c>
      <c r="B972" s="49" t="s">
        <v>4907</v>
      </c>
      <c r="C972" s="49" t="s">
        <v>139</v>
      </c>
      <c r="D972" s="50">
        <v>42835.0</v>
      </c>
      <c r="E972" s="50">
        <v>42706.0</v>
      </c>
      <c r="F972" s="49" t="s">
        <v>176</v>
      </c>
      <c r="G972" s="49" t="s">
        <v>2926</v>
      </c>
      <c r="H972" s="49" t="s">
        <v>177</v>
      </c>
      <c r="I972" s="132"/>
      <c r="J972" s="53"/>
    </row>
    <row r="973" hidden="1">
      <c r="A973" s="110" t="s">
        <v>4909</v>
      </c>
      <c r="B973" s="49" t="s">
        <v>4910</v>
      </c>
      <c r="C973" s="49" t="s">
        <v>139</v>
      </c>
      <c r="D973" s="50">
        <v>42835.0</v>
      </c>
      <c r="E973" s="50">
        <v>42822.0</v>
      </c>
      <c r="F973" s="49" t="s">
        <v>176</v>
      </c>
      <c r="G973" s="49" t="s">
        <v>2926</v>
      </c>
      <c r="H973" s="49" t="s">
        <v>177</v>
      </c>
      <c r="I973" s="132"/>
      <c r="J973" s="53"/>
    </row>
    <row r="974" hidden="1">
      <c r="A974" s="110" t="s">
        <v>4913</v>
      </c>
      <c r="B974" s="49" t="s">
        <v>4914</v>
      </c>
      <c r="C974" s="49" t="s">
        <v>139</v>
      </c>
      <c r="D974" s="50">
        <v>42831.0</v>
      </c>
      <c r="E974" s="50">
        <v>42832.0</v>
      </c>
      <c r="F974" s="49" t="s">
        <v>160</v>
      </c>
      <c r="G974" s="49" t="s">
        <v>453</v>
      </c>
      <c r="H974" s="49" t="s">
        <v>244</v>
      </c>
      <c r="I974" s="132"/>
      <c r="J974" s="53"/>
    </row>
    <row r="975" hidden="1">
      <c r="A975" s="110" t="s">
        <v>4916</v>
      </c>
      <c r="B975" s="49" t="s">
        <v>4918</v>
      </c>
      <c r="C975" s="49" t="s">
        <v>139</v>
      </c>
      <c r="D975" s="50">
        <v>42831.0</v>
      </c>
      <c r="E975" s="50">
        <v>42832.0</v>
      </c>
      <c r="F975" s="49" t="s">
        <v>160</v>
      </c>
      <c r="G975" s="49" t="s">
        <v>141</v>
      </c>
      <c r="H975" s="49" t="s">
        <v>244</v>
      </c>
      <c r="I975" s="132"/>
      <c r="J975" s="53"/>
    </row>
    <row r="976" hidden="1">
      <c r="A976" s="110" t="s">
        <v>4919</v>
      </c>
      <c r="B976" s="49" t="s">
        <v>4921</v>
      </c>
      <c r="C976" s="49" t="s">
        <v>139</v>
      </c>
      <c r="D976" s="50">
        <v>42831.0</v>
      </c>
      <c r="E976" s="50">
        <v>42838.0</v>
      </c>
      <c r="F976" s="49" t="s">
        <v>160</v>
      </c>
      <c r="G976" s="49" t="s">
        <v>453</v>
      </c>
      <c r="H976" s="49" t="s">
        <v>244</v>
      </c>
      <c r="I976" s="132"/>
      <c r="J976" s="53"/>
    </row>
    <row r="977" hidden="1">
      <c r="A977" s="110" t="s">
        <v>4922</v>
      </c>
      <c r="B977" s="49" t="s">
        <v>4923</v>
      </c>
      <c r="C977" s="49" t="s">
        <v>139</v>
      </c>
      <c r="D977" s="50">
        <v>42831.0</v>
      </c>
      <c r="E977" s="50">
        <v>42845.0</v>
      </c>
      <c r="F977" s="49" t="s">
        <v>160</v>
      </c>
      <c r="G977" s="49" t="s">
        <v>141</v>
      </c>
      <c r="H977" s="49" t="s">
        <v>244</v>
      </c>
      <c r="I977" s="132"/>
      <c r="J977" s="53"/>
    </row>
    <row r="978" hidden="1">
      <c r="A978" s="110" t="s">
        <v>4926</v>
      </c>
      <c r="B978" s="49" t="s">
        <v>4927</v>
      </c>
      <c r="C978" s="49" t="s">
        <v>139</v>
      </c>
      <c r="D978" s="50">
        <v>42831.0</v>
      </c>
      <c r="E978" s="50">
        <v>42838.0</v>
      </c>
      <c r="F978" s="49" t="s">
        <v>160</v>
      </c>
      <c r="G978" s="49" t="s">
        <v>453</v>
      </c>
      <c r="H978" s="49" t="s">
        <v>244</v>
      </c>
      <c r="I978" s="132"/>
      <c r="J978" s="53"/>
    </row>
    <row r="979" hidden="1">
      <c r="A979" s="110" t="s">
        <v>4930</v>
      </c>
      <c r="B979" s="49" t="s">
        <v>4931</v>
      </c>
      <c r="C979" s="49" t="s">
        <v>139</v>
      </c>
      <c r="D979" s="50">
        <v>42831.0</v>
      </c>
      <c r="E979" s="50">
        <v>42845.0</v>
      </c>
      <c r="F979" s="49" t="s">
        <v>160</v>
      </c>
      <c r="G979" s="49" t="s">
        <v>141</v>
      </c>
      <c r="H979" s="49" t="s">
        <v>244</v>
      </c>
      <c r="I979" s="132"/>
      <c r="J979" s="53"/>
    </row>
    <row r="980" hidden="1">
      <c r="A980" s="110" t="s">
        <v>4934</v>
      </c>
      <c r="B980" s="49" t="s">
        <v>4935</v>
      </c>
      <c r="C980" s="49" t="s">
        <v>139</v>
      </c>
      <c r="D980" s="50">
        <v>42831.0</v>
      </c>
      <c r="E980" s="50">
        <v>42836.0</v>
      </c>
      <c r="F980" s="49" t="s">
        <v>160</v>
      </c>
      <c r="G980" s="49" t="s">
        <v>453</v>
      </c>
      <c r="H980" s="49" t="s">
        <v>244</v>
      </c>
      <c r="I980" s="132"/>
      <c r="J980" s="53"/>
    </row>
    <row r="981" hidden="1">
      <c r="A981" s="110" t="s">
        <v>4937</v>
      </c>
      <c r="B981" s="49" t="s">
        <v>4939</v>
      </c>
      <c r="C981" s="49" t="s">
        <v>139</v>
      </c>
      <c r="D981" s="50">
        <v>42831.0</v>
      </c>
      <c r="E981" s="50">
        <v>42695.0</v>
      </c>
      <c r="F981" s="49" t="s">
        <v>176</v>
      </c>
      <c r="G981" s="49" t="s">
        <v>453</v>
      </c>
      <c r="H981" s="49" t="s">
        <v>177</v>
      </c>
      <c r="I981" s="132"/>
      <c r="J981" s="53"/>
    </row>
    <row r="982" hidden="1">
      <c r="A982" s="110" t="s">
        <v>4940</v>
      </c>
      <c r="B982" s="49" t="s">
        <v>4941</v>
      </c>
      <c r="C982" s="49" t="s">
        <v>139</v>
      </c>
      <c r="D982" s="50">
        <v>42831.0</v>
      </c>
      <c r="E982" s="50">
        <v>42695.0</v>
      </c>
      <c r="F982" s="49" t="s">
        <v>176</v>
      </c>
      <c r="G982" s="49" t="s">
        <v>453</v>
      </c>
      <c r="H982" s="49" t="s">
        <v>177</v>
      </c>
      <c r="I982" s="132"/>
      <c r="J982" s="53"/>
    </row>
    <row r="983" hidden="1">
      <c r="A983" s="110" t="s">
        <v>4942</v>
      </c>
      <c r="B983" s="49" t="s">
        <v>4943</v>
      </c>
      <c r="C983" s="49" t="s">
        <v>139</v>
      </c>
      <c r="D983" s="50">
        <v>42831.0</v>
      </c>
      <c r="E983" s="133"/>
      <c r="F983" s="49" t="s">
        <v>176</v>
      </c>
      <c r="G983" s="49" t="s">
        <v>337</v>
      </c>
      <c r="H983" s="49" t="s">
        <v>177</v>
      </c>
      <c r="I983" s="132"/>
      <c r="J983" s="53"/>
    </row>
    <row r="984" hidden="1">
      <c r="A984" s="110" t="s">
        <v>4944</v>
      </c>
      <c r="B984" s="49" t="s">
        <v>4946</v>
      </c>
      <c r="C984" s="49" t="s">
        <v>139</v>
      </c>
      <c r="D984" s="50">
        <v>42831.0</v>
      </c>
      <c r="E984" s="50">
        <v>42710.0</v>
      </c>
      <c r="F984" s="49" t="s">
        <v>176</v>
      </c>
      <c r="G984" s="49" t="s">
        <v>453</v>
      </c>
      <c r="H984" s="49" t="s">
        <v>177</v>
      </c>
      <c r="I984" s="132"/>
      <c r="J984" s="53"/>
    </row>
    <row r="985" hidden="1">
      <c r="A985" s="110" t="s">
        <v>4948</v>
      </c>
      <c r="B985" s="49" t="s">
        <v>4949</v>
      </c>
      <c r="C985" s="49" t="s">
        <v>139</v>
      </c>
      <c r="D985" s="50">
        <v>42831.0</v>
      </c>
      <c r="E985" s="53"/>
      <c r="F985" s="49" t="s">
        <v>176</v>
      </c>
      <c r="G985" s="49" t="s">
        <v>170</v>
      </c>
      <c r="H985" s="49" t="s">
        <v>337</v>
      </c>
      <c r="I985" s="132"/>
      <c r="J985" s="53"/>
    </row>
    <row r="986" hidden="1">
      <c r="A986" s="110" t="s">
        <v>4952</v>
      </c>
      <c r="B986" s="49" t="s">
        <v>4953</v>
      </c>
      <c r="C986" s="49" t="s">
        <v>139</v>
      </c>
      <c r="D986" s="50">
        <v>42831.0</v>
      </c>
      <c r="E986" s="133"/>
      <c r="F986" s="49" t="s">
        <v>176</v>
      </c>
      <c r="G986" s="49" t="s">
        <v>170</v>
      </c>
      <c r="H986" s="49" t="s">
        <v>337</v>
      </c>
      <c r="I986" s="132"/>
      <c r="J986" s="53"/>
    </row>
    <row r="987" hidden="1">
      <c r="A987" s="110" t="s">
        <v>4957</v>
      </c>
      <c r="B987" s="49" t="s">
        <v>4958</v>
      </c>
      <c r="C987" s="49" t="s">
        <v>139</v>
      </c>
      <c r="D987" s="50">
        <v>42831.0</v>
      </c>
      <c r="E987" s="50">
        <v>42850.0</v>
      </c>
      <c r="F987" s="49" t="s">
        <v>160</v>
      </c>
      <c r="G987" s="49" t="s">
        <v>2926</v>
      </c>
      <c r="H987" s="49" t="s">
        <v>244</v>
      </c>
      <c r="I987" s="132"/>
      <c r="J987" s="53"/>
    </row>
    <row r="988" hidden="1">
      <c r="A988" s="110" t="s">
        <v>4959</v>
      </c>
      <c r="B988" s="49" t="s">
        <v>4961</v>
      </c>
      <c r="C988" s="49" t="s">
        <v>139</v>
      </c>
      <c r="D988" s="50">
        <v>42831.0</v>
      </c>
      <c r="E988" s="50">
        <v>42877.0</v>
      </c>
      <c r="F988" s="49" t="s">
        <v>160</v>
      </c>
      <c r="G988" s="49" t="s">
        <v>2926</v>
      </c>
      <c r="H988" s="49" t="s">
        <v>244</v>
      </c>
      <c r="I988" s="132"/>
      <c r="J988" s="53"/>
    </row>
    <row r="989" hidden="1">
      <c r="A989" s="110" t="s">
        <v>4963</v>
      </c>
      <c r="B989" s="49" t="s">
        <v>4964</v>
      </c>
      <c r="C989" s="49" t="s">
        <v>139</v>
      </c>
      <c r="D989" s="50">
        <v>42831.0</v>
      </c>
      <c r="E989" s="50">
        <v>42870.0</v>
      </c>
      <c r="F989" s="49" t="s">
        <v>160</v>
      </c>
      <c r="G989" s="49" t="s">
        <v>2926</v>
      </c>
      <c r="H989" s="49" t="s">
        <v>244</v>
      </c>
      <c r="I989" s="132"/>
      <c r="J989" s="53"/>
    </row>
    <row r="990" hidden="1">
      <c r="A990" s="110" t="s">
        <v>4967</v>
      </c>
      <c r="B990" s="49" t="s">
        <v>3380</v>
      </c>
      <c r="C990" s="49" t="s">
        <v>139</v>
      </c>
      <c r="D990" s="50">
        <v>42831.0</v>
      </c>
      <c r="E990" s="50">
        <v>42706.0</v>
      </c>
      <c r="F990" s="49" t="s">
        <v>176</v>
      </c>
      <c r="G990" s="49" t="s">
        <v>2926</v>
      </c>
      <c r="H990" s="49" t="s">
        <v>177</v>
      </c>
      <c r="I990" s="132"/>
      <c r="J990" s="53"/>
    </row>
    <row r="991" hidden="1">
      <c r="A991" s="110" t="s">
        <v>4970</v>
      </c>
      <c r="B991" s="49" t="s">
        <v>3384</v>
      </c>
      <c r="C991" s="49" t="s">
        <v>139</v>
      </c>
      <c r="D991" s="50">
        <v>42831.0</v>
      </c>
      <c r="E991" s="50">
        <v>42703.0</v>
      </c>
      <c r="F991" s="49" t="s">
        <v>176</v>
      </c>
      <c r="G991" s="49" t="s">
        <v>2926</v>
      </c>
      <c r="H991" s="49" t="s">
        <v>177</v>
      </c>
      <c r="I991" s="132"/>
      <c r="J991" s="53"/>
    </row>
    <row r="992" hidden="1">
      <c r="A992" s="110" t="s">
        <v>4973</v>
      </c>
      <c r="B992" s="49" t="s">
        <v>1859</v>
      </c>
      <c r="C992" s="49" t="s">
        <v>139</v>
      </c>
      <c r="D992" s="50">
        <v>42831.0</v>
      </c>
      <c r="E992" s="50">
        <v>42804.0</v>
      </c>
      <c r="F992" s="49" t="s">
        <v>176</v>
      </c>
      <c r="G992" s="49" t="s">
        <v>2926</v>
      </c>
      <c r="H992" s="49" t="s">
        <v>177</v>
      </c>
      <c r="I992" s="132"/>
      <c r="J992" s="53"/>
    </row>
    <row r="993" hidden="1">
      <c r="A993" s="110" t="s">
        <v>4974</v>
      </c>
      <c r="B993" s="49" t="s">
        <v>4791</v>
      </c>
      <c r="C993" s="49" t="s">
        <v>139</v>
      </c>
      <c r="D993" s="50">
        <v>42831.0</v>
      </c>
      <c r="E993" s="133"/>
      <c r="F993" s="49" t="s">
        <v>176</v>
      </c>
      <c r="G993" s="49" t="s">
        <v>2926</v>
      </c>
      <c r="H993" s="49" t="s">
        <v>337</v>
      </c>
      <c r="I993" s="132"/>
      <c r="J993" s="53"/>
    </row>
    <row r="994" hidden="1">
      <c r="A994" s="110" t="s">
        <v>4977</v>
      </c>
      <c r="B994" s="49" t="s">
        <v>4978</v>
      </c>
      <c r="C994" s="49" t="s">
        <v>139</v>
      </c>
      <c r="D994" s="50">
        <v>42831.0</v>
      </c>
      <c r="E994" s="50">
        <v>42865.0</v>
      </c>
      <c r="F994" s="49" t="s">
        <v>160</v>
      </c>
      <c r="G994" s="49" t="s">
        <v>2926</v>
      </c>
      <c r="H994" s="49" t="s">
        <v>244</v>
      </c>
      <c r="I994" s="132"/>
      <c r="J994" s="53"/>
    </row>
    <row r="995" hidden="1">
      <c r="A995" s="110" t="s">
        <v>4981</v>
      </c>
      <c r="B995" s="49" t="s">
        <v>4982</v>
      </c>
      <c r="C995" s="49" t="s">
        <v>139</v>
      </c>
      <c r="D995" s="50">
        <v>42830.0</v>
      </c>
      <c r="E995" s="50">
        <v>42835.0</v>
      </c>
      <c r="F995" s="49" t="s">
        <v>160</v>
      </c>
      <c r="G995" s="49" t="s">
        <v>453</v>
      </c>
      <c r="H995" s="49" t="s">
        <v>244</v>
      </c>
      <c r="I995" s="132"/>
      <c r="J995" s="53"/>
    </row>
    <row r="996" hidden="1">
      <c r="A996" s="110" t="s">
        <v>4985</v>
      </c>
      <c r="B996" s="49" t="s">
        <v>4987</v>
      </c>
      <c r="C996" s="49" t="s">
        <v>139</v>
      </c>
      <c r="D996" s="50">
        <v>42830.0</v>
      </c>
      <c r="E996" s="50">
        <v>42839.0</v>
      </c>
      <c r="F996" s="49" t="s">
        <v>160</v>
      </c>
      <c r="G996" s="49" t="s">
        <v>141</v>
      </c>
      <c r="H996" s="49" t="s">
        <v>244</v>
      </c>
      <c r="I996" s="132"/>
      <c r="J996" s="53"/>
    </row>
    <row r="997" hidden="1">
      <c r="A997" s="110" t="s">
        <v>4989</v>
      </c>
      <c r="B997" s="49" t="s">
        <v>4991</v>
      </c>
      <c r="C997" s="49" t="s">
        <v>139</v>
      </c>
      <c r="D997" s="50">
        <v>42830.0</v>
      </c>
      <c r="E997" s="50">
        <v>42835.0</v>
      </c>
      <c r="F997" s="49" t="s">
        <v>160</v>
      </c>
      <c r="G997" s="49" t="s">
        <v>453</v>
      </c>
      <c r="H997" s="49" t="s">
        <v>244</v>
      </c>
      <c r="I997" s="132"/>
      <c r="J997" s="53"/>
    </row>
    <row r="998" hidden="1">
      <c r="A998" s="110" t="s">
        <v>4993</v>
      </c>
      <c r="B998" s="49" t="s">
        <v>4994</v>
      </c>
      <c r="C998" s="49" t="s">
        <v>139</v>
      </c>
      <c r="D998" s="50">
        <v>42830.0</v>
      </c>
      <c r="E998" s="50">
        <v>42837.0</v>
      </c>
      <c r="F998" s="49" t="s">
        <v>160</v>
      </c>
      <c r="G998" s="49" t="s">
        <v>141</v>
      </c>
      <c r="H998" s="49" t="s">
        <v>244</v>
      </c>
      <c r="I998" s="132"/>
      <c r="J998" s="53"/>
    </row>
    <row r="999" hidden="1">
      <c r="A999" s="110" t="s">
        <v>4997</v>
      </c>
      <c r="B999" s="49" t="s">
        <v>4998</v>
      </c>
      <c r="C999" s="49" t="s">
        <v>139</v>
      </c>
      <c r="D999" s="50">
        <v>42830.0</v>
      </c>
      <c r="E999" s="50">
        <v>42835.0</v>
      </c>
      <c r="F999" s="49" t="s">
        <v>160</v>
      </c>
      <c r="G999" s="49" t="s">
        <v>453</v>
      </c>
      <c r="H999" s="49" t="s">
        <v>244</v>
      </c>
      <c r="I999" s="132"/>
      <c r="J999" s="53"/>
    </row>
    <row r="1000" hidden="1">
      <c r="A1000" s="110" t="s">
        <v>5000</v>
      </c>
      <c r="B1000" s="49" t="s">
        <v>5002</v>
      </c>
      <c r="C1000" s="49" t="s">
        <v>139</v>
      </c>
      <c r="D1000" s="50">
        <v>42830.0</v>
      </c>
      <c r="E1000" s="50">
        <v>42837.0</v>
      </c>
      <c r="F1000" s="49" t="s">
        <v>160</v>
      </c>
      <c r="G1000" s="49" t="s">
        <v>141</v>
      </c>
      <c r="H1000" s="49" t="s">
        <v>244</v>
      </c>
      <c r="I1000" s="132"/>
      <c r="J1000" s="53"/>
    </row>
    <row r="1001" hidden="1">
      <c r="A1001" s="110" t="s">
        <v>5003</v>
      </c>
      <c r="B1001" s="49" t="s">
        <v>5004</v>
      </c>
      <c r="C1001" s="49" t="s">
        <v>139</v>
      </c>
      <c r="D1001" s="50">
        <v>42830.0</v>
      </c>
      <c r="E1001" s="50">
        <v>42837.0</v>
      </c>
      <c r="F1001" s="49" t="s">
        <v>160</v>
      </c>
      <c r="G1001" s="49" t="s">
        <v>453</v>
      </c>
      <c r="H1001" s="49" t="s">
        <v>244</v>
      </c>
      <c r="I1001" s="132"/>
      <c r="J1001" s="53"/>
    </row>
    <row r="1002" hidden="1">
      <c r="A1002" s="110" t="s">
        <v>5007</v>
      </c>
      <c r="B1002" s="49" t="s">
        <v>5008</v>
      </c>
      <c r="C1002" s="49" t="s">
        <v>139</v>
      </c>
      <c r="D1002" s="50">
        <v>42830.0</v>
      </c>
      <c r="E1002" s="50">
        <v>42839.0</v>
      </c>
      <c r="F1002" s="49" t="s">
        <v>160</v>
      </c>
      <c r="G1002" s="49" t="s">
        <v>141</v>
      </c>
      <c r="H1002" s="49" t="s">
        <v>244</v>
      </c>
      <c r="I1002" s="132"/>
      <c r="J1002" s="53"/>
    </row>
    <row r="1003" hidden="1">
      <c r="A1003" s="110" t="s">
        <v>5010</v>
      </c>
      <c r="B1003" s="49" t="s">
        <v>5012</v>
      </c>
      <c r="C1003" s="49" t="s">
        <v>139</v>
      </c>
      <c r="D1003" s="50">
        <v>42830.0</v>
      </c>
      <c r="E1003" s="50">
        <v>42835.0</v>
      </c>
      <c r="F1003" s="49" t="s">
        <v>160</v>
      </c>
      <c r="G1003" s="49" t="s">
        <v>453</v>
      </c>
      <c r="H1003" s="49" t="s">
        <v>244</v>
      </c>
      <c r="I1003" s="132"/>
      <c r="J1003" s="53"/>
    </row>
    <row r="1004" hidden="1">
      <c r="A1004" s="110" t="s">
        <v>5014</v>
      </c>
      <c r="B1004" s="49" t="s">
        <v>5017</v>
      </c>
      <c r="C1004" s="49" t="s">
        <v>139</v>
      </c>
      <c r="D1004" s="50">
        <v>42830.0</v>
      </c>
      <c r="E1004" s="50">
        <v>42837.0</v>
      </c>
      <c r="F1004" s="49" t="s">
        <v>160</v>
      </c>
      <c r="G1004" s="49" t="s">
        <v>141</v>
      </c>
      <c r="H1004" s="49" t="s">
        <v>244</v>
      </c>
      <c r="I1004" s="132"/>
      <c r="J1004" s="53"/>
    </row>
    <row r="1005" hidden="1">
      <c r="A1005" s="110" t="s">
        <v>5018</v>
      </c>
      <c r="B1005" s="49" t="s">
        <v>5019</v>
      </c>
      <c r="C1005" s="49" t="s">
        <v>139</v>
      </c>
      <c r="D1005" s="50">
        <v>42830.0</v>
      </c>
      <c r="E1005" s="50">
        <v>42849.0</v>
      </c>
      <c r="F1005" s="49" t="s">
        <v>160</v>
      </c>
      <c r="G1005" s="49" t="s">
        <v>244</v>
      </c>
      <c r="H1005" s="49" t="s">
        <v>244</v>
      </c>
      <c r="I1005" s="132"/>
      <c r="J1005" s="53"/>
    </row>
    <row r="1006" hidden="1">
      <c r="A1006" s="110" t="s">
        <v>5022</v>
      </c>
      <c r="B1006" s="49" t="s">
        <v>5023</v>
      </c>
      <c r="C1006" s="49" t="s">
        <v>139</v>
      </c>
      <c r="D1006" s="50">
        <v>42830.0</v>
      </c>
      <c r="E1006" s="50">
        <v>42835.0</v>
      </c>
      <c r="F1006" s="49" t="s">
        <v>160</v>
      </c>
      <c r="G1006" s="49" t="s">
        <v>453</v>
      </c>
      <c r="H1006" s="49" t="s">
        <v>244</v>
      </c>
      <c r="I1006" s="132"/>
      <c r="J1006" s="53"/>
    </row>
    <row r="1007" hidden="1">
      <c r="A1007" s="110" t="s">
        <v>5024</v>
      </c>
      <c r="B1007" s="49" t="s">
        <v>5025</v>
      </c>
      <c r="C1007" s="49" t="s">
        <v>139</v>
      </c>
      <c r="D1007" s="50">
        <v>42830.0</v>
      </c>
      <c r="E1007" s="50">
        <v>42835.0</v>
      </c>
      <c r="F1007" s="49" t="s">
        <v>160</v>
      </c>
      <c r="G1007" s="49" t="s">
        <v>141</v>
      </c>
      <c r="H1007" s="49" t="s">
        <v>244</v>
      </c>
      <c r="I1007" s="132"/>
      <c r="J1007" s="53"/>
    </row>
    <row r="1008" hidden="1">
      <c r="A1008" s="110" t="s">
        <v>5028</v>
      </c>
      <c r="B1008" s="49" t="s">
        <v>5029</v>
      </c>
      <c r="C1008" s="49" t="s">
        <v>139</v>
      </c>
      <c r="D1008" s="50">
        <v>42830.0</v>
      </c>
      <c r="E1008" s="50">
        <v>42832.0</v>
      </c>
      <c r="F1008" s="49" t="s">
        <v>160</v>
      </c>
      <c r="G1008" s="49" t="s">
        <v>453</v>
      </c>
      <c r="H1008" s="49" t="s">
        <v>244</v>
      </c>
      <c r="I1008" s="132"/>
      <c r="J1008" s="53"/>
    </row>
    <row r="1009" hidden="1">
      <c r="A1009" s="110" t="s">
        <v>5030</v>
      </c>
      <c r="B1009" s="49" t="s">
        <v>5033</v>
      </c>
      <c r="C1009" s="49" t="s">
        <v>139</v>
      </c>
      <c r="D1009" s="50">
        <v>42830.0</v>
      </c>
      <c r="E1009" s="50">
        <v>42832.0</v>
      </c>
      <c r="F1009" s="49" t="s">
        <v>160</v>
      </c>
      <c r="G1009" s="49" t="s">
        <v>141</v>
      </c>
      <c r="H1009" s="49" t="s">
        <v>244</v>
      </c>
      <c r="I1009" s="132"/>
      <c r="J1009" s="53"/>
    </row>
    <row r="1010" hidden="1">
      <c r="A1010" s="110" t="s">
        <v>5034</v>
      </c>
      <c r="B1010" s="49" t="s">
        <v>5037</v>
      </c>
      <c r="C1010" s="49" t="s">
        <v>139</v>
      </c>
      <c r="D1010" s="50">
        <v>42830.0</v>
      </c>
      <c r="E1010" s="50">
        <v>42832.0</v>
      </c>
      <c r="F1010" s="49" t="s">
        <v>160</v>
      </c>
      <c r="G1010" s="49" t="s">
        <v>453</v>
      </c>
      <c r="H1010" s="49" t="s">
        <v>244</v>
      </c>
      <c r="I1010" s="132"/>
      <c r="J1010" s="53"/>
    </row>
    <row r="1011" hidden="1">
      <c r="A1011" s="110" t="s">
        <v>5039</v>
      </c>
      <c r="B1011" s="49" t="s">
        <v>5040</v>
      </c>
      <c r="C1011" s="49" t="s">
        <v>139</v>
      </c>
      <c r="D1011" s="50">
        <v>42830.0</v>
      </c>
      <c r="E1011" s="50">
        <v>42832.0</v>
      </c>
      <c r="F1011" s="49" t="s">
        <v>160</v>
      </c>
      <c r="G1011" s="49" t="s">
        <v>141</v>
      </c>
      <c r="H1011" s="49" t="s">
        <v>244</v>
      </c>
      <c r="I1011" s="132"/>
      <c r="J1011" s="53"/>
    </row>
    <row r="1012" hidden="1">
      <c r="A1012" s="110" t="s">
        <v>5043</v>
      </c>
      <c r="B1012" s="49" t="s">
        <v>5044</v>
      </c>
      <c r="C1012" s="49" t="s">
        <v>139</v>
      </c>
      <c r="D1012" s="50">
        <v>42830.0</v>
      </c>
      <c r="E1012" s="50">
        <v>42832.0</v>
      </c>
      <c r="F1012" s="49" t="s">
        <v>160</v>
      </c>
      <c r="G1012" s="49" t="s">
        <v>453</v>
      </c>
      <c r="H1012" s="49" t="s">
        <v>244</v>
      </c>
      <c r="I1012" s="132"/>
      <c r="J1012" s="53"/>
    </row>
    <row r="1013" hidden="1">
      <c r="A1013" s="110" t="s">
        <v>5047</v>
      </c>
      <c r="B1013" s="49" t="s">
        <v>5048</v>
      </c>
      <c r="C1013" s="49" t="s">
        <v>139</v>
      </c>
      <c r="D1013" s="50">
        <v>42830.0</v>
      </c>
      <c r="E1013" s="50">
        <v>42832.0</v>
      </c>
      <c r="F1013" s="49" t="s">
        <v>160</v>
      </c>
      <c r="G1013" s="49" t="s">
        <v>141</v>
      </c>
      <c r="H1013" s="49" t="s">
        <v>244</v>
      </c>
      <c r="I1013" s="132"/>
      <c r="J1013" s="53"/>
    </row>
    <row r="1014" hidden="1">
      <c r="A1014" s="110" t="s">
        <v>5049</v>
      </c>
      <c r="B1014" s="49" t="s">
        <v>5052</v>
      </c>
      <c r="C1014" s="49" t="s">
        <v>139</v>
      </c>
      <c r="D1014" s="50">
        <v>42830.0</v>
      </c>
      <c r="E1014" s="50">
        <v>42837.0</v>
      </c>
      <c r="F1014" s="49" t="s">
        <v>160</v>
      </c>
      <c r="G1014" s="49" t="s">
        <v>140</v>
      </c>
      <c r="H1014" s="49" t="s">
        <v>244</v>
      </c>
      <c r="I1014" s="132"/>
      <c r="J1014" s="53"/>
    </row>
    <row r="1015" hidden="1">
      <c r="A1015" s="110" t="s">
        <v>5053</v>
      </c>
      <c r="B1015" s="49" t="s">
        <v>5055</v>
      </c>
      <c r="C1015" s="49" t="s">
        <v>139</v>
      </c>
      <c r="D1015" s="50">
        <v>42830.0</v>
      </c>
      <c r="E1015" s="50">
        <v>42832.0</v>
      </c>
      <c r="F1015" s="49" t="s">
        <v>160</v>
      </c>
      <c r="G1015" s="49" t="s">
        <v>453</v>
      </c>
      <c r="H1015" s="49" t="s">
        <v>244</v>
      </c>
      <c r="I1015" s="132"/>
      <c r="J1015" s="53"/>
    </row>
    <row r="1016" hidden="1">
      <c r="A1016" s="110" t="s">
        <v>5057</v>
      </c>
      <c r="B1016" s="49" t="s">
        <v>5060</v>
      </c>
      <c r="C1016" s="49" t="s">
        <v>139</v>
      </c>
      <c r="D1016" s="50">
        <v>42830.0</v>
      </c>
      <c r="E1016" s="50">
        <v>42832.0</v>
      </c>
      <c r="F1016" s="49" t="s">
        <v>160</v>
      </c>
      <c r="G1016" s="49" t="s">
        <v>141</v>
      </c>
      <c r="H1016" s="49" t="s">
        <v>244</v>
      </c>
      <c r="I1016" s="132"/>
      <c r="J1016" s="53"/>
    </row>
    <row r="1017" hidden="1">
      <c r="A1017" s="110" t="s">
        <v>5062</v>
      </c>
      <c r="B1017" s="49" t="s">
        <v>5063</v>
      </c>
      <c r="C1017" s="49" t="s">
        <v>139</v>
      </c>
      <c r="D1017" s="50">
        <v>42830.0</v>
      </c>
      <c r="E1017" s="50">
        <v>42831.0</v>
      </c>
      <c r="F1017" s="49" t="s">
        <v>160</v>
      </c>
      <c r="G1017" s="49" t="s">
        <v>453</v>
      </c>
      <c r="H1017" s="49" t="s">
        <v>244</v>
      </c>
      <c r="I1017" s="132"/>
      <c r="J1017" s="53"/>
    </row>
    <row r="1018" hidden="1">
      <c r="A1018" s="110" t="s">
        <v>5066</v>
      </c>
      <c r="B1018" s="49" t="s">
        <v>5067</v>
      </c>
      <c r="C1018" s="49" t="s">
        <v>139</v>
      </c>
      <c r="D1018" s="50">
        <v>42830.0</v>
      </c>
      <c r="E1018" s="50">
        <v>42851.0</v>
      </c>
      <c r="F1018" s="49" t="s">
        <v>160</v>
      </c>
      <c r="G1018" s="49" t="s">
        <v>2926</v>
      </c>
      <c r="H1018" s="49" t="s">
        <v>244</v>
      </c>
      <c r="I1018" s="132"/>
      <c r="J1018" s="53"/>
    </row>
    <row r="1019" hidden="1">
      <c r="A1019" s="110" t="s">
        <v>5070</v>
      </c>
      <c r="B1019" s="49" t="s">
        <v>5073</v>
      </c>
      <c r="C1019" s="49" t="s">
        <v>139</v>
      </c>
      <c r="D1019" s="50">
        <v>42830.0</v>
      </c>
      <c r="E1019" s="50">
        <v>42849.0</v>
      </c>
      <c r="F1019" s="49" t="s">
        <v>160</v>
      </c>
      <c r="G1019" s="49" t="s">
        <v>2926</v>
      </c>
      <c r="H1019" s="49" t="s">
        <v>244</v>
      </c>
      <c r="I1019" s="132"/>
      <c r="J1019" s="53"/>
    </row>
    <row r="1020" hidden="1">
      <c r="A1020" s="110" t="s">
        <v>5075</v>
      </c>
      <c r="B1020" s="49" t="s">
        <v>5019</v>
      </c>
      <c r="C1020" s="49" t="s">
        <v>139</v>
      </c>
      <c r="D1020" s="50">
        <v>42830.0</v>
      </c>
      <c r="E1020" s="50">
        <v>42849.0</v>
      </c>
      <c r="F1020" s="49" t="s">
        <v>160</v>
      </c>
      <c r="G1020" s="49" t="s">
        <v>2926</v>
      </c>
      <c r="H1020" s="49" t="s">
        <v>244</v>
      </c>
      <c r="I1020" s="132"/>
      <c r="J1020" s="133"/>
    </row>
    <row r="1021" hidden="1">
      <c r="A1021" s="110" t="s">
        <v>5078</v>
      </c>
      <c r="B1021" s="49" t="s">
        <v>5081</v>
      </c>
      <c r="C1021" s="49" t="s">
        <v>139</v>
      </c>
      <c r="D1021" s="50">
        <v>42830.0</v>
      </c>
      <c r="E1021" s="50">
        <v>42852.0</v>
      </c>
      <c r="F1021" s="49" t="s">
        <v>160</v>
      </c>
      <c r="G1021" s="49" t="s">
        <v>2926</v>
      </c>
      <c r="H1021" s="49" t="s">
        <v>244</v>
      </c>
      <c r="I1021" s="132"/>
      <c r="J1021" s="133"/>
    </row>
    <row r="1022" hidden="1">
      <c r="A1022" s="110" t="s">
        <v>5082</v>
      </c>
      <c r="B1022" s="49" t="s">
        <v>5085</v>
      </c>
      <c r="C1022" s="49" t="s">
        <v>139</v>
      </c>
      <c r="D1022" s="50">
        <v>42830.0</v>
      </c>
      <c r="E1022" s="50">
        <v>42842.0</v>
      </c>
      <c r="F1022" s="49" t="s">
        <v>160</v>
      </c>
      <c r="G1022" s="49" t="s">
        <v>2926</v>
      </c>
      <c r="H1022" s="49" t="s">
        <v>244</v>
      </c>
      <c r="I1022" s="132"/>
      <c r="J1022" s="133"/>
    </row>
    <row r="1023" hidden="1">
      <c r="A1023" s="110" t="s">
        <v>5087</v>
      </c>
      <c r="B1023" s="49" t="s">
        <v>5090</v>
      </c>
      <c r="C1023" s="49" t="s">
        <v>139</v>
      </c>
      <c r="D1023" s="50">
        <v>42830.0</v>
      </c>
      <c r="E1023" s="50">
        <v>42839.0</v>
      </c>
      <c r="F1023" s="49" t="s">
        <v>160</v>
      </c>
      <c r="G1023" s="49" t="s">
        <v>2926</v>
      </c>
      <c r="H1023" s="49" t="s">
        <v>244</v>
      </c>
      <c r="I1023" s="132"/>
      <c r="J1023" s="133"/>
    </row>
    <row r="1024" hidden="1">
      <c r="A1024" s="110" t="s">
        <v>5091</v>
      </c>
      <c r="B1024" s="49" t="s">
        <v>5092</v>
      </c>
      <c r="C1024" s="49" t="s">
        <v>139</v>
      </c>
      <c r="D1024" s="50">
        <v>42830.0</v>
      </c>
      <c r="E1024" s="50">
        <v>42839.0</v>
      </c>
      <c r="F1024" s="49" t="s">
        <v>160</v>
      </c>
      <c r="G1024" s="49" t="s">
        <v>2926</v>
      </c>
      <c r="H1024" s="49" t="s">
        <v>244</v>
      </c>
      <c r="I1024" s="132"/>
      <c r="J1024" s="133"/>
    </row>
    <row r="1025" hidden="1">
      <c r="A1025" s="110" t="s">
        <v>5095</v>
      </c>
      <c r="B1025" s="49" t="s">
        <v>5096</v>
      </c>
      <c r="C1025" s="49" t="s">
        <v>139</v>
      </c>
      <c r="D1025" s="50">
        <v>42830.0</v>
      </c>
      <c r="E1025" s="133"/>
      <c r="F1025" s="49" t="s">
        <v>723</v>
      </c>
      <c r="G1025" s="49" t="s">
        <v>2926</v>
      </c>
      <c r="H1025" s="49" t="s">
        <v>609</v>
      </c>
      <c r="I1025" s="132"/>
      <c r="J1025" s="53"/>
    </row>
    <row r="1026" hidden="1">
      <c r="A1026" s="110" t="s">
        <v>5100</v>
      </c>
      <c r="B1026" s="49" t="s">
        <v>5101</v>
      </c>
      <c r="C1026" s="49" t="s">
        <v>139</v>
      </c>
      <c r="D1026" s="50">
        <v>42830.0</v>
      </c>
      <c r="E1026" s="50">
        <v>42837.0</v>
      </c>
      <c r="F1026" s="49" t="s">
        <v>160</v>
      </c>
      <c r="G1026" s="49" t="s">
        <v>2926</v>
      </c>
      <c r="H1026" s="49" t="s">
        <v>244</v>
      </c>
      <c r="I1026" s="132"/>
      <c r="J1026" s="133"/>
    </row>
    <row r="1027" hidden="1">
      <c r="A1027" s="110" t="s">
        <v>5103</v>
      </c>
      <c r="B1027" s="49" t="s">
        <v>5108</v>
      </c>
      <c r="C1027" s="49" t="s">
        <v>139</v>
      </c>
      <c r="D1027" s="50">
        <v>42830.0</v>
      </c>
      <c r="E1027" s="50">
        <v>42867.0</v>
      </c>
      <c r="F1027" s="49" t="s">
        <v>160</v>
      </c>
      <c r="G1027" s="49" t="s">
        <v>2926</v>
      </c>
      <c r="H1027" s="49" t="s">
        <v>244</v>
      </c>
      <c r="I1027" s="132"/>
      <c r="J1027" s="53"/>
    </row>
    <row r="1028" hidden="1">
      <c r="A1028" s="110" t="s">
        <v>5109</v>
      </c>
      <c r="B1028" s="49" t="s">
        <v>5110</v>
      </c>
      <c r="C1028" s="49" t="s">
        <v>139</v>
      </c>
      <c r="D1028" s="50">
        <v>42825.0</v>
      </c>
      <c r="E1028" s="133"/>
      <c r="F1028" s="49" t="s">
        <v>176</v>
      </c>
      <c r="G1028" s="49" t="s">
        <v>140</v>
      </c>
      <c r="H1028" s="49" t="s">
        <v>140</v>
      </c>
      <c r="I1028" s="132"/>
      <c r="J1028" s="53"/>
    </row>
    <row r="1029" hidden="1">
      <c r="A1029" s="110" t="s">
        <v>5112</v>
      </c>
      <c r="B1029" s="49" t="s">
        <v>5114</v>
      </c>
      <c r="C1029" s="49" t="s">
        <v>139</v>
      </c>
      <c r="D1029" s="50">
        <v>42824.0</v>
      </c>
      <c r="E1029" s="53"/>
      <c r="F1029" s="49" t="s">
        <v>160</v>
      </c>
      <c r="G1029" s="49" t="s">
        <v>155</v>
      </c>
      <c r="H1029" s="49" t="s">
        <v>141</v>
      </c>
      <c r="I1029" s="132"/>
      <c r="J1029" s="53"/>
    </row>
    <row r="1030" hidden="1">
      <c r="A1030" s="110" t="s">
        <v>5115</v>
      </c>
      <c r="B1030" s="49" t="s">
        <v>5116</v>
      </c>
      <c r="C1030" s="49" t="s">
        <v>139</v>
      </c>
      <c r="D1030" s="50">
        <v>42823.0</v>
      </c>
      <c r="E1030" s="133"/>
      <c r="F1030" s="49" t="s">
        <v>176</v>
      </c>
      <c r="G1030" s="49" t="s">
        <v>337</v>
      </c>
      <c r="H1030" s="49" t="s">
        <v>177</v>
      </c>
      <c r="I1030" s="132"/>
      <c r="J1030" s="53"/>
    </row>
    <row r="1031" hidden="1">
      <c r="A1031" s="110" t="s">
        <v>5119</v>
      </c>
      <c r="B1031" s="49" t="s">
        <v>5120</v>
      </c>
      <c r="C1031" s="49" t="s">
        <v>139</v>
      </c>
      <c r="D1031" s="50">
        <v>42823.0</v>
      </c>
      <c r="E1031" s="50">
        <v>42710.0</v>
      </c>
      <c r="F1031" s="49" t="s">
        <v>176</v>
      </c>
      <c r="G1031" s="49" t="s">
        <v>453</v>
      </c>
      <c r="H1031" s="49" t="s">
        <v>177</v>
      </c>
      <c r="I1031" s="132"/>
      <c r="J1031" s="53"/>
    </row>
    <row r="1032" hidden="1">
      <c r="A1032" s="110" t="s">
        <v>5121</v>
      </c>
      <c r="B1032" s="49" t="s">
        <v>4793</v>
      </c>
      <c r="C1032" s="49" t="s">
        <v>139</v>
      </c>
      <c r="D1032" s="50">
        <v>42823.0</v>
      </c>
      <c r="E1032" s="53"/>
      <c r="F1032" s="49" t="s">
        <v>176</v>
      </c>
      <c r="G1032" s="49" t="s">
        <v>140</v>
      </c>
      <c r="H1032" s="49" t="s">
        <v>177</v>
      </c>
      <c r="I1032" s="132"/>
      <c r="J1032" s="53"/>
    </row>
    <row r="1033" hidden="1">
      <c r="A1033" s="110" t="s">
        <v>5124</v>
      </c>
      <c r="B1033" s="49" t="s">
        <v>5125</v>
      </c>
      <c r="C1033" s="49" t="s">
        <v>139</v>
      </c>
      <c r="D1033" s="50">
        <v>42823.0</v>
      </c>
      <c r="E1033" s="50">
        <v>42830.0</v>
      </c>
      <c r="F1033" s="49" t="s">
        <v>723</v>
      </c>
      <c r="G1033" s="49" t="s">
        <v>2926</v>
      </c>
      <c r="H1033" s="49" t="s">
        <v>609</v>
      </c>
      <c r="I1033" s="132"/>
      <c r="J1033" s="53"/>
    </row>
    <row r="1034" hidden="1">
      <c r="A1034" s="110" t="s">
        <v>5127</v>
      </c>
      <c r="B1034" s="49" t="s">
        <v>5129</v>
      </c>
      <c r="C1034" s="49" t="s">
        <v>139</v>
      </c>
      <c r="D1034" s="50">
        <v>42823.0</v>
      </c>
      <c r="E1034" s="50">
        <v>42830.0</v>
      </c>
      <c r="F1034" s="49" t="s">
        <v>723</v>
      </c>
      <c r="G1034" s="49" t="s">
        <v>2926</v>
      </c>
      <c r="H1034" s="49" t="s">
        <v>609</v>
      </c>
      <c r="I1034" s="132"/>
      <c r="J1034" s="133"/>
    </row>
    <row r="1035" hidden="1">
      <c r="A1035" s="110" t="s">
        <v>5133</v>
      </c>
      <c r="B1035" s="49" t="s">
        <v>5135</v>
      </c>
      <c r="C1035" s="49" t="s">
        <v>139</v>
      </c>
      <c r="D1035" s="50">
        <v>42823.0</v>
      </c>
      <c r="E1035" s="50">
        <v>42837.0</v>
      </c>
      <c r="F1035" s="49" t="s">
        <v>176</v>
      </c>
      <c r="G1035" s="49" t="s">
        <v>2926</v>
      </c>
      <c r="H1035" s="49" t="s">
        <v>177</v>
      </c>
      <c r="I1035" s="132"/>
      <c r="J1035" s="133"/>
    </row>
    <row r="1036" hidden="1">
      <c r="A1036" s="110" t="s">
        <v>5140</v>
      </c>
      <c r="B1036" s="49" t="s">
        <v>5141</v>
      </c>
      <c r="C1036" s="49" t="s">
        <v>139</v>
      </c>
      <c r="D1036" s="50">
        <v>42823.0</v>
      </c>
      <c r="E1036" s="50">
        <v>45387.0</v>
      </c>
      <c r="F1036" s="49" t="s">
        <v>723</v>
      </c>
      <c r="G1036" s="49" t="s">
        <v>2926</v>
      </c>
      <c r="H1036" s="49" t="s">
        <v>609</v>
      </c>
      <c r="I1036" s="132"/>
      <c r="J1036" s="139"/>
    </row>
    <row r="1037" hidden="1">
      <c r="A1037" s="110" t="s">
        <v>5142</v>
      </c>
      <c r="B1037" s="49" t="s">
        <v>5144</v>
      </c>
      <c r="C1037" s="49" t="s">
        <v>139</v>
      </c>
      <c r="D1037" s="50">
        <v>42817.0</v>
      </c>
      <c r="E1037" s="53"/>
      <c r="F1037" s="49" t="s">
        <v>5146</v>
      </c>
      <c r="G1037" s="49" t="s">
        <v>453</v>
      </c>
      <c r="H1037" s="49" t="s">
        <v>453</v>
      </c>
      <c r="I1037" s="132"/>
      <c r="J1037" s="53"/>
    </row>
    <row r="1038" hidden="1">
      <c r="A1038" s="110" t="s">
        <v>5147</v>
      </c>
      <c r="B1038" s="49" t="s">
        <v>5148</v>
      </c>
      <c r="C1038" s="49" t="s">
        <v>139</v>
      </c>
      <c r="D1038" s="50">
        <v>42817.0</v>
      </c>
      <c r="E1038" s="133"/>
      <c r="F1038" s="49" t="s">
        <v>3271</v>
      </c>
      <c r="G1038" s="49" t="s">
        <v>283</v>
      </c>
      <c r="H1038" s="49" t="s">
        <v>216</v>
      </c>
      <c r="I1038" s="132"/>
      <c r="J1038" s="139"/>
    </row>
    <row r="1039" hidden="1">
      <c r="A1039" s="110" t="s">
        <v>5152</v>
      </c>
      <c r="B1039" s="49" t="s">
        <v>5153</v>
      </c>
      <c r="C1039" s="49" t="s">
        <v>139</v>
      </c>
      <c r="D1039" s="50">
        <v>42815.0</v>
      </c>
      <c r="E1039" s="53"/>
      <c r="F1039" s="49" t="s">
        <v>176</v>
      </c>
      <c r="G1039" s="49" t="s">
        <v>4827</v>
      </c>
      <c r="H1039" s="49" t="s">
        <v>140</v>
      </c>
      <c r="I1039" s="132"/>
      <c r="J1039" s="53"/>
    </row>
    <row r="1040" hidden="1">
      <c r="A1040" s="110" t="s">
        <v>5155</v>
      </c>
      <c r="B1040" s="49" t="s">
        <v>5159</v>
      </c>
      <c r="C1040" s="49" t="s">
        <v>139</v>
      </c>
      <c r="D1040" s="50">
        <v>42815.0</v>
      </c>
      <c r="E1040" s="133"/>
      <c r="F1040" s="49" t="s">
        <v>176</v>
      </c>
      <c r="G1040" s="49" t="s">
        <v>140</v>
      </c>
      <c r="H1040" s="49" t="s">
        <v>140</v>
      </c>
      <c r="I1040" s="132"/>
      <c r="J1040" s="53"/>
    </row>
    <row r="1041" hidden="1">
      <c r="A1041" s="110" t="s">
        <v>5160</v>
      </c>
      <c r="B1041" s="49" t="s">
        <v>5161</v>
      </c>
      <c r="C1041" s="49" t="s">
        <v>139</v>
      </c>
      <c r="D1041" s="50">
        <v>42809.0</v>
      </c>
      <c r="E1041" s="50">
        <v>42813.0</v>
      </c>
      <c r="F1041" s="49" t="s">
        <v>160</v>
      </c>
      <c r="G1041" s="49" t="s">
        <v>5164</v>
      </c>
      <c r="H1041" s="49" t="s">
        <v>141</v>
      </c>
      <c r="I1041" s="132"/>
      <c r="J1041" s="53"/>
    </row>
    <row r="1042" hidden="1">
      <c r="A1042" s="110" t="s">
        <v>5165</v>
      </c>
      <c r="B1042" s="49" t="s">
        <v>5166</v>
      </c>
      <c r="C1042" s="49" t="s">
        <v>139</v>
      </c>
      <c r="D1042" s="50">
        <v>42809.0</v>
      </c>
      <c r="E1042" s="50">
        <v>42813.0</v>
      </c>
      <c r="F1042" s="49" t="s">
        <v>160</v>
      </c>
      <c r="G1042" s="49" t="s">
        <v>141</v>
      </c>
      <c r="H1042" s="49" t="s">
        <v>141</v>
      </c>
      <c r="I1042" s="132"/>
      <c r="J1042" s="53"/>
    </row>
    <row r="1043" hidden="1">
      <c r="A1043" s="110" t="s">
        <v>5169</v>
      </c>
      <c r="B1043" s="49" t="s">
        <v>5170</v>
      </c>
      <c r="C1043" s="49" t="s">
        <v>139</v>
      </c>
      <c r="D1043" s="50">
        <v>42809.0</v>
      </c>
      <c r="E1043" s="50">
        <v>42813.0</v>
      </c>
      <c r="F1043" s="49" t="s">
        <v>160</v>
      </c>
      <c r="G1043" s="49" t="s">
        <v>5164</v>
      </c>
      <c r="H1043" s="49" t="s">
        <v>141</v>
      </c>
      <c r="I1043" s="132"/>
      <c r="J1043" s="53"/>
    </row>
    <row r="1044" hidden="1">
      <c r="A1044" s="110" t="s">
        <v>5174</v>
      </c>
      <c r="B1044" s="49" t="s">
        <v>5175</v>
      </c>
      <c r="C1044" s="49" t="s">
        <v>139</v>
      </c>
      <c r="D1044" s="50">
        <v>42809.0</v>
      </c>
      <c r="E1044" s="50">
        <v>42813.0</v>
      </c>
      <c r="F1044" s="49" t="s">
        <v>160</v>
      </c>
      <c r="G1044" s="49" t="s">
        <v>5164</v>
      </c>
      <c r="H1044" s="49" t="s">
        <v>141</v>
      </c>
      <c r="I1044" s="132"/>
      <c r="J1044" s="53"/>
    </row>
    <row r="1045" hidden="1">
      <c r="A1045" s="110" t="s">
        <v>5176</v>
      </c>
      <c r="B1045" s="49" t="s">
        <v>5177</v>
      </c>
      <c r="C1045" s="49" t="s">
        <v>139</v>
      </c>
      <c r="D1045" s="50">
        <v>42807.0</v>
      </c>
      <c r="E1045" s="50">
        <v>42813.0</v>
      </c>
      <c r="F1045" s="49" t="s">
        <v>160</v>
      </c>
      <c r="G1045" s="49" t="s">
        <v>141</v>
      </c>
      <c r="H1045" s="49" t="s">
        <v>141</v>
      </c>
      <c r="I1045" s="132"/>
      <c r="J1045" s="53"/>
    </row>
    <row r="1046" hidden="1">
      <c r="A1046" s="110" t="s">
        <v>5180</v>
      </c>
      <c r="B1046" s="49" t="s">
        <v>5181</v>
      </c>
      <c r="C1046" s="49" t="s">
        <v>139</v>
      </c>
      <c r="D1046" s="50">
        <v>42807.0</v>
      </c>
      <c r="E1046" s="50">
        <v>42809.0</v>
      </c>
      <c r="F1046" s="49" t="s">
        <v>160</v>
      </c>
      <c r="G1046" s="49" t="s">
        <v>453</v>
      </c>
      <c r="H1046" s="49" t="s">
        <v>244</v>
      </c>
      <c r="I1046" s="132"/>
      <c r="J1046" s="53"/>
    </row>
    <row r="1047" hidden="1">
      <c r="A1047" s="110" t="s">
        <v>5182</v>
      </c>
      <c r="B1047" s="49" t="s">
        <v>5184</v>
      </c>
      <c r="C1047" s="49" t="s">
        <v>139</v>
      </c>
      <c r="D1047" s="50">
        <v>42807.0</v>
      </c>
      <c r="E1047" s="50">
        <v>42813.0</v>
      </c>
      <c r="F1047" s="49" t="s">
        <v>160</v>
      </c>
      <c r="G1047" s="49" t="s">
        <v>155</v>
      </c>
      <c r="H1047" s="49" t="s">
        <v>141</v>
      </c>
      <c r="I1047" s="132"/>
      <c r="J1047" s="53"/>
    </row>
    <row r="1048" hidden="1">
      <c r="A1048" s="110" t="s">
        <v>5185</v>
      </c>
      <c r="B1048" s="49" t="s">
        <v>5081</v>
      </c>
      <c r="C1048" s="49" t="s">
        <v>139</v>
      </c>
      <c r="D1048" s="50">
        <v>42807.0</v>
      </c>
      <c r="E1048" s="50">
        <v>42823.0</v>
      </c>
      <c r="F1048" s="49" t="s">
        <v>160</v>
      </c>
      <c r="G1048" s="49" t="s">
        <v>2926</v>
      </c>
      <c r="H1048" s="49" t="s">
        <v>244</v>
      </c>
      <c r="I1048" s="132"/>
      <c r="J1048" s="139"/>
    </row>
    <row r="1049" hidden="1">
      <c r="A1049" s="110" t="s">
        <v>5188</v>
      </c>
      <c r="B1049" s="49" t="s">
        <v>5189</v>
      </c>
      <c r="C1049" s="49" t="s">
        <v>139</v>
      </c>
      <c r="D1049" s="50">
        <v>42804.0</v>
      </c>
      <c r="E1049" s="133"/>
      <c r="F1049" s="49" t="s">
        <v>176</v>
      </c>
      <c r="G1049" s="49" t="s">
        <v>140</v>
      </c>
      <c r="H1049" s="49" t="s">
        <v>4728</v>
      </c>
      <c r="I1049" s="132"/>
      <c r="J1049" s="53"/>
    </row>
    <row r="1050" hidden="1">
      <c r="A1050" s="110" t="s">
        <v>5192</v>
      </c>
      <c r="B1050" s="49" t="s">
        <v>5193</v>
      </c>
      <c r="C1050" s="49" t="s">
        <v>139</v>
      </c>
      <c r="D1050" s="50">
        <v>42803.0</v>
      </c>
      <c r="E1050" s="133"/>
      <c r="F1050" s="49" t="s">
        <v>160</v>
      </c>
      <c r="G1050" s="49" t="s">
        <v>5196</v>
      </c>
      <c r="H1050" s="49" t="s">
        <v>141</v>
      </c>
      <c r="I1050" s="132"/>
      <c r="J1050" s="53"/>
    </row>
    <row r="1051" hidden="1">
      <c r="A1051" s="110" t="s">
        <v>5197</v>
      </c>
      <c r="B1051" s="49" t="s">
        <v>5200</v>
      </c>
      <c r="C1051" s="49" t="s">
        <v>139</v>
      </c>
      <c r="D1051" s="50">
        <v>42802.0</v>
      </c>
      <c r="E1051" s="133"/>
      <c r="F1051" s="49" t="s">
        <v>215</v>
      </c>
      <c r="G1051" s="49" t="s">
        <v>140</v>
      </c>
      <c r="H1051" s="49" t="s">
        <v>216</v>
      </c>
      <c r="I1051" s="132"/>
      <c r="J1051" s="53"/>
    </row>
    <row r="1052" hidden="1">
      <c r="A1052" s="110" t="s">
        <v>5202</v>
      </c>
      <c r="B1052" s="49" t="s">
        <v>5205</v>
      </c>
      <c r="C1052" s="49" t="s">
        <v>139</v>
      </c>
      <c r="D1052" s="50">
        <v>42800.0</v>
      </c>
      <c r="E1052" s="50">
        <v>42802.0</v>
      </c>
      <c r="F1052" s="49" t="s">
        <v>274</v>
      </c>
      <c r="G1052" s="49" t="s">
        <v>5164</v>
      </c>
      <c r="H1052" s="49" t="s">
        <v>141</v>
      </c>
      <c r="I1052" s="132"/>
      <c r="J1052" s="53"/>
    </row>
    <row r="1053" hidden="1">
      <c r="A1053" s="110" t="s">
        <v>5206</v>
      </c>
      <c r="B1053" s="49" t="s">
        <v>5208</v>
      </c>
      <c r="C1053" s="49" t="s">
        <v>139</v>
      </c>
      <c r="D1053" s="50">
        <v>42800.0</v>
      </c>
      <c r="E1053" s="53"/>
      <c r="F1053" s="139"/>
      <c r="G1053" s="49" t="s">
        <v>140</v>
      </c>
      <c r="H1053" s="49" t="s">
        <v>140</v>
      </c>
      <c r="I1053" s="132"/>
      <c r="J1053" s="53"/>
    </row>
    <row r="1054" hidden="1">
      <c r="A1054" s="110" t="s">
        <v>5210</v>
      </c>
      <c r="B1054" s="49" t="s">
        <v>5211</v>
      </c>
      <c r="C1054" s="49" t="s">
        <v>139</v>
      </c>
      <c r="D1054" s="50">
        <v>42797.0</v>
      </c>
      <c r="E1054" s="53"/>
      <c r="F1054" s="139"/>
      <c r="G1054" s="49" t="s">
        <v>140</v>
      </c>
      <c r="H1054" s="49" t="s">
        <v>140</v>
      </c>
      <c r="I1054" s="132"/>
      <c r="J1054" s="133"/>
    </row>
    <row r="1055" hidden="1">
      <c r="A1055" s="110" t="s">
        <v>5214</v>
      </c>
      <c r="B1055" s="49" t="s">
        <v>5215</v>
      </c>
      <c r="C1055" s="49" t="s">
        <v>139</v>
      </c>
      <c r="D1055" s="50">
        <v>42796.0</v>
      </c>
      <c r="E1055" s="50">
        <v>42804.0</v>
      </c>
      <c r="F1055" s="49" t="s">
        <v>160</v>
      </c>
      <c r="G1055" s="49" t="s">
        <v>141</v>
      </c>
      <c r="H1055" s="49" t="s">
        <v>141</v>
      </c>
      <c r="I1055" s="132"/>
      <c r="J1055" s="53"/>
    </row>
    <row r="1056" hidden="1">
      <c r="A1056" s="110" t="s">
        <v>5216</v>
      </c>
      <c r="B1056" s="49" t="s">
        <v>5219</v>
      </c>
      <c r="C1056" s="49" t="s">
        <v>139</v>
      </c>
      <c r="D1056" s="50">
        <v>42796.0</v>
      </c>
      <c r="E1056" s="133"/>
      <c r="F1056" s="49" t="s">
        <v>176</v>
      </c>
      <c r="G1056" s="49" t="s">
        <v>337</v>
      </c>
      <c r="H1056" s="49" t="s">
        <v>337</v>
      </c>
      <c r="I1056" s="132"/>
      <c r="J1056" s="53"/>
    </row>
    <row r="1057" hidden="1">
      <c r="A1057" s="110" t="s">
        <v>5221</v>
      </c>
      <c r="B1057" s="49" t="s">
        <v>5224</v>
      </c>
      <c r="C1057" s="49" t="s">
        <v>139</v>
      </c>
      <c r="D1057" s="50">
        <v>42796.0</v>
      </c>
      <c r="E1057" s="133"/>
      <c r="F1057" s="49" t="s">
        <v>176</v>
      </c>
      <c r="G1057" s="49" t="s">
        <v>2926</v>
      </c>
      <c r="H1057" s="49" t="s">
        <v>337</v>
      </c>
      <c r="I1057" s="132"/>
      <c r="J1057" s="133"/>
    </row>
    <row r="1058" hidden="1">
      <c r="A1058" s="110" t="s">
        <v>5225</v>
      </c>
      <c r="B1058" s="49" t="s">
        <v>5228</v>
      </c>
      <c r="C1058" s="49" t="s">
        <v>139</v>
      </c>
      <c r="D1058" s="50">
        <v>42795.0</v>
      </c>
      <c r="E1058" s="50">
        <v>42695.0</v>
      </c>
      <c r="F1058" s="49" t="s">
        <v>176</v>
      </c>
      <c r="G1058" s="49" t="s">
        <v>453</v>
      </c>
      <c r="H1058" s="49" t="s">
        <v>177</v>
      </c>
      <c r="I1058" s="132"/>
      <c r="J1058" s="53"/>
    </row>
    <row r="1059" hidden="1">
      <c r="A1059" s="110" t="s">
        <v>5229</v>
      </c>
      <c r="B1059" s="49" t="s">
        <v>5232</v>
      </c>
      <c r="C1059" s="49" t="s">
        <v>139</v>
      </c>
      <c r="D1059" s="50">
        <v>42795.0</v>
      </c>
      <c r="E1059" s="50">
        <v>42654.0</v>
      </c>
      <c r="F1059" s="49" t="s">
        <v>176</v>
      </c>
      <c r="G1059" s="49" t="s">
        <v>453</v>
      </c>
      <c r="H1059" s="49" t="s">
        <v>177</v>
      </c>
      <c r="I1059" s="132"/>
      <c r="J1059" s="53"/>
    </row>
    <row r="1060" hidden="1">
      <c r="A1060" s="110" t="s">
        <v>5233</v>
      </c>
      <c r="B1060" s="49" t="s">
        <v>5236</v>
      </c>
      <c r="C1060" s="49" t="s">
        <v>139</v>
      </c>
      <c r="D1060" s="50">
        <v>42795.0</v>
      </c>
      <c r="E1060" s="133"/>
      <c r="F1060" s="49" t="s">
        <v>176</v>
      </c>
      <c r="G1060" s="49" t="s">
        <v>337</v>
      </c>
      <c r="H1060" s="49" t="s">
        <v>177</v>
      </c>
      <c r="I1060" s="132"/>
      <c r="J1060" s="53"/>
    </row>
    <row r="1061" hidden="1">
      <c r="A1061" s="110" t="s">
        <v>5237</v>
      </c>
      <c r="B1061" s="49" t="s">
        <v>5239</v>
      </c>
      <c r="C1061" s="49" t="s">
        <v>139</v>
      </c>
      <c r="D1061" s="50">
        <v>42795.0</v>
      </c>
      <c r="E1061" s="50">
        <v>42710.0</v>
      </c>
      <c r="F1061" s="49" t="s">
        <v>176</v>
      </c>
      <c r="G1061" s="49" t="s">
        <v>453</v>
      </c>
      <c r="H1061" s="49" t="s">
        <v>177</v>
      </c>
      <c r="I1061" s="132"/>
      <c r="J1061" s="53"/>
    </row>
    <row r="1062" hidden="1">
      <c r="A1062" s="110" t="s">
        <v>5241</v>
      </c>
      <c r="B1062" s="49" t="s">
        <v>5244</v>
      </c>
      <c r="C1062" s="49" t="s">
        <v>139</v>
      </c>
      <c r="D1062" s="50">
        <v>42795.0</v>
      </c>
      <c r="E1062" s="50">
        <v>42804.0</v>
      </c>
      <c r="F1062" s="49" t="s">
        <v>176</v>
      </c>
      <c r="G1062" s="49" t="s">
        <v>2926</v>
      </c>
      <c r="H1062" s="49" t="s">
        <v>177</v>
      </c>
      <c r="I1062" s="132"/>
      <c r="J1062" s="133"/>
    </row>
    <row r="1063" hidden="1">
      <c r="A1063" s="110" t="s">
        <v>5247</v>
      </c>
      <c r="B1063" s="49" t="s">
        <v>5248</v>
      </c>
      <c r="C1063" s="49" t="s">
        <v>139</v>
      </c>
      <c r="D1063" s="50">
        <v>42795.0</v>
      </c>
      <c r="E1063" s="50">
        <v>42811.0</v>
      </c>
      <c r="F1063" s="49" t="s">
        <v>176</v>
      </c>
      <c r="G1063" s="49" t="s">
        <v>2926</v>
      </c>
      <c r="H1063" s="49" t="s">
        <v>177</v>
      </c>
      <c r="I1063" s="132"/>
      <c r="J1063" s="133"/>
    </row>
    <row r="1064" hidden="1">
      <c r="A1064" s="110" t="s">
        <v>5251</v>
      </c>
      <c r="B1064" s="49" t="s">
        <v>1859</v>
      </c>
      <c r="C1064" s="49" t="s">
        <v>139</v>
      </c>
      <c r="D1064" s="50">
        <v>42795.0</v>
      </c>
      <c r="E1064" s="50">
        <v>42804.0</v>
      </c>
      <c r="F1064" s="49" t="s">
        <v>176</v>
      </c>
      <c r="G1064" s="49" t="s">
        <v>2926</v>
      </c>
      <c r="H1064" s="49" t="s">
        <v>177</v>
      </c>
      <c r="I1064" s="132"/>
      <c r="J1064" s="133"/>
    </row>
    <row r="1065" hidden="1">
      <c r="A1065" s="110" t="s">
        <v>5255</v>
      </c>
      <c r="B1065" s="49" t="s">
        <v>5258</v>
      </c>
      <c r="C1065" s="49" t="s">
        <v>139</v>
      </c>
      <c r="D1065" s="50">
        <v>42794.0</v>
      </c>
      <c r="E1065" s="133"/>
      <c r="F1065" s="49" t="s">
        <v>176</v>
      </c>
      <c r="G1065" s="49" t="s">
        <v>2926</v>
      </c>
      <c r="H1065" s="49" t="s">
        <v>337</v>
      </c>
      <c r="I1065" s="132"/>
      <c r="J1065" s="133"/>
    </row>
    <row r="1066" hidden="1">
      <c r="A1066" s="110" t="s">
        <v>5260</v>
      </c>
      <c r="B1066" s="49" t="s">
        <v>5265</v>
      </c>
      <c r="C1066" s="49" t="s">
        <v>139</v>
      </c>
      <c r="D1066" s="50">
        <v>42793.0</v>
      </c>
      <c r="E1066" s="53"/>
      <c r="F1066" s="139"/>
      <c r="G1066" s="49" t="s">
        <v>140</v>
      </c>
      <c r="H1066" s="49" t="s">
        <v>140</v>
      </c>
      <c r="I1066" s="132"/>
      <c r="J1066" s="53"/>
    </row>
    <row r="1067" hidden="1">
      <c r="A1067" s="110" t="s">
        <v>5267</v>
      </c>
      <c r="B1067" s="49" t="s">
        <v>5269</v>
      </c>
      <c r="C1067" s="49" t="s">
        <v>139</v>
      </c>
      <c r="D1067" s="50">
        <v>42790.0</v>
      </c>
      <c r="E1067" s="50">
        <v>42794.0</v>
      </c>
      <c r="F1067" s="49" t="s">
        <v>723</v>
      </c>
      <c r="G1067" s="49" t="s">
        <v>140</v>
      </c>
      <c r="H1067" s="49" t="s">
        <v>5270</v>
      </c>
      <c r="I1067" s="132"/>
      <c r="J1067" s="133"/>
    </row>
    <row r="1068" hidden="1">
      <c r="A1068" s="110" t="s">
        <v>5273</v>
      </c>
      <c r="B1068" s="49" t="s">
        <v>5274</v>
      </c>
      <c r="C1068" s="49" t="s">
        <v>139</v>
      </c>
      <c r="D1068" s="50">
        <v>42789.0</v>
      </c>
      <c r="E1068" s="50">
        <v>42695.0</v>
      </c>
      <c r="F1068" s="49" t="s">
        <v>176</v>
      </c>
      <c r="G1068" s="49" t="s">
        <v>453</v>
      </c>
      <c r="H1068" s="49" t="s">
        <v>177</v>
      </c>
      <c r="I1068" s="132"/>
      <c r="J1068" s="53"/>
    </row>
    <row r="1069" hidden="1">
      <c r="A1069" s="110" t="s">
        <v>5278</v>
      </c>
      <c r="B1069" s="49" t="s">
        <v>5279</v>
      </c>
      <c r="C1069" s="49" t="s">
        <v>139</v>
      </c>
      <c r="D1069" s="50">
        <v>42789.0</v>
      </c>
      <c r="E1069" s="50">
        <v>42795.0</v>
      </c>
      <c r="F1069" s="49" t="s">
        <v>176</v>
      </c>
      <c r="G1069" s="49" t="s">
        <v>2926</v>
      </c>
      <c r="H1069" s="49" t="s">
        <v>177</v>
      </c>
      <c r="I1069" s="132"/>
      <c r="J1069" s="53"/>
    </row>
    <row r="1070" hidden="1">
      <c r="A1070" s="110" t="s">
        <v>5282</v>
      </c>
      <c r="B1070" s="49" t="s">
        <v>5285</v>
      </c>
      <c r="C1070" s="49" t="s">
        <v>139</v>
      </c>
      <c r="D1070" s="50">
        <v>42783.0</v>
      </c>
      <c r="E1070" s="50">
        <v>42794.0</v>
      </c>
      <c r="F1070" s="49" t="s">
        <v>2596</v>
      </c>
      <c r="G1070" s="49" t="s">
        <v>140</v>
      </c>
      <c r="H1070" s="49" t="s">
        <v>5270</v>
      </c>
      <c r="I1070" s="132"/>
      <c r="J1070" s="139"/>
    </row>
    <row r="1071" hidden="1">
      <c r="A1071" s="110" t="s">
        <v>5286</v>
      </c>
      <c r="B1071" s="49" t="s">
        <v>5289</v>
      </c>
      <c r="C1071" s="49" t="s">
        <v>139</v>
      </c>
      <c r="D1071" s="50">
        <v>42781.0</v>
      </c>
      <c r="E1071" s="50">
        <v>42788.0</v>
      </c>
      <c r="F1071" s="49" t="s">
        <v>160</v>
      </c>
      <c r="G1071" s="49" t="s">
        <v>453</v>
      </c>
      <c r="H1071" s="49" t="s">
        <v>244</v>
      </c>
      <c r="I1071" s="132"/>
      <c r="J1071" s="53"/>
    </row>
    <row r="1072" hidden="1">
      <c r="A1072" s="110" t="s">
        <v>5290</v>
      </c>
      <c r="B1072" s="49" t="s">
        <v>5293</v>
      </c>
      <c r="C1072" s="49" t="s">
        <v>139</v>
      </c>
      <c r="D1072" s="50">
        <v>42781.0</v>
      </c>
      <c r="E1072" s="50">
        <v>42788.0</v>
      </c>
      <c r="F1072" s="49" t="s">
        <v>160</v>
      </c>
      <c r="G1072" s="49" t="s">
        <v>141</v>
      </c>
      <c r="H1072" s="49" t="s">
        <v>244</v>
      </c>
      <c r="I1072" s="132"/>
      <c r="J1072" s="53"/>
    </row>
    <row r="1073" hidden="1">
      <c r="A1073" s="110" t="s">
        <v>5295</v>
      </c>
      <c r="B1073" s="49" t="s">
        <v>5297</v>
      </c>
      <c r="C1073" s="49" t="s">
        <v>139</v>
      </c>
      <c r="D1073" s="50">
        <v>42781.0</v>
      </c>
      <c r="E1073" s="50">
        <v>42788.0</v>
      </c>
      <c r="F1073" s="49" t="s">
        <v>160</v>
      </c>
      <c r="G1073" s="49" t="s">
        <v>453</v>
      </c>
      <c r="H1073" s="49" t="s">
        <v>244</v>
      </c>
      <c r="I1073" s="132"/>
      <c r="J1073" s="53"/>
    </row>
    <row r="1074" hidden="1">
      <c r="A1074" s="110" t="s">
        <v>5298</v>
      </c>
      <c r="B1074" s="49" t="s">
        <v>5302</v>
      </c>
      <c r="C1074" s="49" t="s">
        <v>139</v>
      </c>
      <c r="D1074" s="50">
        <v>42781.0</v>
      </c>
      <c r="E1074" s="50">
        <v>42811.0</v>
      </c>
      <c r="F1074" s="49" t="s">
        <v>160</v>
      </c>
      <c r="G1074" s="49" t="s">
        <v>140</v>
      </c>
      <c r="H1074" s="49" t="s">
        <v>244</v>
      </c>
      <c r="I1074" s="132"/>
      <c r="J1074" s="53"/>
    </row>
    <row r="1075" hidden="1">
      <c r="A1075" s="110" t="s">
        <v>5303</v>
      </c>
      <c r="B1075" s="49" t="s">
        <v>5305</v>
      </c>
      <c r="C1075" s="49" t="s">
        <v>139</v>
      </c>
      <c r="D1075" s="50">
        <v>42781.0</v>
      </c>
      <c r="E1075" s="50">
        <v>42786.0</v>
      </c>
      <c r="F1075" s="49" t="s">
        <v>160</v>
      </c>
      <c r="G1075" s="49" t="s">
        <v>141</v>
      </c>
      <c r="H1075" s="49" t="s">
        <v>244</v>
      </c>
      <c r="I1075" s="132"/>
      <c r="J1075" s="53"/>
    </row>
    <row r="1076" hidden="1">
      <c r="A1076" s="110" t="s">
        <v>5308</v>
      </c>
      <c r="B1076" s="49" t="s">
        <v>5310</v>
      </c>
      <c r="C1076" s="49" t="s">
        <v>139</v>
      </c>
      <c r="D1076" s="50">
        <v>42781.0</v>
      </c>
      <c r="E1076" s="50">
        <v>42786.0</v>
      </c>
      <c r="F1076" s="49" t="s">
        <v>160</v>
      </c>
      <c r="G1076" s="49" t="s">
        <v>453</v>
      </c>
      <c r="H1076" s="49" t="s">
        <v>244</v>
      </c>
      <c r="I1076" s="132"/>
      <c r="J1076" s="53"/>
    </row>
    <row r="1077" hidden="1">
      <c r="A1077" s="110" t="s">
        <v>5312</v>
      </c>
      <c r="B1077" s="49" t="s">
        <v>5316</v>
      </c>
      <c r="C1077" s="49" t="s">
        <v>139</v>
      </c>
      <c r="D1077" s="50">
        <v>42781.0</v>
      </c>
      <c r="E1077" s="50">
        <v>42786.0</v>
      </c>
      <c r="F1077" s="49" t="s">
        <v>160</v>
      </c>
      <c r="G1077" s="49" t="s">
        <v>453</v>
      </c>
      <c r="H1077" s="49" t="s">
        <v>244</v>
      </c>
      <c r="I1077" s="132"/>
      <c r="J1077" s="53"/>
    </row>
    <row r="1078" hidden="1">
      <c r="A1078" s="110" t="s">
        <v>5319</v>
      </c>
      <c r="B1078" s="49" t="s">
        <v>5321</v>
      </c>
      <c r="C1078" s="49" t="s">
        <v>139</v>
      </c>
      <c r="D1078" s="50">
        <v>42781.0</v>
      </c>
      <c r="E1078" s="50">
        <v>42786.0</v>
      </c>
      <c r="F1078" s="49" t="s">
        <v>160</v>
      </c>
      <c r="G1078" s="49" t="s">
        <v>141</v>
      </c>
      <c r="H1078" s="49" t="s">
        <v>244</v>
      </c>
      <c r="I1078" s="132"/>
      <c r="J1078" s="53"/>
    </row>
    <row r="1079" hidden="1">
      <c r="A1079" s="110" t="s">
        <v>5323</v>
      </c>
      <c r="B1079" s="49" t="s">
        <v>5327</v>
      </c>
      <c r="C1079" s="49" t="s">
        <v>139</v>
      </c>
      <c r="D1079" s="50">
        <v>42781.0</v>
      </c>
      <c r="E1079" s="50">
        <v>42797.0</v>
      </c>
      <c r="F1079" s="49" t="s">
        <v>160</v>
      </c>
      <c r="G1079" s="49" t="s">
        <v>140</v>
      </c>
      <c r="H1079" s="49" t="s">
        <v>244</v>
      </c>
      <c r="I1079" s="132"/>
      <c r="J1079" s="53"/>
    </row>
    <row r="1080" hidden="1">
      <c r="A1080" s="110" t="s">
        <v>5328</v>
      </c>
      <c r="B1080" s="49" t="s">
        <v>5331</v>
      </c>
      <c r="C1080" s="49" t="s">
        <v>139</v>
      </c>
      <c r="D1080" s="50">
        <v>42781.0</v>
      </c>
      <c r="E1080" s="53"/>
      <c r="F1080" s="49" t="s">
        <v>176</v>
      </c>
      <c r="G1080" s="49" t="s">
        <v>140</v>
      </c>
      <c r="H1080" s="49" t="s">
        <v>140</v>
      </c>
      <c r="I1080" s="132"/>
      <c r="J1080" s="53"/>
    </row>
    <row r="1081" hidden="1">
      <c r="A1081" s="110" t="s">
        <v>5332</v>
      </c>
      <c r="B1081" s="49" t="s">
        <v>5334</v>
      </c>
      <c r="C1081" s="49" t="s">
        <v>139</v>
      </c>
      <c r="D1081" s="50">
        <v>42781.0</v>
      </c>
      <c r="E1081" s="133"/>
      <c r="F1081" s="49" t="s">
        <v>176</v>
      </c>
      <c r="G1081" s="49" t="s">
        <v>140</v>
      </c>
      <c r="H1081" s="49" t="s">
        <v>140</v>
      </c>
      <c r="I1081" s="132"/>
      <c r="J1081" s="53"/>
    </row>
    <row r="1082" hidden="1">
      <c r="A1082" s="110" t="s">
        <v>5337</v>
      </c>
      <c r="B1082" s="49" t="s">
        <v>5338</v>
      </c>
      <c r="C1082" s="49" t="s">
        <v>139</v>
      </c>
      <c r="D1082" s="50">
        <v>42781.0</v>
      </c>
      <c r="E1082" s="50">
        <v>42800.0</v>
      </c>
      <c r="F1082" s="49" t="s">
        <v>160</v>
      </c>
      <c r="G1082" s="49" t="s">
        <v>2926</v>
      </c>
      <c r="H1082" s="49" t="s">
        <v>244</v>
      </c>
      <c r="I1082" s="132"/>
      <c r="J1082" s="53"/>
    </row>
    <row r="1083" hidden="1">
      <c r="A1083" s="110" t="s">
        <v>5341</v>
      </c>
      <c r="B1083" s="49" t="s">
        <v>5342</v>
      </c>
      <c r="C1083" s="49" t="s">
        <v>139</v>
      </c>
      <c r="D1083" s="50">
        <v>42780.0</v>
      </c>
      <c r="E1083" s="53"/>
      <c r="F1083" s="49" t="s">
        <v>176</v>
      </c>
      <c r="G1083" s="49" t="s">
        <v>140</v>
      </c>
      <c r="H1083" s="49" t="s">
        <v>140</v>
      </c>
      <c r="I1083" s="132"/>
      <c r="J1083" s="53"/>
    </row>
    <row r="1084" hidden="1">
      <c r="A1084" s="110" t="s">
        <v>5346</v>
      </c>
      <c r="B1084" s="49" t="s">
        <v>5348</v>
      </c>
      <c r="C1084" s="49" t="s">
        <v>139</v>
      </c>
      <c r="D1084" s="50">
        <v>42776.0</v>
      </c>
      <c r="E1084" s="133"/>
      <c r="F1084" s="49" t="s">
        <v>176</v>
      </c>
      <c r="G1084" s="49" t="s">
        <v>337</v>
      </c>
      <c r="H1084" s="49" t="s">
        <v>177</v>
      </c>
      <c r="I1084" s="132"/>
      <c r="J1084" s="53"/>
    </row>
    <row r="1085" hidden="1">
      <c r="A1085" s="110" t="s">
        <v>5352</v>
      </c>
      <c r="B1085" s="49" t="s">
        <v>5354</v>
      </c>
      <c r="C1085" s="49" t="s">
        <v>139</v>
      </c>
      <c r="D1085" s="50">
        <v>42776.0</v>
      </c>
      <c r="E1085" s="50">
        <v>42710.0</v>
      </c>
      <c r="F1085" s="49" t="s">
        <v>176</v>
      </c>
      <c r="G1085" s="49" t="s">
        <v>453</v>
      </c>
      <c r="H1085" s="49" t="s">
        <v>177</v>
      </c>
      <c r="I1085" s="132"/>
      <c r="J1085" s="53"/>
    </row>
    <row r="1086" hidden="1">
      <c r="A1086" s="110" t="s">
        <v>5356</v>
      </c>
      <c r="B1086" s="49" t="s">
        <v>5357</v>
      </c>
      <c r="C1086" s="49" t="s">
        <v>139</v>
      </c>
      <c r="D1086" s="50">
        <v>42776.0</v>
      </c>
      <c r="E1086" s="53"/>
      <c r="F1086" s="49" t="s">
        <v>176</v>
      </c>
      <c r="G1086" s="49" t="s">
        <v>2926</v>
      </c>
      <c r="H1086" s="49" t="s">
        <v>337</v>
      </c>
      <c r="I1086" s="132"/>
      <c r="J1086" s="53"/>
    </row>
    <row r="1087" hidden="1">
      <c r="A1087" s="110" t="s">
        <v>5359</v>
      </c>
      <c r="B1087" s="49" t="s">
        <v>5361</v>
      </c>
      <c r="C1087" s="49" t="s">
        <v>139</v>
      </c>
      <c r="D1087" s="50">
        <v>42775.0</v>
      </c>
      <c r="E1087" s="133"/>
      <c r="F1087" s="49" t="s">
        <v>215</v>
      </c>
      <c r="G1087" s="49" t="s">
        <v>140</v>
      </c>
      <c r="H1087" s="49" t="s">
        <v>140</v>
      </c>
      <c r="I1087" s="132"/>
      <c r="J1087" s="53"/>
    </row>
    <row r="1088" hidden="1">
      <c r="A1088" s="110" t="s">
        <v>5363</v>
      </c>
      <c r="B1088" s="49" t="s">
        <v>5365</v>
      </c>
      <c r="C1088" s="49" t="s">
        <v>139</v>
      </c>
      <c r="D1088" s="50">
        <v>42774.0</v>
      </c>
      <c r="E1088" s="133"/>
      <c r="F1088" s="49" t="s">
        <v>160</v>
      </c>
      <c r="G1088" s="49" t="s">
        <v>140</v>
      </c>
      <c r="H1088" s="49" t="s">
        <v>140</v>
      </c>
      <c r="I1088" s="132"/>
      <c r="J1088" s="53"/>
    </row>
    <row r="1089" hidden="1">
      <c r="A1089" s="110" t="s">
        <v>5367</v>
      </c>
      <c r="B1089" s="49" t="s">
        <v>5369</v>
      </c>
      <c r="C1089" s="49" t="s">
        <v>139</v>
      </c>
      <c r="D1089" s="50">
        <v>42774.0</v>
      </c>
      <c r="E1089" s="50">
        <v>42776.0</v>
      </c>
      <c r="F1089" s="49" t="s">
        <v>160</v>
      </c>
      <c r="G1089" s="49" t="s">
        <v>141</v>
      </c>
      <c r="H1089" s="49" t="s">
        <v>244</v>
      </c>
      <c r="I1089" s="132"/>
      <c r="J1089" s="53"/>
    </row>
    <row r="1090" hidden="1">
      <c r="A1090" s="110" t="s">
        <v>5371</v>
      </c>
      <c r="B1090" s="49" t="s">
        <v>5373</v>
      </c>
      <c r="C1090" s="49" t="s">
        <v>139</v>
      </c>
      <c r="D1090" s="50">
        <v>42774.0</v>
      </c>
      <c r="E1090" s="50">
        <v>42776.0</v>
      </c>
      <c r="F1090" s="49" t="s">
        <v>160</v>
      </c>
      <c r="G1090" s="49" t="s">
        <v>453</v>
      </c>
      <c r="H1090" s="49" t="s">
        <v>244</v>
      </c>
      <c r="I1090" s="132"/>
      <c r="J1090" s="53"/>
    </row>
    <row r="1091" hidden="1">
      <c r="A1091" s="110" t="s">
        <v>5376</v>
      </c>
      <c r="B1091" s="49" t="s">
        <v>5377</v>
      </c>
      <c r="C1091" s="49" t="s">
        <v>139</v>
      </c>
      <c r="D1091" s="50">
        <v>42774.0</v>
      </c>
      <c r="E1091" s="50">
        <v>42787.0</v>
      </c>
      <c r="F1091" s="49" t="s">
        <v>160</v>
      </c>
      <c r="G1091" s="49" t="s">
        <v>140</v>
      </c>
      <c r="H1091" s="49" t="s">
        <v>244</v>
      </c>
      <c r="I1091" s="132"/>
      <c r="J1091" s="53"/>
    </row>
    <row r="1092" hidden="1">
      <c r="A1092" s="110" t="s">
        <v>5380</v>
      </c>
      <c r="B1092" s="49" t="s">
        <v>5381</v>
      </c>
      <c r="C1092" s="49" t="s">
        <v>139</v>
      </c>
      <c r="D1092" s="50">
        <v>42774.0</v>
      </c>
      <c r="E1092" s="50">
        <v>42776.0</v>
      </c>
      <c r="F1092" s="49" t="s">
        <v>160</v>
      </c>
      <c r="G1092" s="49" t="s">
        <v>141</v>
      </c>
      <c r="H1092" s="49" t="s">
        <v>244</v>
      </c>
      <c r="I1092" s="132"/>
      <c r="J1092" s="53"/>
    </row>
    <row r="1093" hidden="1">
      <c r="A1093" s="110" t="s">
        <v>5384</v>
      </c>
      <c r="B1093" s="49" t="s">
        <v>5385</v>
      </c>
      <c r="C1093" s="49" t="s">
        <v>139</v>
      </c>
      <c r="D1093" s="50">
        <v>42774.0</v>
      </c>
      <c r="E1093" s="50">
        <v>42776.0</v>
      </c>
      <c r="F1093" s="49" t="s">
        <v>160</v>
      </c>
      <c r="G1093" s="49" t="s">
        <v>453</v>
      </c>
      <c r="H1093" s="49" t="s">
        <v>244</v>
      </c>
      <c r="I1093" s="132"/>
      <c r="J1093" s="53"/>
    </row>
    <row r="1094" hidden="1">
      <c r="A1094" s="110" t="s">
        <v>5389</v>
      </c>
      <c r="B1094" s="49" t="s">
        <v>5391</v>
      </c>
      <c r="C1094" s="49" t="s">
        <v>139</v>
      </c>
      <c r="D1094" s="50">
        <v>42774.0</v>
      </c>
      <c r="E1094" s="50">
        <v>42789.0</v>
      </c>
      <c r="F1094" s="49" t="s">
        <v>160</v>
      </c>
      <c r="G1094" s="49" t="s">
        <v>140</v>
      </c>
      <c r="H1094" s="49" t="s">
        <v>244</v>
      </c>
      <c r="I1094" s="132"/>
      <c r="J1094" s="53"/>
    </row>
    <row r="1095" hidden="1">
      <c r="A1095" s="110" t="s">
        <v>5394</v>
      </c>
      <c r="B1095" s="49" t="s">
        <v>5396</v>
      </c>
      <c r="C1095" s="49" t="s">
        <v>139</v>
      </c>
      <c r="D1095" s="50">
        <v>42774.0</v>
      </c>
      <c r="E1095" s="50">
        <v>42776.0</v>
      </c>
      <c r="F1095" s="49" t="s">
        <v>160</v>
      </c>
      <c r="G1095" s="49" t="s">
        <v>141</v>
      </c>
      <c r="H1095" s="49" t="s">
        <v>244</v>
      </c>
      <c r="I1095" s="132"/>
      <c r="J1095" s="53"/>
    </row>
    <row r="1096" hidden="1">
      <c r="A1096" s="110" t="s">
        <v>5399</v>
      </c>
      <c r="B1096" s="49" t="s">
        <v>5400</v>
      </c>
      <c r="C1096" s="49" t="s">
        <v>139</v>
      </c>
      <c r="D1096" s="50">
        <v>42774.0</v>
      </c>
      <c r="E1096" s="50">
        <v>42776.0</v>
      </c>
      <c r="F1096" s="49" t="s">
        <v>160</v>
      </c>
      <c r="G1096" s="49" t="s">
        <v>453</v>
      </c>
      <c r="H1096" s="49" t="s">
        <v>244</v>
      </c>
      <c r="I1096" s="132"/>
      <c r="J1096" s="53"/>
    </row>
    <row r="1097" hidden="1">
      <c r="A1097" s="110" t="s">
        <v>5404</v>
      </c>
      <c r="B1097" s="49" t="s">
        <v>5405</v>
      </c>
      <c r="C1097" s="49" t="s">
        <v>139</v>
      </c>
      <c r="D1097" s="50">
        <v>42774.0</v>
      </c>
      <c r="E1097" s="50">
        <v>42789.0</v>
      </c>
      <c r="F1097" s="49" t="s">
        <v>160</v>
      </c>
      <c r="G1097" s="49" t="s">
        <v>140</v>
      </c>
      <c r="H1097" s="49" t="s">
        <v>244</v>
      </c>
      <c r="I1097" s="132"/>
      <c r="J1097" s="53"/>
    </row>
    <row r="1098" hidden="1">
      <c r="A1098" s="110" t="s">
        <v>5408</v>
      </c>
      <c r="B1098" s="49" t="s">
        <v>5409</v>
      </c>
      <c r="C1098" s="49" t="s">
        <v>139</v>
      </c>
      <c r="D1098" s="50">
        <v>42774.0</v>
      </c>
      <c r="E1098" s="133"/>
      <c r="F1098" s="49" t="s">
        <v>176</v>
      </c>
      <c r="G1098" s="49" t="s">
        <v>140</v>
      </c>
      <c r="H1098" s="49" t="s">
        <v>337</v>
      </c>
      <c r="I1098" s="132"/>
      <c r="J1098" s="53"/>
    </row>
    <row r="1099" hidden="1">
      <c r="A1099" s="110" t="s">
        <v>5413</v>
      </c>
      <c r="B1099" s="49" t="s">
        <v>5416</v>
      </c>
      <c r="C1099" s="49" t="s">
        <v>139</v>
      </c>
      <c r="D1099" s="50">
        <v>42774.0</v>
      </c>
      <c r="E1099" s="53"/>
      <c r="F1099" s="49" t="s">
        <v>215</v>
      </c>
      <c r="G1099" s="49" t="s">
        <v>2926</v>
      </c>
      <c r="H1099" s="49" t="s">
        <v>216</v>
      </c>
      <c r="I1099" s="132"/>
      <c r="J1099" s="53"/>
    </row>
    <row r="1100" hidden="1">
      <c r="A1100" s="110" t="s">
        <v>5419</v>
      </c>
      <c r="B1100" s="49" t="s">
        <v>5421</v>
      </c>
      <c r="C1100" s="49" t="s">
        <v>139</v>
      </c>
      <c r="D1100" s="50">
        <v>42773.0</v>
      </c>
      <c r="E1100" s="50">
        <v>42774.0</v>
      </c>
      <c r="F1100" s="49" t="s">
        <v>160</v>
      </c>
      <c r="G1100" s="49" t="s">
        <v>141</v>
      </c>
      <c r="H1100" s="49" t="s">
        <v>244</v>
      </c>
      <c r="I1100" s="132"/>
      <c r="J1100" s="53"/>
    </row>
    <row r="1101" hidden="1">
      <c r="A1101" s="110" t="s">
        <v>5423</v>
      </c>
      <c r="B1101" s="49" t="s">
        <v>5426</v>
      </c>
      <c r="C1101" s="49" t="s">
        <v>139</v>
      </c>
      <c r="D1101" s="50">
        <v>42773.0</v>
      </c>
      <c r="E1101" s="50">
        <v>42773.0</v>
      </c>
      <c r="F1101" s="49" t="s">
        <v>160</v>
      </c>
      <c r="G1101" s="49" t="s">
        <v>453</v>
      </c>
      <c r="H1101" s="49" t="s">
        <v>244</v>
      </c>
      <c r="I1101" s="132"/>
      <c r="J1101" s="53"/>
    </row>
    <row r="1102" hidden="1">
      <c r="A1102" s="110" t="s">
        <v>5428</v>
      </c>
      <c r="B1102" s="49" t="s">
        <v>5430</v>
      </c>
      <c r="C1102" s="49" t="s">
        <v>139</v>
      </c>
      <c r="D1102" s="50">
        <v>42773.0</v>
      </c>
      <c r="E1102" s="50">
        <v>42788.0</v>
      </c>
      <c r="F1102" s="49" t="s">
        <v>160</v>
      </c>
      <c r="G1102" s="49" t="s">
        <v>140</v>
      </c>
      <c r="H1102" s="49" t="s">
        <v>244</v>
      </c>
      <c r="I1102" s="132"/>
      <c r="J1102" s="53"/>
    </row>
    <row r="1103" hidden="1">
      <c r="A1103" s="110" t="s">
        <v>5433</v>
      </c>
      <c r="B1103" s="49" t="s">
        <v>5434</v>
      </c>
      <c r="C1103" s="49" t="s">
        <v>139</v>
      </c>
      <c r="D1103" s="50">
        <v>42773.0</v>
      </c>
      <c r="E1103" s="50">
        <v>42774.0</v>
      </c>
      <c r="F1103" s="49" t="s">
        <v>160</v>
      </c>
      <c r="G1103" s="49" t="s">
        <v>453</v>
      </c>
      <c r="H1103" s="49" t="s">
        <v>244</v>
      </c>
      <c r="I1103" s="132"/>
      <c r="J1103" s="53"/>
    </row>
    <row r="1104" hidden="1">
      <c r="A1104" s="110" t="s">
        <v>5437</v>
      </c>
      <c r="B1104" s="49" t="s">
        <v>5438</v>
      </c>
      <c r="C1104" s="49" t="s">
        <v>139</v>
      </c>
      <c r="D1104" s="50">
        <v>42773.0</v>
      </c>
      <c r="E1104" s="50">
        <v>42774.0</v>
      </c>
      <c r="F1104" s="49" t="s">
        <v>160</v>
      </c>
      <c r="G1104" s="49" t="s">
        <v>141</v>
      </c>
      <c r="H1104" s="49" t="s">
        <v>244</v>
      </c>
      <c r="I1104" s="132"/>
      <c r="J1104" s="53"/>
    </row>
    <row r="1105" hidden="1">
      <c r="A1105" s="110" t="s">
        <v>5441</v>
      </c>
      <c r="B1105" s="49" t="s">
        <v>5442</v>
      </c>
      <c r="C1105" s="49" t="s">
        <v>139</v>
      </c>
      <c r="D1105" s="50">
        <v>42773.0</v>
      </c>
      <c r="E1105" s="133"/>
      <c r="F1105" s="49" t="s">
        <v>5146</v>
      </c>
      <c r="G1105" s="49" t="s">
        <v>453</v>
      </c>
      <c r="H1105" s="49" t="s">
        <v>453</v>
      </c>
      <c r="I1105" s="132"/>
      <c r="J1105" s="53"/>
    </row>
    <row r="1106" hidden="1">
      <c r="A1106" s="110" t="s">
        <v>5445</v>
      </c>
      <c r="B1106" s="49" t="s">
        <v>5446</v>
      </c>
      <c r="C1106" s="49" t="s">
        <v>139</v>
      </c>
      <c r="D1106" s="50">
        <v>42772.0</v>
      </c>
      <c r="E1106" s="133"/>
      <c r="F1106" s="49" t="s">
        <v>723</v>
      </c>
      <c r="G1106" s="49" t="s">
        <v>140</v>
      </c>
      <c r="H1106" s="49" t="s">
        <v>5270</v>
      </c>
      <c r="I1106" s="132"/>
      <c r="J1106" s="53"/>
    </row>
    <row r="1107" hidden="1">
      <c r="A1107" s="110" t="s">
        <v>5449</v>
      </c>
      <c r="B1107" s="49" t="s">
        <v>5452</v>
      </c>
      <c r="C1107" s="49" t="s">
        <v>139</v>
      </c>
      <c r="D1107" s="50">
        <v>42760.0</v>
      </c>
      <c r="E1107" s="53"/>
      <c r="F1107" s="49" t="s">
        <v>5453</v>
      </c>
      <c r="G1107" s="49" t="s">
        <v>140</v>
      </c>
      <c r="H1107" s="49" t="s">
        <v>4728</v>
      </c>
      <c r="I1107" s="132"/>
      <c r="J1107" s="53"/>
    </row>
    <row r="1108" hidden="1">
      <c r="A1108" s="110" t="s">
        <v>5457</v>
      </c>
      <c r="B1108" s="49" t="s">
        <v>5458</v>
      </c>
      <c r="C1108" s="49" t="s">
        <v>139</v>
      </c>
      <c r="D1108" s="50">
        <v>42758.0</v>
      </c>
      <c r="E1108" s="50">
        <v>42758.0</v>
      </c>
      <c r="F1108" s="49" t="s">
        <v>160</v>
      </c>
      <c r="G1108" s="49" t="s">
        <v>453</v>
      </c>
      <c r="H1108" s="49" t="s">
        <v>244</v>
      </c>
      <c r="I1108" s="132"/>
      <c r="J1108" s="53"/>
    </row>
    <row r="1109" hidden="1">
      <c r="A1109" s="110" t="s">
        <v>5461</v>
      </c>
      <c r="B1109" s="49" t="s">
        <v>5463</v>
      </c>
      <c r="C1109" s="49" t="s">
        <v>139</v>
      </c>
      <c r="D1109" s="50">
        <v>42758.0</v>
      </c>
      <c r="E1109" s="50">
        <v>42758.0</v>
      </c>
      <c r="F1109" s="49" t="s">
        <v>160</v>
      </c>
      <c r="G1109" s="49" t="s">
        <v>140</v>
      </c>
      <c r="H1109" s="49" t="s">
        <v>244</v>
      </c>
      <c r="I1109" s="132"/>
      <c r="J1109" s="53"/>
    </row>
    <row r="1110" hidden="1">
      <c r="A1110" s="110" t="s">
        <v>5465</v>
      </c>
      <c r="B1110" s="49" t="s">
        <v>5468</v>
      </c>
      <c r="C1110" s="49" t="s">
        <v>139</v>
      </c>
      <c r="D1110" s="50">
        <v>42757.0</v>
      </c>
      <c r="E1110" s="133"/>
      <c r="F1110" s="49" t="s">
        <v>160</v>
      </c>
      <c r="G1110" s="49" t="s">
        <v>283</v>
      </c>
      <c r="H1110" s="49" t="s">
        <v>4728</v>
      </c>
      <c r="I1110" s="132"/>
      <c r="J1110" s="53"/>
    </row>
    <row r="1111" hidden="1">
      <c r="A1111" s="110" t="s">
        <v>5473</v>
      </c>
      <c r="B1111" s="49" t="s">
        <v>5476</v>
      </c>
      <c r="C1111" s="49" t="s">
        <v>139</v>
      </c>
      <c r="D1111" s="50">
        <v>42754.0</v>
      </c>
      <c r="E1111" s="50">
        <v>42706.0</v>
      </c>
      <c r="F1111" s="49" t="s">
        <v>723</v>
      </c>
      <c r="G1111" s="49" t="s">
        <v>140</v>
      </c>
      <c r="H1111" s="49" t="s">
        <v>609</v>
      </c>
      <c r="I1111" s="132"/>
      <c r="J1111" s="53"/>
    </row>
    <row r="1112" hidden="1">
      <c r="A1112" s="110" t="s">
        <v>5478</v>
      </c>
      <c r="B1112" s="49" t="s">
        <v>5481</v>
      </c>
      <c r="C1112" s="49" t="s">
        <v>139</v>
      </c>
      <c r="D1112" s="50">
        <v>42740.0</v>
      </c>
      <c r="E1112" s="50">
        <v>42965.0</v>
      </c>
      <c r="F1112" s="49" t="s">
        <v>215</v>
      </c>
      <c r="G1112" s="49" t="s">
        <v>140</v>
      </c>
      <c r="H1112" s="49" t="s">
        <v>1313</v>
      </c>
      <c r="I1112" s="142">
        <v>42961.0</v>
      </c>
      <c r="J1112" s="53"/>
    </row>
    <row r="1113" hidden="1">
      <c r="A1113" s="110" t="s">
        <v>5483</v>
      </c>
      <c r="B1113" s="49" t="s">
        <v>5486</v>
      </c>
      <c r="C1113" s="49" t="s">
        <v>139</v>
      </c>
      <c r="D1113" s="50">
        <v>42740.0</v>
      </c>
      <c r="E1113" s="133"/>
      <c r="F1113" s="49" t="s">
        <v>215</v>
      </c>
      <c r="G1113" s="49" t="s">
        <v>140</v>
      </c>
      <c r="H1113" s="49" t="s">
        <v>1313</v>
      </c>
      <c r="I1113" s="132"/>
      <c r="J1113" s="53"/>
    </row>
    <row r="1114" hidden="1">
      <c r="A1114" s="110" t="s">
        <v>5488</v>
      </c>
      <c r="B1114" s="49" t="s">
        <v>5491</v>
      </c>
      <c r="C1114" s="49" t="s">
        <v>139</v>
      </c>
      <c r="D1114" s="50">
        <v>42739.0</v>
      </c>
      <c r="E1114" s="50">
        <v>42741.0</v>
      </c>
      <c r="F1114" s="49" t="s">
        <v>160</v>
      </c>
      <c r="G1114" s="49" t="s">
        <v>453</v>
      </c>
      <c r="H1114" s="49" t="s">
        <v>244</v>
      </c>
      <c r="I1114" s="132"/>
      <c r="J1114" s="53"/>
    </row>
    <row r="1115" hidden="1">
      <c r="A1115" s="110" t="s">
        <v>5492</v>
      </c>
      <c r="B1115" s="49" t="s">
        <v>5493</v>
      </c>
      <c r="C1115" s="49" t="s">
        <v>139</v>
      </c>
      <c r="D1115" s="50">
        <v>42739.0</v>
      </c>
      <c r="E1115" s="50">
        <v>42741.0</v>
      </c>
      <c r="F1115" s="49" t="s">
        <v>160</v>
      </c>
      <c r="G1115" s="49" t="s">
        <v>141</v>
      </c>
      <c r="H1115" s="49" t="s">
        <v>244</v>
      </c>
      <c r="I1115" s="132"/>
      <c r="J1115" s="53"/>
    </row>
    <row r="1116" hidden="1">
      <c r="A1116" s="110" t="s">
        <v>5498</v>
      </c>
      <c r="B1116" s="49" t="s">
        <v>5499</v>
      </c>
      <c r="C1116" s="49" t="s">
        <v>139</v>
      </c>
      <c r="D1116" s="50">
        <v>42739.0</v>
      </c>
      <c r="E1116" s="50">
        <v>42740.0</v>
      </c>
      <c r="F1116" s="49" t="s">
        <v>160</v>
      </c>
      <c r="G1116" s="49" t="s">
        <v>453</v>
      </c>
      <c r="H1116" s="49" t="s">
        <v>244</v>
      </c>
      <c r="I1116" s="132"/>
      <c r="J1116" s="53"/>
    </row>
    <row r="1117" hidden="1">
      <c r="A1117" s="110" t="s">
        <v>5503</v>
      </c>
      <c r="B1117" s="49" t="s">
        <v>5506</v>
      </c>
      <c r="C1117" s="49" t="s">
        <v>139</v>
      </c>
      <c r="D1117" s="50">
        <v>42739.0</v>
      </c>
      <c r="E1117" s="50">
        <v>42740.0</v>
      </c>
      <c r="F1117" s="49" t="s">
        <v>160</v>
      </c>
      <c r="G1117" s="49" t="s">
        <v>141</v>
      </c>
      <c r="H1117" s="49" t="s">
        <v>244</v>
      </c>
      <c r="I1117" s="132"/>
      <c r="J1117" s="53"/>
    </row>
    <row r="1118" hidden="1">
      <c r="A1118" s="110" t="s">
        <v>5511</v>
      </c>
      <c r="B1118" s="49" t="s">
        <v>5512</v>
      </c>
      <c r="C1118" s="49" t="s">
        <v>139</v>
      </c>
      <c r="D1118" s="50">
        <v>42739.0</v>
      </c>
      <c r="E1118" s="50">
        <v>42746.0</v>
      </c>
      <c r="F1118" s="49" t="s">
        <v>160</v>
      </c>
      <c r="G1118" s="49" t="s">
        <v>140</v>
      </c>
      <c r="H1118" s="49" t="s">
        <v>244</v>
      </c>
      <c r="I1118" s="132"/>
      <c r="J1118" s="53"/>
    </row>
    <row r="1119" hidden="1">
      <c r="A1119" s="110" t="s">
        <v>5515</v>
      </c>
      <c r="B1119" s="49" t="s">
        <v>5517</v>
      </c>
      <c r="C1119" s="49" t="s">
        <v>139</v>
      </c>
      <c r="D1119" s="50">
        <v>42739.0</v>
      </c>
      <c r="E1119" s="50">
        <v>42740.0</v>
      </c>
      <c r="F1119" s="49" t="s">
        <v>160</v>
      </c>
      <c r="G1119" s="49" t="s">
        <v>453</v>
      </c>
      <c r="H1119" s="49" t="s">
        <v>244</v>
      </c>
      <c r="I1119" s="132"/>
      <c r="J1119" s="53"/>
    </row>
    <row r="1120" hidden="1">
      <c r="A1120" s="110" t="s">
        <v>5520</v>
      </c>
      <c r="B1120" s="49" t="s">
        <v>5524</v>
      </c>
      <c r="C1120" s="49" t="s">
        <v>139</v>
      </c>
      <c r="D1120" s="50">
        <v>42739.0</v>
      </c>
      <c r="E1120" s="50">
        <v>42740.0</v>
      </c>
      <c r="F1120" s="49" t="s">
        <v>160</v>
      </c>
      <c r="G1120" s="49" t="s">
        <v>141</v>
      </c>
      <c r="H1120" s="49" t="s">
        <v>244</v>
      </c>
      <c r="I1120" s="132"/>
      <c r="J1120" s="53"/>
    </row>
    <row r="1121" hidden="1">
      <c r="A1121" s="110" t="s">
        <v>5526</v>
      </c>
      <c r="B1121" s="49" t="s">
        <v>5529</v>
      </c>
      <c r="C1121" s="49" t="s">
        <v>139</v>
      </c>
      <c r="D1121" s="50">
        <v>42739.0</v>
      </c>
      <c r="E1121" s="50">
        <v>42740.0</v>
      </c>
      <c r="F1121" s="49" t="s">
        <v>160</v>
      </c>
      <c r="G1121" s="49" t="s">
        <v>453</v>
      </c>
      <c r="H1121" s="49" t="s">
        <v>244</v>
      </c>
      <c r="I1121" s="132"/>
      <c r="J1121" s="53"/>
    </row>
    <row r="1122" hidden="1">
      <c r="A1122" s="110" t="s">
        <v>5532</v>
      </c>
      <c r="B1122" s="49" t="s">
        <v>5533</v>
      </c>
      <c r="C1122" s="49" t="s">
        <v>139</v>
      </c>
      <c r="D1122" s="50">
        <v>42739.0</v>
      </c>
      <c r="E1122" s="50">
        <v>42740.0</v>
      </c>
      <c r="F1122" s="49" t="s">
        <v>160</v>
      </c>
      <c r="G1122" s="49" t="s">
        <v>141</v>
      </c>
      <c r="H1122" s="49" t="s">
        <v>244</v>
      </c>
      <c r="I1122" s="132"/>
      <c r="J1122" s="53"/>
    </row>
    <row r="1123" hidden="1">
      <c r="A1123" s="110" t="s">
        <v>5536</v>
      </c>
      <c r="B1123" s="49" t="s">
        <v>5541</v>
      </c>
      <c r="C1123" s="49" t="s">
        <v>139</v>
      </c>
      <c r="D1123" s="50">
        <v>42739.0</v>
      </c>
      <c r="E1123" s="50">
        <v>42740.0</v>
      </c>
      <c r="F1123" s="49" t="s">
        <v>160</v>
      </c>
      <c r="G1123" s="49" t="s">
        <v>453</v>
      </c>
      <c r="H1123" s="49" t="s">
        <v>244</v>
      </c>
      <c r="I1123" s="132"/>
      <c r="J1123" s="53"/>
    </row>
    <row r="1124" hidden="1">
      <c r="A1124" s="110" t="s">
        <v>5544</v>
      </c>
      <c r="B1124" s="49" t="s">
        <v>5545</v>
      </c>
      <c r="C1124" s="49" t="s">
        <v>139</v>
      </c>
      <c r="D1124" s="50">
        <v>42739.0</v>
      </c>
      <c r="E1124" s="50">
        <v>42740.0</v>
      </c>
      <c r="F1124" s="49" t="s">
        <v>160</v>
      </c>
      <c r="G1124" s="49" t="s">
        <v>141</v>
      </c>
      <c r="H1124" s="49" t="s">
        <v>244</v>
      </c>
      <c r="I1124" s="132"/>
      <c r="J1124" s="53"/>
    </row>
    <row r="1125" hidden="1">
      <c r="A1125" s="110" t="s">
        <v>5547</v>
      </c>
      <c r="B1125" s="49" t="s">
        <v>5549</v>
      </c>
      <c r="C1125" s="49" t="s">
        <v>139</v>
      </c>
      <c r="D1125" s="50">
        <v>42738.0</v>
      </c>
      <c r="E1125" s="50">
        <v>42739.0</v>
      </c>
      <c r="F1125" s="49" t="s">
        <v>723</v>
      </c>
      <c r="G1125" s="49" t="s">
        <v>5196</v>
      </c>
      <c r="H1125" s="49" t="s">
        <v>609</v>
      </c>
      <c r="I1125" s="132"/>
      <c r="J1125" s="53"/>
    </row>
    <row r="1126" hidden="1">
      <c r="A1126" s="110" t="s">
        <v>5552</v>
      </c>
      <c r="B1126" s="49" t="s">
        <v>5553</v>
      </c>
      <c r="C1126" s="49" t="s">
        <v>139</v>
      </c>
      <c r="D1126" s="50">
        <v>42734.0</v>
      </c>
      <c r="E1126" s="133"/>
      <c r="F1126" s="49" t="s">
        <v>160</v>
      </c>
      <c r="G1126" s="49" t="s">
        <v>140</v>
      </c>
      <c r="H1126" s="49" t="s">
        <v>140</v>
      </c>
      <c r="I1126" s="132"/>
      <c r="J1126" s="53"/>
    </row>
    <row r="1127" hidden="1">
      <c r="A1127" s="110" t="s">
        <v>5556</v>
      </c>
      <c r="B1127" s="49" t="s">
        <v>5559</v>
      </c>
      <c r="C1127" s="49" t="s">
        <v>139</v>
      </c>
      <c r="D1127" s="50">
        <v>42733.0</v>
      </c>
      <c r="E1127" s="133"/>
      <c r="F1127" s="49" t="s">
        <v>176</v>
      </c>
      <c r="G1127" s="49" t="s">
        <v>337</v>
      </c>
      <c r="H1127" s="49" t="s">
        <v>177</v>
      </c>
      <c r="I1127" s="132"/>
      <c r="J1127" s="53"/>
    </row>
    <row r="1128" hidden="1">
      <c r="A1128" s="110" t="s">
        <v>5561</v>
      </c>
      <c r="B1128" s="49" t="s">
        <v>5563</v>
      </c>
      <c r="C1128" s="49" t="s">
        <v>139</v>
      </c>
      <c r="D1128" s="50">
        <v>42733.0</v>
      </c>
      <c r="E1128" s="50">
        <v>42710.0</v>
      </c>
      <c r="F1128" s="49" t="s">
        <v>176</v>
      </c>
      <c r="G1128" s="49" t="s">
        <v>453</v>
      </c>
      <c r="H1128" s="49" t="s">
        <v>177</v>
      </c>
      <c r="I1128" s="132"/>
      <c r="J1128" s="53"/>
    </row>
    <row r="1129" hidden="1">
      <c r="A1129" s="110" t="s">
        <v>5566</v>
      </c>
      <c r="B1129" s="49" t="s">
        <v>5568</v>
      </c>
      <c r="C1129" s="49" t="s">
        <v>139</v>
      </c>
      <c r="D1129" s="50">
        <v>42733.0</v>
      </c>
      <c r="E1129" s="53"/>
      <c r="F1129" s="49" t="s">
        <v>160</v>
      </c>
      <c r="G1129" s="49" t="s">
        <v>140</v>
      </c>
      <c r="H1129" s="49" t="s">
        <v>4728</v>
      </c>
      <c r="I1129" s="132"/>
      <c r="J1129" s="53"/>
    </row>
    <row r="1130" hidden="1">
      <c r="A1130" s="110" t="s">
        <v>5570</v>
      </c>
      <c r="B1130" s="49" t="s">
        <v>5574</v>
      </c>
      <c r="C1130" s="49" t="s">
        <v>139</v>
      </c>
      <c r="D1130" s="50">
        <v>42731.0</v>
      </c>
      <c r="E1130" s="133"/>
      <c r="F1130" s="49" t="s">
        <v>176</v>
      </c>
      <c r="G1130" s="49" t="s">
        <v>140</v>
      </c>
      <c r="H1130" s="49" t="s">
        <v>337</v>
      </c>
      <c r="I1130" s="132"/>
      <c r="J1130" s="53"/>
    </row>
    <row r="1131" hidden="1">
      <c r="A1131" s="110" t="s">
        <v>5577</v>
      </c>
      <c r="B1131" s="49" t="s">
        <v>5580</v>
      </c>
      <c r="C1131" s="49" t="s">
        <v>139</v>
      </c>
      <c r="D1131" s="50">
        <v>42727.0</v>
      </c>
      <c r="E1131" s="50">
        <v>42730.0</v>
      </c>
      <c r="F1131" s="49" t="s">
        <v>160</v>
      </c>
      <c r="G1131" s="49" t="s">
        <v>453</v>
      </c>
      <c r="H1131" s="49" t="s">
        <v>244</v>
      </c>
      <c r="I1131" s="132"/>
      <c r="J1131" s="53"/>
    </row>
    <row r="1132" hidden="1">
      <c r="A1132" s="110" t="s">
        <v>5583</v>
      </c>
      <c r="B1132" s="49" t="s">
        <v>5584</v>
      </c>
      <c r="C1132" s="49" t="s">
        <v>139</v>
      </c>
      <c r="D1132" s="50">
        <v>42727.0</v>
      </c>
      <c r="E1132" s="50">
        <v>42732.0</v>
      </c>
      <c r="F1132" s="49" t="s">
        <v>160</v>
      </c>
      <c r="G1132" s="49" t="s">
        <v>141</v>
      </c>
      <c r="H1132" s="49" t="s">
        <v>244</v>
      </c>
      <c r="I1132" s="132"/>
      <c r="J1132" s="53"/>
    </row>
    <row r="1133" hidden="1">
      <c r="A1133" s="110" t="s">
        <v>5587</v>
      </c>
      <c r="B1133" s="49" t="s">
        <v>5590</v>
      </c>
      <c r="C1133" s="49" t="s">
        <v>139</v>
      </c>
      <c r="D1133" s="50">
        <v>42727.0</v>
      </c>
      <c r="E1133" s="50">
        <v>42731.0</v>
      </c>
      <c r="F1133" s="49" t="s">
        <v>160</v>
      </c>
      <c r="G1133" s="49" t="s">
        <v>141</v>
      </c>
      <c r="H1133" s="49" t="s">
        <v>244</v>
      </c>
      <c r="I1133" s="132"/>
      <c r="J1133" s="53"/>
    </row>
    <row r="1134" hidden="1">
      <c r="A1134" s="110" t="s">
        <v>5591</v>
      </c>
      <c r="B1134" s="49" t="s">
        <v>5594</v>
      </c>
      <c r="C1134" s="49" t="s">
        <v>139</v>
      </c>
      <c r="D1134" s="50">
        <v>42724.0</v>
      </c>
      <c r="E1134" s="53"/>
      <c r="F1134" s="49" t="s">
        <v>215</v>
      </c>
      <c r="G1134" s="49" t="s">
        <v>140</v>
      </c>
      <c r="H1134" s="49" t="s">
        <v>5595</v>
      </c>
      <c r="I1134" s="132"/>
      <c r="J1134" s="53"/>
    </row>
    <row r="1135" hidden="1">
      <c r="A1135" s="110" t="s">
        <v>5597</v>
      </c>
      <c r="B1135" s="49" t="s">
        <v>5599</v>
      </c>
      <c r="C1135" s="49" t="s">
        <v>139</v>
      </c>
      <c r="D1135" s="50">
        <v>42724.0</v>
      </c>
      <c r="E1135" s="53"/>
      <c r="F1135" s="49" t="s">
        <v>215</v>
      </c>
      <c r="G1135" s="49" t="s">
        <v>140</v>
      </c>
      <c r="H1135" s="49" t="s">
        <v>1313</v>
      </c>
      <c r="I1135" s="132"/>
      <c r="J1135" s="53"/>
    </row>
    <row r="1136" hidden="1">
      <c r="A1136" s="110" t="s">
        <v>5602</v>
      </c>
      <c r="B1136" s="49" t="s">
        <v>5603</v>
      </c>
      <c r="C1136" s="49" t="s">
        <v>139</v>
      </c>
      <c r="D1136" s="50">
        <v>42723.0</v>
      </c>
      <c r="E1136" s="53"/>
      <c r="F1136" s="139"/>
      <c r="G1136" s="49" t="s">
        <v>140</v>
      </c>
      <c r="H1136" s="49" t="s">
        <v>140</v>
      </c>
      <c r="I1136" s="132"/>
      <c r="J1136" s="53"/>
    </row>
    <row r="1137" hidden="1">
      <c r="A1137" s="110" t="s">
        <v>5606</v>
      </c>
      <c r="B1137" s="49" t="s">
        <v>5607</v>
      </c>
      <c r="C1137" s="49" t="s">
        <v>139</v>
      </c>
      <c r="D1137" s="50">
        <v>42712.0</v>
      </c>
      <c r="E1137" s="133"/>
      <c r="F1137" s="49" t="s">
        <v>176</v>
      </c>
      <c r="G1137" s="49" t="s">
        <v>140</v>
      </c>
      <c r="H1137" s="49" t="s">
        <v>337</v>
      </c>
      <c r="I1137" s="132"/>
      <c r="J1137" s="53"/>
    </row>
    <row r="1138" hidden="1">
      <c r="A1138" s="110" t="s">
        <v>5611</v>
      </c>
      <c r="B1138" s="49" t="s">
        <v>5614</v>
      </c>
      <c r="C1138" s="49" t="s">
        <v>139</v>
      </c>
      <c r="D1138" s="50">
        <v>42712.0</v>
      </c>
      <c r="E1138" s="133"/>
      <c r="F1138" s="49" t="s">
        <v>176</v>
      </c>
      <c r="G1138" s="49" t="s">
        <v>4827</v>
      </c>
      <c r="H1138" s="49" t="s">
        <v>337</v>
      </c>
      <c r="I1138" s="132"/>
      <c r="J1138" s="53"/>
    </row>
    <row r="1139" hidden="1">
      <c r="A1139" s="110" t="s">
        <v>5617</v>
      </c>
      <c r="B1139" s="49" t="s">
        <v>5618</v>
      </c>
      <c r="C1139" s="49" t="s">
        <v>139</v>
      </c>
      <c r="D1139" s="50">
        <v>42712.0</v>
      </c>
      <c r="E1139" s="133"/>
      <c r="F1139" s="49" t="s">
        <v>215</v>
      </c>
      <c r="G1139" s="49" t="s">
        <v>5621</v>
      </c>
      <c r="H1139" s="49" t="s">
        <v>216</v>
      </c>
      <c r="I1139" s="132"/>
      <c r="J1139" s="53"/>
    </row>
    <row r="1140" hidden="1">
      <c r="A1140" s="110" t="s">
        <v>5622</v>
      </c>
      <c r="B1140" s="49" t="s">
        <v>5624</v>
      </c>
      <c r="C1140" s="49" t="s">
        <v>139</v>
      </c>
      <c r="D1140" s="50">
        <v>42710.0</v>
      </c>
      <c r="E1140" s="133"/>
      <c r="F1140" s="49" t="s">
        <v>176</v>
      </c>
      <c r="G1140" s="49" t="s">
        <v>337</v>
      </c>
      <c r="H1140" s="49" t="s">
        <v>177</v>
      </c>
      <c r="I1140" s="132"/>
      <c r="J1140" s="53"/>
    </row>
    <row r="1141" hidden="1">
      <c r="A1141" s="110" t="s">
        <v>5626</v>
      </c>
      <c r="B1141" s="49" t="s">
        <v>5628</v>
      </c>
      <c r="C1141" s="49" t="s">
        <v>139</v>
      </c>
      <c r="D1141" s="50">
        <v>42710.0</v>
      </c>
      <c r="E1141" s="50">
        <v>42710.0</v>
      </c>
      <c r="F1141" s="49" t="s">
        <v>176</v>
      </c>
      <c r="G1141" s="49" t="s">
        <v>453</v>
      </c>
      <c r="H1141" s="49" t="s">
        <v>177</v>
      </c>
      <c r="I1141" s="132"/>
      <c r="J1141" s="53"/>
    </row>
    <row r="1142" hidden="1">
      <c r="A1142" s="110" t="s">
        <v>5630</v>
      </c>
      <c r="B1142" s="49" t="s">
        <v>5631</v>
      </c>
      <c r="C1142" s="49" t="s">
        <v>139</v>
      </c>
      <c r="D1142" s="50">
        <v>42710.0</v>
      </c>
      <c r="E1142" s="50">
        <v>42712.0</v>
      </c>
      <c r="F1142" s="49" t="s">
        <v>5635</v>
      </c>
      <c r="G1142" s="49" t="s">
        <v>140</v>
      </c>
      <c r="H1142" s="49" t="s">
        <v>5270</v>
      </c>
      <c r="I1142" s="132"/>
      <c r="J1142" s="133"/>
    </row>
    <row r="1143" hidden="1">
      <c r="A1143" s="110" t="s">
        <v>5637</v>
      </c>
      <c r="B1143" s="49" t="s">
        <v>5640</v>
      </c>
      <c r="C1143" s="49" t="s">
        <v>139</v>
      </c>
      <c r="D1143" s="50">
        <v>42709.0</v>
      </c>
      <c r="E1143" s="133"/>
      <c r="F1143" s="49" t="s">
        <v>176</v>
      </c>
      <c r="G1143" s="49" t="s">
        <v>337</v>
      </c>
      <c r="H1143" s="49" t="s">
        <v>4728</v>
      </c>
      <c r="I1143" s="132"/>
      <c r="J1143" s="53"/>
    </row>
    <row r="1144" hidden="1">
      <c r="A1144" s="110" t="s">
        <v>5642</v>
      </c>
      <c r="B1144" s="49" t="s">
        <v>5644</v>
      </c>
      <c r="C1144" s="49" t="s">
        <v>139</v>
      </c>
      <c r="D1144" s="50">
        <v>42706.0</v>
      </c>
      <c r="E1144" s="50">
        <v>42709.0</v>
      </c>
      <c r="F1144" s="49" t="s">
        <v>274</v>
      </c>
      <c r="G1144" s="49" t="s">
        <v>141</v>
      </c>
      <c r="H1144" s="49" t="s">
        <v>244</v>
      </c>
      <c r="I1144" s="132"/>
      <c r="J1144" s="53"/>
    </row>
    <row r="1145" hidden="1">
      <c r="A1145" s="110" t="s">
        <v>5647</v>
      </c>
      <c r="B1145" s="49" t="s">
        <v>5648</v>
      </c>
      <c r="C1145" s="49" t="s">
        <v>139</v>
      </c>
      <c r="D1145" s="50">
        <v>42706.0</v>
      </c>
      <c r="E1145" s="50">
        <v>42706.0</v>
      </c>
      <c r="F1145" s="49" t="s">
        <v>274</v>
      </c>
      <c r="G1145" s="49" t="s">
        <v>453</v>
      </c>
      <c r="H1145" s="49" t="s">
        <v>244</v>
      </c>
      <c r="I1145" s="132"/>
      <c r="J1145" s="53"/>
    </row>
    <row r="1146" hidden="1">
      <c r="A1146" s="110" t="s">
        <v>5653</v>
      </c>
      <c r="B1146" s="49" t="s">
        <v>5655</v>
      </c>
      <c r="C1146" s="49" t="s">
        <v>139</v>
      </c>
      <c r="D1146" s="50">
        <v>42706.0</v>
      </c>
      <c r="E1146" s="133"/>
      <c r="F1146" s="49" t="s">
        <v>274</v>
      </c>
      <c r="G1146" s="49" t="s">
        <v>141</v>
      </c>
      <c r="H1146" s="49" t="s">
        <v>244</v>
      </c>
      <c r="I1146" s="132"/>
      <c r="J1146" s="53"/>
    </row>
    <row r="1147" hidden="1">
      <c r="A1147" s="110" t="s">
        <v>5658</v>
      </c>
      <c r="B1147" s="49" t="s">
        <v>5660</v>
      </c>
      <c r="C1147" s="49" t="s">
        <v>139</v>
      </c>
      <c r="D1147" s="50">
        <v>42706.0</v>
      </c>
      <c r="E1147" s="50" t="s">
        <v>92</v>
      </c>
      <c r="F1147" s="49" t="s">
        <v>274</v>
      </c>
      <c r="G1147" s="49" t="s">
        <v>453</v>
      </c>
      <c r="H1147" s="49" t="s">
        <v>244</v>
      </c>
      <c r="I1147" s="132"/>
      <c r="J1147" s="53"/>
    </row>
    <row r="1148" hidden="1">
      <c r="A1148" s="110" t="s">
        <v>5663</v>
      </c>
      <c r="B1148" s="49" t="s">
        <v>5665</v>
      </c>
      <c r="C1148" s="49" t="s">
        <v>139</v>
      </c>
      <c r="D1148" s="50">
        <v>42705.0</v>
      </c>
      <c r="E1148" s="50">
        <v>42710.0</v>
      </c>
      <c r="F1148" s="49" t="s">
        <v>176</v>
      </c>
      <c r="G1148" s="49" t="s">
        <v>453</v>
      </c>
      <c r="H1148" s="49" t="s">
        <v>177</v>
      </c>
      <c r="I1148" s="132"/>
      <c r="J1148" s="53"/>
    </row>
    <row r="1149" hidden="1">
      <c r="A1149" s="110" t="s">
        <v>5668</v>
      </c>
      <c r="B1149" s="49" t="s">
        <v>5672</v>
      </c>
      <c r="C1149" s="49" t="s">
        <v>139</v>
      </c>
      <c r="D1149" s="50">
        <v>42705.0</v>
      </c>
      <c r="E1149" s="50">
        <v>42706.0</v>
      </c>
      <c r="F1149" s="49" t="s">
        <v>723</v>
      </c>
      <c r="G1149" s="49" t="s">
        <v>140</v>
      </c>
      <c r="H1149" s="49" t="s">
        <v>609</v>
      </c>
      <c r="I1149" s="132"/>
      <c r="J1149" s="53"/>
    </row>
    <row r="1150" hidden="1">
      <c r="A1150" s="110" t="s">
        <v>5675</v>
      </c>
      <c r="B1150" s="49" t="s">
        <v>5676</v>
      </c>
      <c r="C1150" s="49" t="s">
        <v>139</v>
      </c>
      <c r="D1150" s="50">
        <v>42704.0</v>
      </c>
      <c r="E1150" s="53"/>
      <c r="F1150" s="49" t="s">
        <v>215</v>
      </c>
      <c r="G1150" s="49" t="s">
        <v>140</v>
      </c>
      <c r="H1150" s="49" t="s">
        <v>216</v>
      </c>
      <c r="I1150" s="132"/>
      <c r="J1150" s="53"/>
    </row>
    <row r="1151" hidden="1">
      <c r="A1151" s="110" t="s">
        <v>5680</v>
      </c>
      <c r="B1151" s="49" t="s">
        <v>5681</v>
      </c>
      <c r="C1151" s="49" t="s">
        <v>139</v>
      </c>
      <c r="D1151" s="50">
        <v>42704.0</v>
      </c>
      <c r="E1151" s="53"/>
      <c r="F1151" s="49" t="s">
        <v>215</v>
      </c>
      <c r="G1151" s="49" t="s">
        <v>140</v>
      </c>
      <c r="H1151" s="49" t="s">
        <v>216</v>
      </c>
      <c r="I1151" s="132"/>
      <c r="J1151" s="53"/>
    </row>
    <row r="1152" hidden="1">
      <c r="A1152" s="110" t="s">
        <v>5684</v>
      </c>
      <c r="B1152" s="49" t="s">
        <v>5688</v>
      </c>
      <c r="C1152" s="49" t="s">
        <v>139</v>
      </c>
      <c r="D1152" s="50">
        <v>42704.0</v>
      </c>
      <c r="E1152" s="53"/>
      <c r="F1152" s="49" t="s">
        <v>215</v>
      </c>
      <c r="G1152" s="49" t="s">
        <v>140</v>
      </c>
      <c r="H1152" s="49" t="s">
        <v>216</v>
      </c>
      <c r="I1152" s="132"/>
      <c r="J1152" s="53"/>
    </row>
    <row r="1153" hidden="1">
      <c r="A1153" s="110" t="s">
        <v>5689</v>
      </c>
      <c r="B1153" s="49" t="s">
        <v>5692</v>
      </c>
      <c r="C1153" s="49" t="s">
        <v>139</v>
      </c>
      <c r="D1153" s="50">
        <v>42704.0</v>
      </c>
      <c r="E1153" s="53"/>
      <c r="F1153" s="49" t="s">
        <v>215</v>
      </c>
      <c r="G1153" s="49" t="s">
        <v>140</v>
      </c>
      <c r="H1153" s="49" t="s">
        <v>216</v>
      </c>
      <c r="I1153" s="132"/>
      <c r="J1153" s="53"/>
    </row>
    <row r="1154" hidden="1">
      <c r="A1154" s="110" t="s">
        <v>5695</v>
      </c>
      <c r="B1154" s="49" t="s">
        <v>5698</v>
      </c>
      <c r="C1154" s="49" t="s">
        <v>139</v>
      </c>
      <c r="D1154" s="50">
        <v>42703.0</v>
      </c>
      <c r="E1154" s="53"/>
      <c r="F1154" s="49" t="s">
        <v>176</v>
      </c>
      <c r="G1154" s="49" t="s">
        <v>337</v>
      </c>
      <c r="H1154" s="49" t="s">
        <v>140</v>
      </c>
      <c r="I1154" s="132"/>
      <c r="J1154" s="53"/>
    </row>
    <row r="1155" hidden="1">
      <c r="A1155" s="110" t="s">
        <v>5701</v>
      </c>
      <c r="B1155" s="49" t="s">
        <v>5704</v>
      </c>
      <c r="C1155" s="49" t="s">
        <v>139</v>
      </c>
      <c r="D1155" s="50">
        <v>42699.0</v>
      </c>
      <c r="E1155" s="53"/>
      <c r="F1155" s="49" t="s">
        <v>147</v>
      </c>
      <c r="G1155" s="49" t="s">
        <v>140</v>
      </c>
      <c r="H1155" s="49" t="s">
        <v>4728</v>
      </c>
      <c r="I1155" s="132"/>
      <c r="J1155" s="53"/>
    </row>
    <row r="1156" hidden="1">
      <c r="A1156" s="110" t="s">
        <v>5707</v>
      </c>
      <c r="B1156" s="49" t="s">
        <v>5709</v>
      </c>
      <c r="C1156" s="49" t="s">
        <v>139</v>
      </c>
      <c r="D1156" s="50">
        <v>42699.0</v>
      </c>
      <c r="E1156" s="133"/>
      <c r="F1156" s="49" t="s">
        <v>2596</v>
      </c>
      <c r="G1156" s="49" t="s">
        <v>1891</v>
      </c>
      <c r="H1156" s="49" t="s">
        <v>1891</v>
      </c>
      <c r="I1156" s="132"/>
      <c r="J1156" s="53"/>
    </row>
    <row r="1157" hidden="1">
      <c r="A1157" s="110" t="s">
        <v>5712</v>
      </c>
      <c r="B1157" s="49" t="s">
        <v>5719</v>
      </c>
      <c r="C1157" s="49" t="s">
        <v>139</v>
      </c>
      <c r="D1157" s="50">
        <v>42696.0</v>
      </c>
      <c r="E1157" s="133"/>
      <c r="F1157" s="49" t="s">
        <v>723</v>
      </c>
      <c r="G1157" s="49" t="s">
        <v>609</v>
      </c>
      <c r="H1157" s="49" t="s">
        <v>609</v>
      </c>
      <c r="I1157" s="132"/>
      <c r="J1157" s="53"/>
    </row>
    <row r="1158" hidden="1">
      <c r="A1158" s="110" t="s">
        <v>5721</v>
      </c>
      <c r="B1158" s="49" t="s">
        <v>5723</v>
      </c>
      <c r="C1158" s="49" t="s">
        <v>139</v>
      </c>
      <c r="D1158" s="50">
        <v>42696.0</v>
      </c>
      <c r="E1158" s="50">
        <v>42697.0</v>
      </c>
      <c r="F1158" s="49" t="s">
        <v>723</v>
      </c>
      <c r="G1158" s="49" t="s">
        <v>609</v>
      </c>
      <c r="H1158" s="49" t="s">
        <v>609</v>
      </c>
      <c r="I1158" s="132"/>
      <c r="J1158" s="53"/>
    </row>
    <row r="1159" hidden="1">
      <c r="A1159" s="110" t="s">
        <v>5725</v>
      </c>
      <c r="B1159" s="49" t="s">
        <v>5727</v>
      </c>
      <c r="C1159" s="49" t="s">
        <v>139</v>
      </c>
      <c r="D1159" s="50">
        <v>42695.0</v>
      </c>
      <c r="E1159" s="53"/>
      <c r="F1159" s="49" t="s">
        <v>215</v>
      </c>
      <c r="G1159" s="49" t="s">
        <v>140</v>
      </c>
      <c r="H1159" s="49" t="s">
        <v>216</v>
      </c>
      <c r="I1159" s="132"/>
      <c r="J1159" s="53"/>
    </row>
    <row r="1160" hidden="1">
      <c r="A1160" s="110" t="s">
        <v>5728</v>
      </c>
      <c r="B1160" s="49" t="s">
        <v>5729</v>
      </c>
      <c r="C1160" s="49" t="s">
        <v>139</v>
      </c>
      <c r="D1160" s="50">
        <v>42692.0</v>
      </c>
      <c r="E1160" s="50">
        <v>42704.0</v>
      </c>
      <c r="F1160" s="49" t="s">
        <v>160</v>
      </c>
      <c r="G1160" s="49" t="s">
        <v>155</v>
      </c>
      <c r="H1160" s="49" t="s">
        <v>244</v>
      </c>
      <c r="I1160" s="132"/>
      <c r="J1160" s="53"/>
    </row>
    <row r="1161" hidden="1">
      <c r="A1161" s="110" t="s">
        <v>5732</v>
      </c>
      <c r="B1161" s="49" t="s">
        <v>5733</v>
      </c>
      <c r="C1161" s="49" t="s">
        <v>139</v>
      </c>
      <c r="D1161" s="50">
        <v>42692.0</v>
      </c>
      <c r="E1161" s="50">
        <v>42694.0</v>
      </c>
      <c r="F1161" s="49" t="s">
        <v>160</v>
      </c>
      <c r="G1161" s="49" t="s">
        <v>453</v>
      </c>
      <c r="H1161" s="49" t="s">
        <v>244</v>
      </c>
      <c r="I1161" s="132"/>
      <c r="J1161" s="53"/>
    </row>
    <row r="1162" hidden="1">
      <c r="A1162" s="110" t="s">
        <v>5736</v>
      </c>
      <c r="B1162" s="49" t="s">
        <v>5737</v>
      </c>
      <c r="C1162" s="49" t="s">
        <v>139</v>
      </c>
      <c r="D1162" s="50">
        <v>42692.0</v>
      </c>
      <c r="E1162" s="50">
        <v>42704.0</v>
      </c>
      <c r="F1162" s="49" t="s">
        <v>160</v>
      </c>
      <c r="G1162" s="49" t="s">
        <v>155</v>
      </c>
      <c r="H1162" s="49" t="s">
        <v>244</v>
      </c>
      <c r="I1162" s="132"/>
      <c r="J1162" s="53"/>
    </row>
    <row r="1163" hidden="1">
      <c r="A1163" s="110" t="s">
        <v>5740</v>
      </c>
      <c r="B1163" s="49" t="s">
        <v>5741</v>
      </c>
      <c r="C1163" s="49" t="s">
        <v>139</v>
      </c>
      <c r="D1163" s="50">
        <v>42692.0</v>
      </c>
      <c r="E1163" s="50">
        <v>42694.0</v>
      </c>
      <c r="F1163" s="49" t="s">
        <v>160</v>
      </c>
      <c r="G1163" s="49" t="s">
        <v>453</v>
      </c>
      <c r="H1163" s="49" t="s">
        <v>244</v>
      </c>
      <c r="I1163" s="132"/>
      <c r="J1163" s="53"/>
    </row>
    <row r="1164" hidden="1">
      <c r="A1164" s="110" t="s">
        <v>5742</v>
      </c>
      <c r="B1164" s="49" t="s">
        <v>5743</v>
      </c>
      <c r="C1164" s="49" t="s">
        <v>139</v>
      </c>
      <c r="D1164" s="50">
        <v>42692.0</v>
      </c>
      <c r="E1164" s="50">
        <v>42695.0</v>
      </c>
      <c r="F1164" s="49" t="s">
        <v>176</v>
      </c>
      <c r="G1164" s="49" t="s">
        <v>453</v>
      </c>
      <c r="H1164" s="49" t="s">
        <v>177</v>
      </c>
      <c r="I1164" s="132"/>
      <c r="J1164" s="53"/>
    </row>
    <row r="1165" hidden="1">
      <c r="A1165" s="110" t="s">
        <v>5744</v>
      </c>
      <c r="B1165" s="49" t="s">
        <v>5747</v>
      </c>
      <c r="C1165" s="49" t="s">
        <v>139</v>
      </c>
      <c r="D1165" s="50">
        <v>42692.0</v>
      </c>
      <c r="E1165" s="50">
        <v>42698.0</v>
      </c>
      <c r="F1165" s="49" t="s">
        <v>160</v>
      </c>
      <c r="G1165" s="49" t="s">
        <v>5748</v>
      </c>
      <c r="H1165" s="49" t="s">
        <v>244</v>
      </c>
      <c r="I1165" s="132"/>
      <c r="J1165" s="53"/>
    </row>
    <row r="1166" hidden="1">
      <c r="A1166" s="110" t="s">
        <v>5750</v>
      </c>
      <c r="B1166" s="49" t="s">
        <v>5753</v>
      </c>
      <c r="C1166" s="49" t="s">
        <v>139</v>
      </c>
      <c r="D1166" s="50">
        <v>42692.0</v>
      </c>
      <c r="E1166" s="50">
        <v>42701.0</v>
      </c>
      <c r="F1166" s="49" t="s">
        <v>160</v>
      </c>
      <c r="G1166" s="49" t="s">
        <v>140</v>
      </c>
      <c r="H1166" s="49" t="s">
        <v>244</v>
      </c>
      <c r="I1166" s="132"/>
      <c r="J1166" s="53"/>
    </row>
    <row r="1167" hidden="1">
      <c r="A1167" s="110" t="s">
        <v>5754</v>
      </c>
      <c r="B1167" s="49" t="s">
        <v>5758</v>
      </c>
      <c r="C1167" s="49" t="s">
        <v>139</v>
      </c>
      <c r="D1167" s="50">
        <v>42692.0</v>
      </c>
      <c r="E1167" s="50">
        <v>42695.0</v>
      </c>
      <c r="F1167" s="49" t="s">
        <v>176</v>
      </c>
      <c r="G1167" s="49" t="s">
        <v>453</v>
      </c>
      <c r="H1167" s="49" t="s">
        <v>177</v>
      </c>
      <c r="I1167" s="132"/>
      <c r="J1167" s="53"/>
    </row>
    <row r="1168" hidden="1">
      <c r="A1168" s="110" t="s">
        <v>5759</v>
      </c>
      <c r="B1168" s="49" t="s">
        <v>5761</v>
      </c>
      <c r="C1168" s="49" t="s">
        <v>139</v>
      </c>
      <c r="D1168" s="50">
        <v>42692.0</v>
      </c>
      <c r="E1168" s="50">
        <v>42694.0</v>
      </c>
      <c r="F1168" s="49" t="s">
        <v>160</v>
      </c>
      <c r="G1168" s="49" t="s">
        <v>453</v>
      </c>
      <c r="H1168" s="49" t="s">
        <v>244</v>
      </c>
      <c r="I1168" s="132"/>
      <c r="J1168" s="53"/>
    </row>
    <row r="1169" hidden="1">
      <c r="A1169" s="110" t="s">
        <v>5764</v>
      </c>
      <c r="B1169" s="49" t="s">
        <v>5766</v>
      </c>
      <c r="C1169" s="49" t="s">
        <v>139</v>
      </c>
      <c r="D1169" s="50">
        <v>42692.0</v>
      </c>
      <c r="E1169" s="50">
        <v>42698.0</v>
      </c>
      <c r="F1169" s="49" t="s">
        <v>160</v>
      </c>
      <c r="G1169" s="49" t="s">
        <v>5748</v>
      </c>
      <c r="H1169" s="49" t="s">
        <v>244</v>
      </c>
      <c r="I1169" s="132"/>
      <c r="J1169" s="53"/>
    </row>
    <row r="1170" hidden="1">
      <c r="A1170" s="110" t="s">
        <v>5767</v>
      </c>
      <c r="B1170" s="49" t="s">
        <v>5770</v>
      </c>
      <c r="C1170" s="49" t="s">
        <v>139</v>
      </c>
      <c r="D1170" s="50">
        <v>42692.0</v>
      </c>
      <c r="E1170" s="50">
        <v>42701.0</v>
      </c>
      <c r="F1170" s="49" t="s">
        <v>160</v>
      </c>
      <c r="G1170" s="49" t="s">
        <v>141</v>
      </c>
      <c r="H1170" s="49" t="s">
        <v>244</v>
      </c>
      <c r="I1170" s="132"/>
      <c r="J1170" s="53"/>
    </row>
    <row r="1171" hidden="1">
      <c r="A1171" s="110" t="s">
        <v>5771</v>
      </c>
      <c r="B1171" s="49" t="s">
        <v>5772</v>
      </c>
      <c r="C1171" s="49" t="s">
        <v>139</v>
      </c>
      <c r="D1171" s="50">
        <v>42692.0</v>
      </c>
      <c r="E1171" s="50">
        <v>42695.0</v>
      </c>
      <c r="F1171" s="49" t="s">
        <v>176</v>
      </c>
      <c r="G1171" s="49" t="s">
        <v>453</v>
      </c>
      <c r="H1171" s="49" t="s">
        <v>177</v>
      </c>
      <c r="I1171" s="132"/>
      <c r="J1171" s="53"/>
    </row>
    <row r="1172" hidden="1">
      <c r="A1172" s="110" t="s">
        <v>5775</v>
      </c>
      <c r="B1172" s="49" t="s">
        <v>5776</v>
      </c>
      <c r="C1172" s="49" t="s">
        <v>139</v>
      </c>
      <c r="D1172" s="50">
        <v>42692.0</v>
      </c>
      <c r="E1172" s="50">
        <v>42695.0</v>
      </c>
      <c r="F1172" s="49" t="s">
        <v>176</v>
      </c>
      <c r="G1172" s="49" t="s">
        <v>453</v>
      </c>
      <c r="H1172" s="49" t="s">
        <v>177</v>
      </c>
      <c r="I1172" s="132"/>
      <c r="J1172" s="53"/>
    </row>
    <row r="1173" hidden="1">
      <c r="A1173" s="110" t="s">
        <v>5780</v>
      </c>
      <c r="B1173" s="49" t="s">
        <v>5781</v>
      </c>
      <c r="C1173" s="49" t="s">
        <v>139</v>
      </c>
      <c r="D1173" s="50">
        <v>42692.0</v>
      </c>
      <c r="E1173" s="50">
        <v>42699.0</v>
      </c>
      <c r="F1173" s="49" t="s">
        <v>176</v>
      </c>
      <c r="G1173" s="49" t="s">
        <v>4728</v>
      </c>
      <c r="H1173" s="49" t="s">
        <v>177</v>
      </c>
      <c r="I1173" s="132"/>
      <c r="J1173" s="53"/>
    </row>
    <row r="1174" hidden="1">
      <c r="A1174" s="110" t="s">
        <v>5782</v>
      </c>
      <c r="B1174" s="49" t="s">
        <v>5783</v>
      </c>
      <c r="C1174" s="49" t="s">
        <v>139</v>
      </c>
      <c r="D1174" s="50">
        <v>42683.0</v>
      </c>
      <c r="E1174" s="50">
        <v>42685.0</v>
      </c>
      <c r="F1174" s="49" t="s">
        <v>160</v>
      </c>
      <c r="G1174" s="49" t="s">
        <v>141</v>
      </c>
      <c r="H1174" s="49" t="s">
        <v>244</v>
      </c>
      <c r="I1174" s="132"/>
      <c r="J1174" s="53"/>
    </row>
    <row r="1175" hidden="1">
      <c r="A1175" s="110" t="s">
        <v>5786</v>
      </c>
      <c r="B1175" s="49" t="s">
        <v>5787</v>
      </c>
      <c r="C1175" s="49" t="s">
        <v>139</v>
      </c>
      <c r="D1175" s="50">
        <v>42683.0</v>
      </c>
      <c r="E1175" s="50">
        <v>42685.0</v>
      </c>
      <c r="F1175" s="49" t="s">
        <v>160</v>
      </c>
      <c r="G1175" s="49" t="s">
        <v>453</v>
      </c>
      <c r="H1175" s="49" t="s">
        <v>244</v>
      </c>
      <c r="I1175" s="132"/>
      <c r="J1175" s="53"/>
    </row>
    <row r="1176" hidden="1">
      <c r="A1176" s="110" t="s">
        <v>5793</v>
      </c>
      <c r="B1176" s="49" t="s">
        <v>5794</v>
      </c>
      <c r="C1176" s="49" t="s">
        <v>139</v>
      </c>
      <c r="D1176" s="50">
        <v>42682.0</v>
      </c>
      <c r="E1176" s="133"/>
      <c r="F1176" s="49" t="s">
        <v>274</v>
      </c>
      <c r="G1176" s="49" t="s">
        <v>140</v>
      </c>
      <c r="H1176" s="49" t="s">
        <v>140</v>
      </c>
      <c r="I1176" s="132"/>
      <c r="J1176" s="53"/>
    </row>
    <row r="1177" hidden="1">
      <c r="A1177" s="110" t="s">
        <v>5796</v>
      </c>
      <c r="B1177" s="49" t="s">
        <v>5797</v>
      </c>
      <c r="C1177" s="49" t="s">
        <v>139</v>
      </c>
      <c r="D1177" s="50">
        <v>42682.0</v>
      </c>
      <c r="E1177" s="53"/>
      <c r="F1177" s="49" t="s">
        <v>215</v>
      </c>
      <c r="G1177" s="49" t="s">
        <v>140</v>
      </c>
      <c r="H1177" s="49" t="s">
        <v>216</v>
      </c>
      <c r="I1177" s="132"/>
      <c r="J1177" s="53"/>
    </row>
    <row r="1178" hidden="1">
      <c r="A1178" s="110" t="s">
        <v>5800</v>
      </c>
      <c r="B1178" s="49" t="s">
        <v>5801</v>
      </c>
      <c r="C1178" s="49" t="s">
        <v>139</v>
      </c>
      <c r="D1178" s="50">
        <v>42681.0</v>
      </c>
      <c r="E1178" s="50">
        <v>42684.0</v>
      </c>
      <c r="F1178" s="49" t="s">
        <v>160</v>
      </c>
      <c r="G1178" s="49" t="s">
        <v>141</v>
      </c>
      <c r="H1178" s="49" t="s">
        <v>244</v>
      </c>
      <c r="I1178" s="132"/>
      <c r="J1178" s="53"/>
    </row>
    <row r="1179" hidden="1">
      <c r="A1179" s="110" t="s">
        <v>5802</v>
      </c>
      <c r="B1179" s="49" t="s">
        <v>5803</v>
      </c>
      <c r="C1179" s="49" t="s">
        <v>139</v>
      </c>
      <c r="D1179" s="50">
        <v>42681.0</v>
      </c>
      <c r="E1179" s="50">
        <v>42681.0</v>
      </c>
      <c r="F1179" s="49" t="s">
        <v>160</v>
      </c>
      <c r="G1179" s="49" t="s">
        <v>141</v>
      </c>
      <c r="H1179" s="49" t="s">
        <v>244</v>
      </c>
      <c r="I1179" s="132"/>
      <c r="J1179" s="53"/>
    </row>
    <row r="1180" hidden="1">
      <c r="A1180" s="110" t="s">
        <v>5806</v>
      </c>
      <c r="B1180" s="49" t="s">
        <v>5808</v>
      </c>
      <c r="C1180" s="49" t="s">
        <v>139</v>
      </c>
      <c r="D1180" s="50">
        <v>42681.0</v>
      </c>
      <c r="E1180" s="50">
        <v>42681.0</v>
      </c>
      <c r="F1180" s="49" t="s">
        <v>160</v>
      </c>
      <c r="G1180" s="49" t="s">
        <v>141</v>
      </c>
      <c r="H1180" s="49" t="s">
        <v>244</v>
      </c>
      <c r="I1180" s="132"/>
      <c r="J1180" s="53"/>
    </row>
    <row r="1181" hidden="1">
      <c r="A1181" s="110" t="s">
        <v>5809</v>
      </c>
      <c r="B1181" s="49" t="s">
        <v>5810</v>
      </c>
      <c r="C1181" s="49" t="s">
        <v>139</v>
      </c>
      <c r="D1181" s="50">
        <v>42681.0</v>
      </c>
      <c r="E1181" s="50">
        <v>42681.0</v>
      </c>
      <c r="F1181" s="49" t="s">
        <v>160</v>
      </c>
      <c r="G1181" s="49" t="s">
        <v>141</v>
      </c>
      <c r="H1181" s="49" t="s">
        <v>244</v>
      </c>
      <c r="I1181" s="132"/>
      <c r="J1181" s="53"/>
    </row>
    <row r="1182" hidden="1">
      <c r="A1182" s="110" t="s">
        <v>5811</v>
      </c>
      <c r="B1182" s="49" t="s">
        <v>5812</v>
      </c>
      <c r="C1182" s="49" t="s">
        <v>139</v>
      </c>
      <c r="D1182" s="50">
        <v>42681.0</v>
      </c>
      <c r="E1182" s="50">
        <v>42683.0</v>
      </c>
      <c r="F1182" s="49" t="s">
        <v>160</v>
      </c>
      <c r="G1182" s="49" t="s">
        <v>453</v>
      </c>
      <c r="H1182" s="49" t="s">
        <v>244</v>
      </c>
      <c r="I1182" s="132"/>
      <c r="J1182" s="53"/>
    </row>
    <row r="1183" hidden="1">
      <c r="A1183" s="110" t="s">
        <v>5814</v>
      </c>
      <c r="B1183" s="49" t="s">
        <v>5815</v>
      </c>
      <c r="C1183" s="49" t="s">
        <v>139</v>
      </c>
      <c r="D1183" s="50">
        <v>42681.0</v>
      </c>
      <c r="E1183" s="50">
        <v>42681.0</v>
      </c>
      <c r="F1183" s="49" t="s">
        <v>160</v>
      </c>
      <c r="G1183" s="49" t="s">
        <v>453</v>
      </c>
      <c r="H1183" s="49" t="s">
        <v>244</v>
      </c>
      <c r="I1183" s="132"/>
      <c r="J1183" s="53"/>
    </row>
    <row r="1184" hidden="1">
      <c r="A1184" s="110" t="s">
        <v>5818</v>
      </c>
      <c r="B1184" s="49" t="s">
        <v>5822</v>
      </c>
      <c r="C1184" s="49" t="s">
        <v>139</v>
      </c>
      <c r="D1184" s="50">
        <v>42681.0</v>
      </c>
      <c r="E1184" s="50">
        <v>42681.0</v>
      </c>
      <c r="F1184" s="49" t="s">
        <v>160</v>
      </c>
      <c r="G1184" s="49" t="s">
        <v>453</v>
      </c>
      <c r="H1184" s="49" t="s">
        <v>244</v>
      </c>
      <c r="I1184" s="132"/>
      <c r="J1184" s="53"/>
    </row>
    <row r="1185" hidden="1">
      <c r="A1185" s="110" t="s">
        <v>5825</v>
      </c>
      <c r="B1185" s="49" t="s">
        <v>5826</v>
      </c>
      <c r="C1185" s="49" t="s">
        <v>139</v>
      </c>
      <c r="D1185" s="50">
        <v>42681.0</v>
      </c>
      <c r="E1185" s="50">
        <v>42681.0</v>
      </c>
      <c r="F1185" s="49" t="s">
        <v>160</v>
      </c>
      <c r="G1185" s="49" t="s">
        <v>453</v>
      </c>
      <c r="H1185" s="49" t="s">
        <v>244</v>
      </c>
      <c r="I1185" s="132"/>
      <c r="J1185" s="53"/>
    </row>
    <row r="1186" hidden="1">
      <c r="A1186" s="110" t="s">
        <v>5829</v>
      </c>
      <c r="B1186" s="49" t="s">
        <v>5830</v>
      </c>
      <c r="C1186" s="49" t="s">
        <v>139</v>
      </c>
      <c r="D1186" s="50">
        <v>42681.0</v>
      </c>
      <c r="E1186" s="53"/>
      <c r="F1186" s="49" t="s">
        <v>5831</v>
      </c>
      <c r="G1186" s="49" t="s">
        <v>2926</v>
      </c>
      <c r="H1186" s="49" t="s">
        <v>5832</v>
      </c>
      <c r="I1186" s="132"/>
      <c r="J1186" s="53"/>
    </row>
    <row r="1187" hidden="1">
      <c r="A1187" s="110" t="s">
        <v>5835</v>
      </c>
      <c r="B1187" s="49" t="s">
        <v>5836</v>
      </c>
      <c r="C1187" s="49" t="s">
        <v>139</v>
      </c>
      <c r="D1187" s="50">
        <v>42679.0</v>
      </c>
      <c r="E1187" s="53"/>
      <c r="F1187" s="49" t="s">
        <v>215</v>
      </c>
      <c r="G1187" s="49" t="s">
        <v>140</v>
      </c>
      <c r="H1187" s="49" t="s">
        <v>216</v>
      </c>
      <c r="I1187" s="132"/>
      <c r="J1187" s="53"/>
    </row>
    <row r="1188" hidden="1">
      <c r="A1188" s="110" t="s">
        <v>5839</v>
      </c>
      <c r="B1188" s="49" t="s">
        <v>5841</v>
      </c>
      <c r="C1188" s="49" t="s">
        <v>139</v>
      </c>
      <c r="D1188" s="50">
        <v>42679.0</v>
      </c>
      <c r="E1188" s="53"/>
      <c r="F1188" s="49" t="s">
        <v>215</v>
      </c>
      <c r="G1188" s="49" t="s">
        <v>140</v>
      </c>
      <c r="H1188" s="49" t="s">
        <v>216</v>
      </c>
      <c r="I1188" s="132"/>
      <c r="J1188" s="53"/>
    </row>
    <row r="1189" hidden="1">
      <c r="A1189" s="110" t="s">
        <v>5842</v>
      </c>
      <c r="B1189" s="49" t="s">
        <v>5843</v>
      </c>
      <c r="C1189" s="49" t="s">
        <v>139</v>
      </c>
      <c r="D1189" s="50">
        <v>42678.0</v>
      </c>
      <c r="E1189" s="133"/>
      <c r="F1189" s="49" t="s">
        <v>176</v>
      </c>
      <c r="G1189" s="49" t="s">
        <v>337</v>
      </c>
      <c r="H1189" s="49" t="s">
        <v>177</v>
      </c>
      <c r="I1189" s="132"/>
      <c r="J1189" s="53"/>
    </row>
    <row r="1190" hidden="1">
      <c r="A1190" s="110" t="s">
        <v>5847</v>
      </c>
      <c r="B1190" s="49" t="s">
        <v>5848</v>
      </c>
      <c r="C1190" s="49" t="s">
        <v>139</v>
      </c>
      <c r="D1190" s="50">
        <v>42678.0</v>
      </c>
      <c r="E1190" s="50">
        <v>42683.0</v>
      </c>
      <c r="F1190" s="49" t="s">
        <v>176</v>
      </c>
      <c r="G1190" s="49" t="s">
        <v>4827</v>
      </c>
      <c r="H1190" s="49" t="s">
        <v>177</v>
      </c>
      <c r="I1190" s="132"/>
      <c r="J1190" s="53"/>
    </row>
    <row r="1191" hidden="1">
      <c r="A1191" s="110" t="s">
        <v>5849</v>
      </c>
      <c r="B1191" s="49" t="s">
        <v>5850</v>
      </c>
      <c r="C1191" s="49" t="s">
        <v>139</v>
      </c>
      <c r="D1191" s="50">
        <v>42677.0</v>
      </c>
      <c r="E1191" s="53"/>
      <c r="F1191" s="49" t="s">
        <v>176</v>
      </c>
      <c r="G1191" s="49" t="s">
        <v>140</v>
      </c>
      <c r="H1191" s="49" t="s">
        <v>140</v>
      </c>
      <c r="I1191" s="132"/>
      <c r="J1191" s="53"/>
    </row>
    <row r="1192" hidden="1">
      <c r="A1192" s="110" t="s">
        <v>5851</v>
      </c>
      <c r="B1192" s="49" t="s">
        <v>5853</v>
      </c>
      <c r="C1192" s="49" t="s">
        <v>139</v>
      </c>
      <c r="D1192" s="50">
        <v>42677.0</v>
      </c>
      <c r="E1192" s="133"/>
      <c r="F1192" s="49" t="s">
        <v>274</v>
      </c>
      <c r="G1192" s="49" t="s">
        <v>140</v>
      </c>
      <c r="H1192" s="49" t="s">
        <v>140</v>
      </c>
      <c r="I1192" s="132"/>
      <c r="J1192" s="53"/>
    </row>
    <row r="1193" hidden="1">
      <c r="A1193" s="110" t="s">
        <v>5856</v>
      </c>
      <c r="B1193" s="49" t="s">
        <v>5857</v>
      </c>
      <c r="C1193" s="49" t="s">
        <v>139</v>
      </c>
      <c r="D1193" s="50">
        <v>42676.0</v>
      </c>
      <c r="E1193" s="50">
        <v>42676.0</v>
      </c>
      <c r="F1193" s="49" t="s">
        <v>160</v>
      </c>
      <c r="G1193" s="49" t="s">
        <v>453</v>
      </c>
      <c r="H1193" s="49" t="s">
        <v>244</v>
      </c>
      <c r="I1193" s="132"/>
      <c r="J1193" s="53"/>
    </row>
    <row r="1194" hidden="1">
      <c r="A1194" s="110" t="s">
        <v>5858</v>
      </c>
      <c r="B1194" s="49" t="s">
        <v>5862</v>
      </c>
      <c r="C1194" s="49" t="s">
        <v>139</v>
      </c>
      <c r="D1194" s="50">
        <v>42676.0</v>
      </c>
      <c r="E1194" s="50">
        <v>42676.0</v>
      </c>
      <c r="F1194" s="49" t="s">
        <v>160</v>
      </c>
      <c r="G1194" s="49" t="s">
        <v>453</v>
      </c>
      <c r="H1194" s="49" t="s">
        <v>244</v>
      </c>
      <c r="I1194" s="132"/>
      <c r="J1194" s="53"/>
    </row>
    <row r="1195" hidden="1">
      <c r="A1195" s="110" t="s">
        <v>5866</v>
      </c>
      <c r="B1195" s="49" t="s">
        <v>5869</v>
      </c>
      <c r="C1195" s="49" t="s">
        <v>139</v>
      </c>
      <c r="D1195" s="50">
        <v>42676.0</v>
      </c>
      <c r="E1195" s="50">
        <v>42676.0</v>
      </c>
      <c r="F1195" s="49" t="s">
        <v>160</v>
      </c>
      <c r="G1195" s="49" t="s">
        <v>453</v>
      </c>
      <c r="H1195" s="49" t="s">
        <v>244</v>
      </c>
      <c r="I1195" s="132"/>
      <c r="J1195" s="53"/>
    </row>
    <row r="1196" hidden="1">
      <c r="A1196" s="110" t="s">
        <v>5872</v>
      </c>
      <c r="B1196" s="49" t="s">
        <v>5873</v>
      </c>
      <c r="C1196" s="49" t="s">
        <v>139</v>
      </c>
      <c r="D1196" s="50">
        <v>42675.0</v>
      </c>
      <c r="E1196" s="50">
        <v>42675.0</v>
      </c>
      <c r="F1196" s="49" t="s">
        <v>160</v>
      </c>
      <c r="G1196" s="49" t="s">
        <v>453</v>
      </c>
      <c r="H1196" s="49" t="s">
        <v>244</v>
      </c>
      <c r="I1196" s="132"/>
      <c r="J1196" s="53"/>
    </row>
    <row r="1197" hidden="1">
      <c r="A1197" s="110" t="s">
        <v>5876</v>
      </c>
      <c r="B1197" s="49" t="s">
        <v>5877</v>
      </c>
      <c r="C1197" s="49" t="s">
        <v>139</v>
      </c>
      <c r="D1197" s="50">
        <v>42674.0</v>
      </c>
      <c r="E1197" s="133"/>
      <c r="F1197" s="49" t="s">
        <v>176</v>
      </c>
      <c r="G1197" s="49" t="s">
        <v>4827</v>
      </c>
      <c r="H1197" s="49" t="s">
        <v>177</v>
      </c>
      <c r="I1197" s="132"/>
      <c r="J1197" s="53"/>
    </row>
    <row r="1198" hidden="1">
      <c r="A1198" s="110" t="s">
        <v>5878</v>
      </c>
      <c r="B1198" s="49" t="s">
        <v>5879</v>
      </c>
      <c r="C1198" s="49" t="s">
        <v>2554</v>
      </c>
      <c r="D1198" s="50">
        <v>42674.0</v>
      </c>
      <c r="E1198" s="133"/>
      <c r="F1198" s="49" t="s">
        <v>176</v>
      </c>
      <c r="G1198" s="49" t="s">
        <v>233</v>
      </c>
      <c r="H1198" s="49" t="s">
        <v>177</v>
      </c>
      <c r="I1198" s="132"/>
      <c r="J1198" s="53"/>
    </row>
    <row r="1199" hidden="1">
      <c r="A1199" s="110" t="s">
        <v>5880</v>
      </c>
      <c r="B1199" s="49" t="s">
        <v>5881</v>
      </c>
      <c r="C1199" s="49" t="s">
        <v>2554</v>
      </c>
      <c r="D1199" s="50">
        <v>42674.0</v>
      </c>
      <c r="E1199" s="133"/>
      <c r="F1199" s="49" t="s">
        <v>176</v>
      </c>
      <c r="G1199" s="49" t="s">
        <v>4838</v>
      </c>
      <c r="H1199" s="49" t="s">
        <v>177</v>
      </c>
      <c r="I1199" s="132"/>
      <c r="J1199" s="53"/>
    </row>
    <row r="1200" hidden="1">
      <c r="A1200" s="110" t="s">
        <v>5882</v>
      </c>
      <c r="B1200" s="49" t="s">
        <v>5883</v>
      </c>
      <c r="C1200" s="49" t="s">
        <v>139</v>
      </c>
      <c r="D1200" s="50">
        <v>42674.0</v>
      </c>
      <c r="E1200" s="50">
        <v>42660.0</v>
      </c>
      <c r="F1200" s="49" t="s">
        <v>176</v>
      </c>
      <c r="G1200" s="49" t="s">
        <v>140</v>
      </c>
      <c r="H1200" s="49" t="s">
        <v>177</v>
      </c>
      <c r="I1200" s="132"/>
      <c r="J1200" s="53"/>
    </row>
    <row r="1201" hidden="1">
      <c r="A1201" s="110" t="s">
        <v>5884</v>
      </c>
      <c r="B1201" s="49" t="s">
        <v>5885</v>
      </c>
      <c r="C1201" s="49" t="s">
        <v>139</v>
      </c>
      <c r="D1201" s="50">
        <v>42670.0</v>
      </c>
      <c r="E1201" s="53"/>
      <c r="F1201" s="49" t="s">
        <v>2707</v>
      </c>
      <c r="G1201" s="49" t="s">
        <v>140</v>
      </c>
      <c r="H1201" s="49" t="s">
        <v>4728</v>
      </c>
      <c r="I1201" s="132"/>
      <c r="J1201" s="53"/>
    </row>
    <row r="1202" hidden="1">
      <c r="A1202" s="110" t="s">
        <v>5887</v>
      </c>
      <c r="B1202" s="49" t="s">
        <v>5888</v>
      </c>
      <c r="C1202" s="49" t="s">
        <v>139</v>
      </c>
      <c r="D1202" s="50">
        <v>42667.0</v>
      </c>
      <c r="E1202" s="133"/>
      <c r="F1202" s="49" t="s">
        <v>1629</v>
      </c>
      <c r="G1202" s="49" t="s">
        <v>140</v>
      </c>
      <c r="H1202" s="49" t="s">
        <v>4728</v>
      </c>
      <c r="I1202" s="132"/>
      <c r="J1202" s="53"/>
    </row>
    <row r="1203" hidden="1">
      <c r="A1203" s="110" t="s">
        <v>5890</v>
      </c>
      <c r="B1203" s="49" t="s">
        <v>5891</v>
      </c>
      <c r="C1203" s="49" t="s">
        <v>139</v>
      </c>
      <c r="D1203" s="50">
        <v>42661.0</v>
      </c>
      <c r="E1203" s="50">
        <v>42663.0</v>
      </c>
      <c r="F1203" s="49" t="s">
        <v>5635</v>
      </c>
      <c r="G1203" s="49" t="s">
        <v>140</v>
      </c>
      <c r="H1203" s="49" t="s">
        <v>5270</v>
      </c>
      <c r="I1203" s="132"/>
      <c r="J1203" s="53"/>
    </row>
    <row r="1204" hidden="1">
      <c r="A1204" s="110" t="s">
        <v>5892</v>
      </c>
      <c r="B1204" s="49" t="s">
        <v>5894</v>
      </c>
      <c r="C1204" s="49" t="s">
        <v>139</v>
      </c>
      <c r="D1204" s="50">
        <v>42655.0</v>
      </c>
      <c r="E1204" s="53"/>
      <c r="F1204" s="49" t="s">
        <v>147</v>
      </c>
      <c r="G1204" s="49" t="s">
        <v>140</v>
      </c>
      <c r="H1204" s="49" t="s">
        <v>4728</v>
      </c>
      <c r="I1204" s="132"/>
      <c r="J1204" s="53"/>
    </row>
    <row r="1205" hidden="1">
      <c r="A1205" s="110" t="s">
        <v>5895</v>
      </c>
      <c r="B1205" s="49" t="s">
        <v>5896</v>
      </c>
      <c r="C1205" s="49" t="s">
        <v>139</v>
      </c>
      <c r="D1205" s="50">
        <v>42653.0</v>
      </c>
      <c r="E1205" s="50">
        <v>42654.0</v>
      </c>
      <c r="F1205" s="49" t="s">
        <v>176</v>
      </c>
      <c r="G1205" s="49" t="s">
        <v>453</v>
      </c>
      <c r="H1205" s="49" t="s">
        <v>177</v>
      </c>
      <c r="I1205" s="132"/>
      <c r="J1205" s="53"/>
    </row>
    <row r="1206" hidden="1">
      <c r="A1206" s="110" t="s">
        <v>5897</v>
      </c>
      <c r="B1206" s="49" t="s">
        <v>5898</v>
      </c>
      <c r="C1206" s="49" t="s">
        <v>139</v>
      </c>
      <c r="D1206" s="50">
        <v>42653.0</v>
      </c>
      <c r="E1206" s="133"/>
      <c r="F1206" s="49" t="s">
        <v>176</v>
      </c>
      <c r="G1206" s="49" t="s">
        <v>4827</v>
      </c>
      <c r="H1206" s="49" t="s">
        <v>140</v>
      </c>
      <c r="I1206" s="132"/>
      <c r="J1206" s="53"/>
    </row>
    <row r="1207" hidden="1">
      <c r="A1207" s="110" t="s">
        <v>5899</v>
      </c>
      <c r="B1207" s="49" t="s">
        <v>5901</v>
      </c>
      <c r="C1207" s="49" t="s">
        <v>139</v>
      </c>
      <c r="D1207" s="50">
        <v>42653.0</v>
      </c>
      <c r="E1207" s="53"/>
      <c r="F1207" s="49" t="s">
        <v>147</v>
      </c>
      <c r="G1207" s="49" t="s">
        <v>140</v>
      </c>
      <c r="H1207" s="49" t="s">
        <v>4728</v>
      </c>
      <c r="I1207" s="132"/>
      <c r="J1207" s="53"/>
    </row>
    <row r="1208" hidden="1">
      <c r="A1208" s="110" t="s">
        <v>5903</v>
      </c>
      <c r="B1208" s="49" t="s">
        <v>5904</v>
      </c>
      <c r="C1208" s="49" t="s">
        <v>139</v>
      </c>
      <c r="D1208" s="50">
        <v>42653.0</v>
      </c>
      <c r="E1208" s="53"/>
      <c r="F1208" s="49" t="s">
        <v>215</v>
      </c>
      <c r="G1208" s="49" t="s">
        <v>2926</v>
      </c>
      <c r="H1208" s="49" t="s">
        <v>216</v>
      </c>
      <c r="I1208" s="132"/>
      <c r="J1208" s="53"/>
    </row>
    <row r="1209" hidden="1">
      <c r="A1209" s="110" t="s">
        <v>5905</v>
      </c>
      <c r="B1209" s="49" t="s">
        <v>5906</v>
      </c>
      <c r="C1209" s="49" t="s">
        <v>139</v>
      </c>
      <c r="D1209" s="50">
        <v>42652.0</v>
      </c>
      <c r="E1209" s="53"/>
      <c r="F1209" s="49" t="s">
        <v>215</v>
      </c>
      <c r="G1209" s="49" t="s">
        <v>5621</v>
      </c>
      <c r="H1209" s="49" t="s">
        <v>140</v>
      </c>
      <c r="I1209" s="132"/>
      <c r="J1209" s="53"/>
    </row>
    <row r="1210" hidden="1">
      <c r="A1210" s="110" t="s">
        <v>5907</v>
      </c>
      <c r="B1210" s="49" t="s">
        <v>5908</v>
      </c>
      <c r="C1210" s="49" t="s">
        <v>139</v>
      </c>
      <c r="D1210" s="50">
        <v>42644.0</v>
      </c>
      <c r="E1210" s="50">
        <v>42662.0</v>
      </c>
      <c r="F1210" s="49" t="s">
        <v>176</v>
      </c>
      <c r="G1210" s="49" t="s">
        <v>4728</v>
      </c>
      <c r="H1210" s="49" t="s">
        <v>233</v>
      </c>
      <c r="I1210" s="132"/>
      <c r="J1210" s="53"/>
    </row>
    <row r="1211" hidden="1">
      <c r="A1211" s="110" t="s">
        <v>5909</v>
      </c>
      <c r="B1211" s="49" t="s">
        <v>5910</v>
      </c>
      <c r="C1211" s="49" t="s">
        <v>139</v>
      </c>
      <c r="D1211" s="50">
        <v>42607.0</v>
      </c>
      <c r="E1211" s="53"/>
      <c r="F1211" s="49" t="s">
        <v>176</v>
      </c>
      <c r="G1211" s="49" t="s">
        <v>4827</v>
      </c>
      <c r="H1211" s="49" t="s">
        <v>140</v>
      </c>
      <c r="I1211" s="132"/>
      <c r="J1211" s="53"/>
    </row>
    <row r="1212" hidden="1">
      <c r="A1212" s="110" t="s">
        <v>5911</v>
      </c>
      <c r="B1212" s="49" t="s">
        <v>5912</v>
      </c>
      <c r="C1212" s="49" t="s">
        <v>139</v>
      </c>
      <c r="D1212" s="50">
        <v>42550.0</v>
      </c>
      <c r="E1212" s="53"/>
      <c r="F1212" s="49" t="s">
        <v>215</v>
      </c>
      <c r="G1212" s="49" t="s">
        <v>140</v>
      </c>
      <c r="H1212" s="49" t="s">
        <v>5913</v>
      </c>
      <c r="I1212" s="132"/>
      <c r="J1212" s="53"/>
    </row>
    <row r="1213" hidden="1">
      <c r="A1213" s="110" t="s">
        <v>5914</v>
      </c>
      <c r="B1213" s="50">
        <v>1102571.0</v>
      </c>
      <c r="C1213" s="49" t="s">
        <v>139</v>
      </c>
      <c r="D1213" s="50">
        <v>42550.0</v>
      </c>
      <c r="E1213" s="53"/>
      <c r="F1213" s="49" t="s">
        <v>215</v>
      </c>
      <c r="G1213" s="49" t="s">
        <v>140</v>
      </c>
      <c r="H1213" s="49" t="s">
        <v>5913</v>
      </c>
      <c r="I1213" s="132"/>
      <c r="J1213" s="53"/>
    </row>
    <row r="1214" hidden="1">
      <c r="A1214" s="110" t="s">
        <v>5915</v>
      </c>
      <c r="B1214" s="49" t="s">
        <v>5916</v>
      </c>
      <c r="C1214" s="49" t="s">
        <v>139</v>
      </c>
      <c r="D1214" s="50">
        <v>42550.0</v>
      </c>
      <c r="E1214" s="53"/>
      <c r="F1214" s="49" t="s">
        <v>215</v>
      </c>
      <c r="G1214" s="49" t="s">
        <v>140</v>
      </c>
      <c r="H1214" s="49" t="s">
        <v>5913</v>
      </c>
      <c r="I1214" s="132"/>
      <c r="J1214" s="53"/>
    </row>
    <row r="1215" hidden="1">
      <c r="A1215" s="110" t="s">
        <v>5918</v>
      </c>
      <c r="B1215" s="49" t="s">
        <v>5919</v>
      </c>
      <c r="C1215" s="49" t="s">
        <v>139</v>
      </c>
      <c r="D1215" s="50">
        <v>42550.0</v>
      </c>
      <c r="E1215" s="53"/>
      <c r="F1215" s="49" t="s">
        <v>215</v>
      </c>
      <c r="G1215" s="49" t="s">
        <v>140</v>
      </c>
      <c r="H1215" s="49" t="s">
        <v>5913</v>
      </c>
      <c r="I1215" s="132"/>
      <c r="J1215" s="53"/>
    </row>
    <row r="1216" hidden="1">
      <c r="A1216" s="110" t="s">
        <v>5920</v>
      </c>
      <c r="B1216" s="49" t="s">
        <v>5921</v>
      </c>
      <c r="C1216" s="49" t="s">
        <v>139</v>
      </c>
      <c r="D1216" s="50">
        <v>42538.0</v>
      </c>
      <c r="E1216" s="53"/>
      <c r="F1216" s="49" t="s">
        <v>215</v>
      </c>
      <c r="G1216" s="49" t="s">
        <v>140</v>
      </c>
      <c r="H1216" s="49" t="s">
        <v>5913</v>
      </c>
      <c r="I1216" s="132"/>
      <c r="J1216" s="53"/>
    </row>
    <row r="1217" hidden="1">
      <c r="A1217" s="110" t="s">
        <v>5923</v>
      </c>
      <c r="B1217" s="49" t="s">
        <v>5924</v>
      </c>
      <c r="C1217" s="49" t="s">
        <v>139</v>
      </c>
      <c r="D1217" s="50">
        <v>42536.0</v>
      </c>
      <c r="E1217" s="53"/>
      <c r="F1217" s="49" t="s">
        <v>630</v>
      </c>
      <c r="G1217" s="49" t="s">
        <v>2926</v>
      </c>
      <c r="H1217" s="49" t="s">
        <v>5925</v>
      </c>
      <c r="I1217" s="132"/>
      <c r="J1217" s="53"/>
    </row>
    <row r="1218" hidden="1">
      <c r="A1218" s="110" t="s">
        <v>5926</v>
      </c>
      <c r="B1218" s="49" t="s">
        <v>5927</v>
      </c>
      <c r="C1218" s="49" t="s">
        <v>139</v>
      </c>
      <c r="D1218" s="50">
        <v>42479.0</v>
      </c>
      <c r="E1218" s="133"/>
      <c r="F1218" s="49" t="s">
        <v>176</v>
      </c>
      <c r="G1218" s="49" t="s">
        <v>140</v>
      </c>
      <c r="H1218" s="49" t="s">
        <v>140</v>
      </c>
      <c r="I1218" s="132"/>
      <c r="J1218" s="53"/>
    </row>
    <row r="1219" hidden="1">
      <c r="A1219" s="110" t="s">
        <v>5928</v>
      </c>
      <c r="B1219" s="49" t="s">
        <v>5929</v>
      </c>
      <c r="C1219" s="49" t="s">
        <v>139</v>
      </c>
      <c r="D1219" s="50">
        <v>42400.0</v>
      </c>
      <c r="E1219" s="53"/>
      <c r="F1219" s="49" t="s">
        <v>176</v>
      </c>
      <c r="G1219" s="49" t="s">
        <v>177</v>
      </c>
      <c r="H1219" s="49" t="s">
        <v>177</v>
      </c>
      <c r="I1219" s="132"/>
      <c r="J1219" s="53"/>
    </row>
    <row r="1220" hidden="1">
      <c r="A1220" s="110" t="s">
        <v>5930</v>
      </c>
      <c r="B1220" s="49" t="s">
        <v>5931</v>
      </c>
      <c r="C1220" s="49" t="s">
        <v>139</v>
      </c>
      <c r="D1220" s="50">
        <v>42400.0</v>
      </c>
      <c r="E1220" s="53"/>
      <c r="F1220" s="49" t="s">
        <v>2707</v>
      </c>
      <c r="G1220" s="49" t="s">
        <v>216</v>
      </c>
      <c r="H1220" s="49" t="s">
        <v>216</v>
      </c>
      <c r="I1220" s="132"/>
      <c r="J1220" s="53"/>
    </row>
    <row r="1221" hidden="1">
      <c r="A1221" s="110" t="s">
        <v>5932</v>
      </c>
      <c r="B1221" s="49" t="s">
        <v>5933</v>
      </c>
      <c r="C1221" s="49" t="s">
        <v>139</v>
      </c>
      <c r="D1221" s="50">
        <v>42400.0</v>
      </c>
      <c r="E1221" s="53"/>
      <c r="F1221" s="49" t="s">
        <v>2707</v>
      </c>
      <c r="G1221" s="49" t="s">
        <v>216</v>
      </c>
      <c r="H1221" s="49" t="s">
        <v>216</v>
      </c>
      <c r="I1221" s="132"/>
      <c r="J1221" s="53"/>
    </row>
    <row r="1222" hidden="1">
      <c r="A1222" s="110" t="s">
        <v>5935</v>
      </c>
      <c r="B1222" s="49" t="s">
        <v>5936</v>
      </c>
      <c r="C1222" s="49" t="s">
        <v>139</v>
      </c>
      <c r="D1222" s="50">
        <v>42400.0</v>
      </c>
      <c r="E1222" s="53"/>
      <c r="F1222" s="49" t="s">
        <v>3685</v>
      </c>
      <c r="G1222" s="49" t="s">
        <v>216</v>
      </c>
      <c r="H1222" s="49" t="s">
        <v>216</v>
      </c>
      <c r="I1222" s="132"/>
      <c r="J1222" s="53"/>
    </row>
    <row r="1223" hidden="1">
      <c r="A1223" s="110" t="s">
        <v>5937</v>
      </c>
      <c r="B1223" s="49" t="s">
        <v>5938</v>
      </c>
      <c r="C1223" s="49" t="s">
        <v>139</v>
      </c>
      <c r="D1223" s="50">
        <v>42399.0</v>
      </c>
      <c r="E1223" s="53"/>
      <c r="F1223" s="49" t="s">
        <v>723</v>
      </c>
      <c r="G1223" s="49" t="s">
        <v>2926</v>
      </c>
      <c r="H1223" s="49" t="s">
        <v>5939</v>
      </c>
      <c r="I1223" s="132"/>
      <c r="J1223" s="53"/>
    </row>
    <row r="1224" hidden="1">
      <c r="A1224" s="110" t="s">
        <v>5940</v>
      </c>
      <c r="B1224" s="49" t="s">
        <v>5941</v>
      </c>
      <c r="C1224" s="49" t="s">
        <v>139</v>
      </c>
      <c r="D1224" s="50">
        <v>42399.0</v>
      </c>
      <c r="E1224" s="53"/>
      <c r="F1224" s="49" t="s">
        <v>2707</v>
      </c>
      <c r="G1224" s="49" t="s">
        <v>216</v>
      </c>
      <c r="H1224" s="49" t="s">
        <v>216</v>
      </c>
      <c r="I1224" s="132"/>
      <c r="J1224" s="53"/>
    </row>
    <row r="1225" hidden="1">
      <c r="A1225" s="110" t="s">
        <v>5943</v>
      </c>
      <c r="B1225" s="49" t="s">
        <v>5944</v>
      </c>
      <c r="C1225" s="49" t="s">
        <v>139</v>
      </c>
      <c r="D1225" s="50">
        <v>42398.0</v>
      </c>
      <c r="E1225" s="133"/>
      <c r="F1225" s="49" t="s">
        <v>176</v>
      </c>
      <c r="G1225" s="49" t="s">
        <v>177</v>
      </c>
      <c r="H1225" s="49" t="s">
        <v>177</v>
      </c>
      <c r="I1225" s="132"/>
      <c r="J1225" s="53"/>
    </row>
    <row r="1226" hidden="1">
      <c r="A1226" s="110" t="s">
        <v>5945</v>
      </c>
      <c r="B1226" s="49" t="s">
        <v>5946</v>
      </c>
      <c r="C1226" s="49" t="s">
        <v>139</v>
      </c>
      <c r="D1226" s="50">
        <v>42398.0</v>
      </c>
      <c r="E1226" s="53"/>
      <c r="F1226" s="49" t="s">
        <v>723</v>
      </c>
      <c r="G1226" s="49" t="s">
        <v>609</v>
      </c>
      <c r="H1226" s="49" t="s">
        <v>609</v>
      </c>
      <c r="I1226" s="132"/>
      <c r="J1226" s="53"/>
    </row>
    <row r="1227" hidden="1">
      <c r="A1227" s="110" t="s">
        <v>5947</v>
      </c>
      <c r="B1227" s="49" t="s">
        <v>5948</v>
      </c>
      <c r="C1227" s="49" t="s">
        <v>139</v>
      </c>
      <c r="D1227" s="50">
        <v>42398.0</v>
      </c>
      <c r="E1227" s="53"/>
      <c r="F1227" s="49" t="s">
        <v>215</v>
      </c>
      <c r="G1227" s="49" t="s">
        <v>216</v>
      </c>
      <c r="H1227" s="49" t="s">
        <v>216</v>
      </c>
      <c r="I1227" s="132"/>
      <c r="J1227" s="53"/>
    </row>
    <row r="1228" hidden="1">
      <c r="A1228" s="110" t="s">
        <v>5949</v>
      </c>
      <c r="B1228" s="49" t="s">
        <v>5950</v>
      </c>
      <c r="C1228" s="49" t="s">
        <v>139</v>
      </c>
      <c r="D1228" s="50">
        <v>42398.0</v>
      </c>
      <c r="E1228" s="53"/>
      <c r="F1228" s="49" t="s">
        <v>723</v>
      </c>
      <c r="G1228" s="49" t="s">
        <v>609</v>
      </c>
      <c r="H1228" s="49" t="s">
        <v>609</v>
      </c>
      <c r="I1228" s="132"/>
      <c r="J1228" s="53"/>
    </row>
    <row r="1229" hidden="1">
      <c r="A1229" s="110" t="s">
        <v>5951</v>
      </c>
      <c r="B1229" s="49" t="s">
        <v>5952</v>
      </c>
      <c r="C1229" s="49" t="s">
        <v>139</v>
      </c>
      <c r="D1229" s="50">
        <v>42397.0</v>
      </c>
      <c r="E1229" s="53"/>
      <c r="F1229" s="49" t="s">
        <v>215</v>
      </c>
      <c r="G1229" s="49" t="s">
        <v>216</v>
      </c>
      <c r="H1229" s="49" t="s">
        <v>216</v>
      </c>
      <c r="I1229" s="132"/>
      <c r="J1229" s="53"/>
    </row>
    <row r="1230" hidden="1">
      <c r="A1230" s="110" t="s">
        <v>5953</v>
      </c>
      <c r="B1230" s="49" t="s">
        <v>5954</v>
      </c>
      <c r="C1230" s="49" t="s">
        <v>139</v>
      </c>
      <c r="D1230" s="50">
        <v>42397.0</v>
      </c>
      <c r="E1230" s="53"/>
      <c r="F1230" s="49" t="s">
        <v>723</v>
      </c>
      <c r="G1230" s="49" t="s">
        <v>609</v>
      </c>
      <c r="H1230" s="49" t="s">
        <v>609</v>
      </c>
      <c r="I1230" s="132"/>
      <c r="J1230" s="53"/>
    </row>
    <row r="1231" hidden="1">
      <c r="A1231" s="110" t="s">
        <v>5956</v>
      </c>
      <c r="B1231" s="49" t="s">
        <v>5957</v>
      </c>
      <c r="C1231" s="49" t="s">
        <v>139</v>
      </c>
      <c r="D1231" s="50">
        <v>42397.0</v>
      </c>
      <c r="E1231" s="53"/>
      <c r="F1231" s="49" t="s">
        <v>723</v>
      </c>
      <c r="G1231" s="49" t="s">
        <v>609</v>
      </c>
      <c r="H1231" s="49" t="s">
        <v>609</v>
      </c>
      <c r="I1231" s="132"/>
      <c r="J1231" s="53"/>
    </row>
    <row r="1232" hidden="1">
      <c r="A1232" s="110" t="s">
        <v>5958</v>
      </c>
      <c r="B1232" s="49" t="s">
        <v>5959</v>
      </c>
      <c r="C1232" s="49" t="s">
        <v>139</v>
      </c>
      <c r="D1232" s="50">
        <v>42395.0</v>
      </c>
      <c r="E1232" s="53"/>
      <c r="F1232" s="49" t="s">
        <v>176</v>
      </c>
      <c r="G1232" s="49" t="s">
        <v>177</v>
      </c>
      <c r="H1232" s="49" t="s">
        <v>177</v>
      </c>
      <c r="I1232" s="132"/>
      <c r="J1232" s="53"/>
    </row>
    <row r="1233" hidden="1">
      <c r="A1233" s="110" t="s">
        <v>5961</v>
      </c>
      <c r="B1233" s="49" t="s">
        <v>5962</v>
      </c>
      <c r="C1233" s="49" t="s">
        <v>139</v>
      </c>
      <c r="D1233" s="50">
        <v>42395.0</v>
      </c>
      <c r="E1233" s="133"/>
      <c r="F1233" s="49" t="s">
        <v>2707</v>
      </c>
      <c r="G1233" s="49" t="s">
        <v>5621</v>
      </c>
      <c r="H1233" s="49" t="s">
        <v>216</v>
      </c>
      <c r="I1233" s="132"/>
      <c r="J1233" s="53"/>
    </row>
    <row r="1234" hidden="1">
      <c r="A1234" s="110" t="s">
        <v>5963</v>
      </c>
      <c r="B1234" s="49" t="s">
        <v>5964</v>
      </c>
      <c r="C1234" s="49" t="s">
        <v>139</v>
      </c>
      <c r="D1234" s="50">
        <v>42395.0</v>
      </c>
      <c r="E1234" s="53"/>
      <c r="F1234" s="49" t="s">
        <v>3685</v>
      </c>
      <c r="G1234" s="49" t="s">
        <v>216</v>
      </c>
      <c r="H1234" s="49" t="s">
        <v>216</v>
      </c>
      <c r="I1234" s="132"/>
      <c r="J1234" s="53"/>
    </row>
    <row r="1235" hidden="1">
      <c r="A1235" s="110" t="s">
        <v>5965</v>
      </c>
      <c r="B1235" s="49" t="s">
        <v>5966</v>
      </c>
      <c r="C1235" s="49" t="s">
        <v>139</v>
      </c>
      <c r="D1235" s="50">
        <v>42395.0</v>
      </c>
      <c r="E1235" s="53"/>
      <c r="F1235" s="49" t="s">
        <v>3685</v>
      </c>
      <c r="G1235" s="49" t="s">
        <v>216</v>
      </c>
      <c r="H1235" s="49" t="s">
        <v>216</v>
      </c>
      <c r="I1235" s="132"/>
      <c r="J1235" s="53"/>
    </row>
    <row r="1236" hidden="1">
      <c r="A1236" s="110" t="s">
        <v>5967</v>
      </c>
      <c r="B1236" s="49" t="s">
        <v>5968</v>
      </c>
      <c r="C1236" s="49" t="s">
        <v>139</v>
      </c>
      <c r="D1236" s="50">
        <v>42395.0</v>
      </c>
      <c r="E1236" s="53"/>
      <c r="F1236" s="49" t="s">
        <v>3685</v>
      </c>
      <c r="G1236" s="49" t="s">
        <v>216</v>
      </c>
      <c r="H1236" s="49" t="s">
        <v>216</v>
      </c>
      <c r="I1236" s="132"/>
      <c r="J1236" s="53"/>
    </row>
    <row r="1237" hidden="1">
      <c r="A1237" s="110" t="s">
        <v>5969</v>
      </c>
      <c r="B1237" s="49" t="s">
        <v>5970</v>
      </c>
      <c r="C1237" s="49" t="s">
        <v>139</v>
      </c>
      <c r="D1237" s="50">
        <v>42395.0</v>
      </c>
      <c r="E1237" s="53"/>
      <c r="F1237" s="49" t="s">
        <v>3685</v>
      </c>
      <c r="G1237" s="49" t="s">
        <v>216</v>
      </c>
      <c r="H1237" s="49" t="s">
        <v>216</v>
      </c>
      <c r="I1237" s="132"/>
      <c r="J1237" s="53"/>
    </row>
    <row r="1238" hidden="1">
      <c r="A1238" s="110" t="s">
        <v>5972</v>
      </c>
      <c r="B1238" s="49" t="s">
        <v>5973</v>
      </c>
      <c r="C1238" s="49" t="s">
        <v>139</v>
      </c>
      <c r="D1238" s="50">
        <v>42395.0</v>
      </c>
      <c r="E1238" s="53"/>
      <c r="F1238" s="49" t="s">
        <v>3685</v>
      </c>
      <c r="G1238" s="49" t="s">
        <v>216</v>
      </c>
      <c r="H1238" s="49" t="s">
        <v>216</v>
      </c>
      <c r="I1238" s="132"/>
      <c r="J1238" s="53"/>
    </row>
    <row r="1239" hidden="1">
      <c r="A1239" s="110" t="s">
        <v>5975</v>
      </c>
      <c r="B1239" s="49" t="s">
        <v>5976</v>
      </c>
      <c r="C1239" s="49" t="s">
        <v>139</v>
      </c>
      <c r="D1239" s="50">
        <v>42395.0</v>
      </c>
      <c r="E1239" s="53"/>
      <c r="F1239" s="49" t="s">
        <v>215</v>
      </c>
      <c r="G1239" s="49" t="s">
        <v>216</v>
      </c>
      <c r="H1239" s="49" t="s">
        <v>216</v>
      </c>
      <c r="I1239" s="132"/>
      <c r="J1239" s="53"/>
    </row>
    <row r="1240" hidden="1">
      <c r="A1240" s="110" t="s">
        <v>5977</v>
      </c>
      <c r="B1240" s="49" t="s">
        <v>5979</v>
      </c>
      <c r="C1240" s="49" t="s">
        <v>139</v>
      </c>
      <c r="D1240" s="50">
        <v>42395.0</v>
      </c>
      <c r="E1240" s="53"/>
      <c r="F1240" s="49" t="s">
        <v>723</v>
      </c>
      <c r="G1240" s="49" t="s">
        <v>609</v>
      </c>
      <c r="H1240" s="49" t="s">
        <v>609</v>
      </c>
      <c r="I1240" s="132"/>
      <c r="J1240" s="53"/>
    </row>
    <row r="1241" hidden="1">
      <c r="A1241" s="110" t="s">
        <v>5980</v>
      </c>
      <c r="B1241" s="49" t="s">
        <v>5983</v>
      </c>
      <c r="C1241" s="49" t="s">
        <v>139</v>
      </c>
      <c r="D1241" s="50">
        <v>42395.0</v>
      </c>
      <c r="E1241" s="53"/>
      <c r="F1241" s="49" t="s">
        <v>723</v>
      </c>
      <c r="G1241" s="49" t="s">
        <v>609</v>
      </c>
      <c r="H1241" s="49" t="s">
        <v>609</v>
      </c>
      <c r="I1241" s="132"/>
      <c r="J1241" s="53"/>
    </row>
    <row r="1242" hidden="1">
      <c r="A1242" s="110" t="s">
        <v>5985</v>
      </c>
      <c r="B1242" s="49" t="s">
        <v>5986</v>
      </c>
      <c r="C1242" s="49" t="s">
        <v>139</v>
      </c>
      <c r="D1242" s="50">
        <v>42395.0</v>
      </c>
      <c r="E1242" s="53"/>
      <c r="F1242" s="49" t="s">
        <v>723</v>
      </c>
      <c r="G1242" s="49" t="s">
        <v>609</v>
      </c>
      <c r="H1242" s="49" t="s">
        <v>609</v>
      </c>
      <c r="I1242" s="132"/>
      <c r="J1242" s="53"/>
    </row>
    <row r="1243" hidden="1">
      <c r="A1243" s="110" t="s">
        <v>5988</v>
      </c>
      <c r="B1243" s="49" t="s">
        <v>5989</v>
      </c>
      <c r="C1243" s="49" t="s">
        <v>139</v>
      </c>
      <c r="D1243" s="50">
        <v>42394.0</v>
      </c>
      <c r="E1243" s="53"/>
      <c r="F1243" s="49" t="s">
        <v>1399</v>
      </c>
      <c r="G1243" s="49" t="s">
        <v>1400</v>
      </c>
      <c r="H1243" s="49" t="s">
        <v>1400</v>
      </c>
      <c r="I1243" s="132"/>
      <c r="J1243" s="53"/>
    </row>
    <row r="1244" hidden="1">
      <c r="A1244" s="110" t="s">
        <v>5991</v>
      </c>
      <c r="B1244" s="49" t="s">
        <v>5992</v>
      </c>
      <c r="C1244" s="49" t="s">
        <v>139</v>
      </c>
      <c r="D1244" s="50">
        <v>42394.0</v>
      </c>
      <c r="E1244" s="53"/>
      <c r="F1244" s="49" t="s">
        <v>1399</v>
      </c>
      <c r="G1244" s="49" t="s">
        <v>453</v>
      </c>
      <c r="H1244" s="49" t="s">
        <v>1400</v>
      </c>
      <c r="I1244" s="132"/>
      <c r="J1244" s="53"/>
    </row>
    <row r="1245" hidden="1">
      <c r="A1245" s="110" t="s">
        <v>5995</v>
      </c>
      <c r="B1245" s="49" t="s">
        <v>5996</v>
      </c>
      <c r="C1245" s="49" t="s">
        <v>139</v>
      </c>
      <c r="D1245" s="50">
        <v>42393.0</v>
      </c>
      <c r="E1245" s="53"/>
      <c r="F1245" s="49" t="s">
        <v>176</v>
      </c>
      <c r="G1245" s="49" t="s">
        <v>177</v>
      </c>
      <c r="H1245" s="49" t="s">
        <v>177</v>
      </c>
      <c r="I1245" s="132"/>
      <c r="J1245" s="53"/>
    </row>
    <row r="1246" hidden="1">
      <c r="A1246" s="110" t="s">
        <v>5998</v>
      </c>
      <c r="B1246" s="49" t="s">
        <v>6000</v>
      </c>
      <c r="C1246" s="49" t="s">
        <v>139</v>
      </c>
      <c r="D1246" s="50">
        <v>42393.0</v>
      </c>
      <c r="E1246" s="53"/>
      <c r="F1246" s="49" t="s">
        <v>176</v>
      </c>
      <c r="G1246" s="49" t="s">
        <v>177</v>
      </c>
      <c r="H1246" s="49" t="s">
        <v>177</v>
      </c>
      <c r="I1246" s="132"/>
      <c r="J1246" s="53"/>
    </row>
    <row r="1247" hidden="1">
      <c r="A1247" s="110" t="s">
        <v>6002</v>
      </c>
      <c r="B1247" s="49" t="s">
        <v>6003</v>
      </c>
      <c r="C1247" s="49" t="s">
        <v>139</v>
      </c>
      <c r="D1247" s="50">
        <v>42393.0</v>
      </c>
      <c r="E1247" s="53"/>
      <c r="F1247" s="49" t="s">
        <v>176</v>
      </c>
      <c r="G1247" s="49" t="s">
        <v>177</v>
      </c>
      <c r="H1247" s="49" t="s">
        <v>177</v>
      </c>
      <c r="I1247" s="132"/>
      <c r="J1247" s="53"/>
    </row>
    <row r="1248" hidden="1">
      <c r="A1248" s="110" t="s">
        <v>6005</v>
      </c>
      <c r="B1248" s="49" t="s">
        <v>6006</v>
      </c>
      <c r="C1248" s="49" t="s">
        <v>139</v>
      </c>
      <c r="D1248" s="50">
        <v>42393.0</v>
      </c>
      <c r="E1248" s="53"/>
      <c r="F1248" s="49" t="s">
        <v>2596</v>
      </c>
      <c r="G1248" s="49" t="s">
        <v>244</v>
      </c>
      <c r="H1248" s="49" t="s">
        <v>244</v>
      </c>
      <c r="I1248" s="132"/>
      <c r="J1248" s="53"/>
    </row>
    <row r="1249" hidden="1">
      <c r="A1249" s="110" t="s">
        <v>6007</v>
      </c>
      <c r="B1249" s="49" t="s">
        <v>6009</v>
      </c>
      <c r="C1249" s="49" t="s">
        <v>139</v>
      </c>
      <c r="D1249" s="50">
        <v>42393.0</v>
      </c>
      <c r="E1249" s="53"/>
      <c r="F1249" s="49" t="s">
        <v>2596</v>
      </c>
      <c r="G1249" s="49" t="s">
        <v>244</v>
      </c>
      <c r="H1249" s="49" t="s">
        <v>244</v>
      </c>
      <c r="I1249" s="132"/>
      <c r="J1249" s="53"/>
    </row>
    <row r="1250" hidden="1">
      <c r="A1250" s="110" t="s">
        <v>6010</v>
      </c>
      <c r="B1250" s="49" t="s">
        <v>6012</v>
      </c>
      <c r="C1250" s="49" t="s">
        <v>139</v>
      </c>
      <c r="D1250" s="50">
        <v>42393.0</v>
      </c>
      <c r="E1250" s="53"/>
      <c r="F1250" s="49" t="s">
        <v>215</v>
      </c>
      <c r="G1250" s="49" t="s">
        <v>216</v>
      </c>
      <c r="H1250" s="49" t="s">
        <v>216</v>
      </c>
      <c r="I1250" s="132"/>
      <c r="J1250" s="53"/>
    </row>
    <row r="1251" hidden="1">
      <c r="A1251" s="110" t="s">
        <v>6014</v>
      </c>
      <c r="B1251" s="49" t="s">
        <v>6015</v>
      </c>
      <c r="C1251" s="49" t="s">
        <v>139</v>
      </c>
      <c r="D1251" s="50">
        <v>42393.0</v>
      </c>
      <c r="E1251" s="53"/>
      <c r="F1251" s="49" t="s">
        <v>215</v>
      </c>
      <c r="G1251" s="49" t="s">
        <v>216</v>
      </c>
      <c r="H1251" s="49" t="s">
        <v>216</v>
      </c>
      <c r="I1251" s="132"/>
      <c r="J1251" s="53"/>
    </row>
    <row r="1252" hidden="1">
      <c r="A1252" s="110" t="s">
        <v>6017</v>
      </c>
      <c r="B1252" s="49" t="s">
        <v>6019</v>
      </c>
      <c r="C1252" s="49" t="s">
        <v>139</v>
      </c>
      <c r="D1252" s="50">
        <v>42393.0</v>
      </c>
      <c r="E1252" s="53"/>
      <c r="F1252" s="49" t="s">
        <v>215</v>
      </c>
      <c r="G1252" s="49" t="s">
        <v>216</v>
      </c>
      <c r="H1252" s="49" t="s">
        <v>216</v>
      </c>
      <c r="I1252" s="132"/>
      <c r="J1252" s="53"/>
    </row>
    <row r="1253" hidden="1">
      <c r="A1253" s="110" t="s">
        <v>6021</v>
      </c>
      <c r="B1253" s="49" t="s">
        <v>6022</v>
      </c>
      <c r="C1253" s="49" t="s">
        <v>139</v>
      </c>
      <c r="D1253" s="50">
        <v>42393.0</v>
      </c>
      <c r="E1253" s="53"/>
      <c r="F1253" s="49" t="s">
        <v>215</v>
      </c>
      <c r="G1253" s="49" t="s">
        <v>216</v>
      </c>
      <c r="H1253" s="49" t="s">
        <v>216</v>
      </c>
      <c r="I1253" s="132"/>
      <c r="J1253" s="53"/>
    </row>
    <row r="1254" hidden="1">
      <c r="A1254" s="110" t="s">
        <v>6023</v>
      </c>
      <c r="B1254" s="49" t="s">
        <v>6024</v>
      </c>
      <c r="C1254" s="49" t="s">
        <v>139</v>
      </c>
      <c r="D1254" s="50">
        <v>42393.0</v>
      </c>
      <c r="E1254" s="133"/>
      <c r="F1254" s="49" t="s">
        <v>119</v>
      </c>
      <c r="G1254" s="49" t="s">
        <v>726</v>
      </c>
      <c r="H1254" s="49" t="s">
        <v>6026</v>
      </c>
      <c r="I1254" s="132"/>
      <c r="J1254" s="53"/>
    </row>
    <row r="1255" hidden="1">
      <c r="A1255" s="110" t="s">
        <v>6028</v>
      </c>
      <c r="B1255" s="49" t="s">
        <v>6030</v>
      </c>
      <c r="C1255" s="49" t="s">
        <v>139</v>
      </c>
      <c r="D1255" s="50">
        <v>42392.0</v>
      </c>
      <c r="E1255" s="53"/>
      <c r="F1255" s="49" t="s">
        <v>176</v>
      </c>
      <c r="G1255" s="49" t="s">
        <v>177</v>
      </c>
      <c r="H1255" s="49" t="s">
        <v>177</v>
      </c>
      <c r="I1255" s="132"/>
      <c r="J1255" s="53"/>
    </row>
    <row r="1256" hidden="1">
      <c r="A1256" s="110" t="s">
        <v>6031</v>
      </c>
      <c r="B1256" s="49" t="s">
        <v>6034</v>
      </c>
      <c r="C1256" s="49" t="s">
        <v>139</v>
      </c>
      <c r="D1256" s="50">
        <v>42392.0</v>
      </c>
      <c r="E1256" s="53"/>
      <c r="F1256" s="49" t="s">
        <v>3685</v>
      </c>
      <c r="G1256" s="49" t="s">
        <v>216</v>
      </c>
      <c r="H1256" s="49" t="s">
        <v>216</v>
      </c>
      <c r="I1256" s="132"/>
      <c r="J1256" s="53"/>
    </row>
    <row r="1257" hidden="1">
      <c r="A1257" s="110" t="s">
        <v>6035</v>
      </c>
      <c r="B1257" s="49" t="s">
        <v>6038</v>
      </c>
      <c r="C1257" s="49" t="s">
        <v>139</v>
      </c>
      <c r="D1257" s="50">
        <v>42392.0</v>
      </c>
      <c r="E1257" s="53"/>
      <c r="F1257" s="49" t="s">
        <v>215</v>
      </c>
      <c r="G1257" s="49" t="s">
        <v>216</v>
      </c>
      <c r="H1257" s="49" t="s">
        <v>216</v>
      </c>
      <c r="I1257" s="132"/>
      <c r="J1257" s="53"/>
    </row>
    <row r="1258" hidden="1">
      <c r="A1258" s="110" t="s">
        <v>6039</v>
      </c>
      <c r="B1258" s="49" t="s">
        <v>6040</v>
      </c>
      <c r="C1258" s="49" t="s">
        <v>139</v>
      </c>
      <c r="D1258" s="50">
        <v>42392.0</v>
      </c>
      <c r="E1258" s="53"/>
      <c r="F1258" s="49" t="s">
        <v>723</v>
      </c>
      <c r="G1258" s="49" t="s">
        <v>609</v>
      </c>
      <c r="H1258" s="49" t="s">
        <v>609</v>
      </c>
      <c r="I1258" s="132"/>
      <c r="J1258" s="53"/>
    </row>
    <row r="1259" hidden="1">
      <c r="A1259" s="110" t="s">
        <v>6041</v>
      </c>
      <c r="B1259" s="49" t="s">
        <v>6043</v>
      </c>
      <c r="C1259" s="49" t="s">
        <v>139</v>
      </c>
      <c r="D1259" s="50">
        <v>42392.0</v>
      </c>
      <c r="E1259" s="53"/>
      <c r="F1259" s="49" t="s">
        <v>723</v>
      </c>
      <c r="G1259" s="49" t="s">
        <v>609</v>
      </c>
      <c r="H1259" s="49" t="s">
        <v>609</v>
      </c>
      <c r="I1259" s="132"/>
      <c r="J1259" s="53"/>
    </row>
    <row r="1260" hidden="1">
      <c r="A1260" s="110" t="s">
        <v>6044</v>
      </c>
      <c r="B1260" s="49" t="s">
        <v>6045</v>
      </c>
      <c r="C1260" s="49" t="s">
        <v>139</v>
      </c>
      <c r="D1260" s="50">
        <v>42391.0</v>
      </c>
      <c r="E1260" s="53"/>
      <c r="F1260" s="49" t="s">
        <v>3685</v>
      </c>
      <c r="G1260" s="49" t="s">
        <v>216</v>
      </c>
      <c r="H1260" s="49" t="s">
        <v>216</v>
      </c>
      <c r="I1260" s="132"/>
      <c r="J1260" s="53"/>
    </row>
    <row r="1261" hidden="1">
      <c r="A1261" s="110" t="s">
        <v>6046</v>
      </c>
      <c r="B1261" s="49" t="s">
        <v>6048</v>
      </c>
      <c r="C1261" s="49" t="s">
        <v>139</v>
      </c>
      <c r="D1261" s="50">
        <v>42391.0</v>
      </c>
      <c r="E1261" s="53"/>
      <c r="F1261" s="49" t="s">
        <v>723</v>
      </c>
      <c r="G1261" s="49" t="s">
        <v>609</v>
      </c>
      <c r="H1261" s="49" t="s">
        <v>609</v>
      </c>
      <c r="I1261" s="132"/>
      <c r="J1261" s="53"/>
    </row>
    <row r="1262" hidden="1">
      <c r="A1262" s="110" t="s">
        <v>6049</v>
      </c>
      <c r="B1262" s="49" t="s">
        <v>6050</v>
      </c>
      <c r="C1262" s="49" t="s">
        <v>139</v>
      </c>
      <c r="D1262" s="50">
        <v>42390.0</v>
      </c>
      <c r="E1262" s="133"/>
      <c r="F1262" s="49" t="s">
        <v>176</v>
      </c>
      <c r="G1262" s="49" t="s">
        <v>177</v>
      </c>
      <c r="H1262" s="49" t="s">
        <v>177</v>
      </c>
      <c r="I1262" s="132"/>
      <c r="J1262" s="53"/>
    </row>
    <row r="1263" hidden="1">
      <c r="A1263" s="170" t="s">
        <v>6051</v>
      </c>
      <c r="B1263" s="171" t="s">
        <v>6056</v>
      </c>
      <c r="C1263" s="171" t="s">
        <v>139</v>
      </c>
      <c r="D1263" s="172">
        <v>42390.0</v>
      </c>
      <c r="E1263" s="173"/>
      <c r="F1263" s="171" t="s">
        <v>215</v>
      </c>
      <c r="G1263" s="171" t="s">
        <v>216</v>
      </c>
      <c r="H1263" s="171" t="s">
        <v>216</v>
      </c>
      <c r="I1263" s="174"/>
      <c r="J1263" s="173"/>
    </row>
    <row r="1264" hidden="1">
      <c r="A1264" s="110" t="s">
        <v>6063</v>
      </c>
      <c r="B1264" s="49" t="s">
        <v>6065</v>
      </c>
      <c r="C1264" s="49" t="s">
        <v>139</v>
      </c>
      <c r="D1264" s="50">
        <v>42390.0</v>
      </c>
      <c r="E1264" s="53"/>
      <c r="F1264" s="49" t="s">
        <v>2707</v>
      </c>
      <c r="G1264" s="49" t="s">
        <v>216</v>
      </c>
      <c r="H1264" s="49" t="s">
        <v>216</v>
      </c>
      <c r="I1264" s="132"/>
      <c r="J1264" s="53"/>
    </row>
    <row r="1265" hidden="1">
      <c r="A1265" s="110" t="s">
        <v>6068</v>
      </c>
      <c r="B1265" s="49" t="s">
        <v>5941</v>
      </c>
      <c r="C1265" s="49" t="s">
        <v>139</v>
      </c>
      <c r="D1265" s="50">
        <v>42390.0</v>
      </c>
      <c r="E1265" s="53"/>
      <c r="F1265" s="49" t="s">
        <v>2707</v>
      </c>
      <c r="G1265" s="49" t="s">
        <v>216</v>
      </c>
      <c r="H1265" s="49" t="s">
        <v>216</v>
      </c>
      <c r="I1265" s="132"/>
      <c r="J1265" s="53"/>
    </row>
    <row r="1266" hidden="1">
      <c r="A1266" s="110" t="s">
        <v>6071</v>
      </c>
      <c r="B1266" s="49" t="s">
        <v>6072</v>
      </c>
      <c r="C1266" s="49" t="s">
        <v>139</v>
      </c>
      <c r="D1266" s="50">
        <v>42389.0</v>
      </c>
      <c r="E1266" s="53"/>
      <c r="F1266" s="49" t="s">
        <v>723</v>
      </c>
      <c r="G1266" s="49" t="s">
        <v>609</v>
      </c>
      <c r="H1266" s="49" t="s">
        <v>609</v>
      </c>
      <c r="I1266" s="132"/>
      <c r="J1266" s="53"/>
    </row>
    <row r="1267" hidden="1">
      <c r="A1267" s="110" t="s">
        <v>6073</v>
      </c>
      <c r="B1267" s="49" t="s">
        <v>6076</v>
      </c>
      <c r="C1267" s="49" t="s">
        <v>139</v>
      </c>
      <c r="D1267" s="50">
        <v>42389.0</v>
      </c>
      <c r="E1267" s="53"/>
      <c r="F1267" s="49" t="s">
        <v>3685</v>
      </c>
      <c r="G1267" s="49" t="s">
        <v>216</v>
      </c>
      <c r="H1267" s="49" t="s">
        <v>216</v>
      </c>
      <c r="I1267" s="132"/>
      <c r="J1267" s="53"/>
    </row>
    <row r="1268" hidden="1">
      <c r="A1268" s="110" t="s">
        <v>6077</v>
      </c>
      <c r="B1268" s="49" t="s">
        <v>6078</v>
      </c>
      <c r="C1268" s="49" t="s">
        <v>139</v>
      </c>
      <c r="D1268" s="50">
        <v>42389.0</v>
      </c>
      <c r="E1268" s="53"/>
      <c r="F1268" s="49" t="s">
        <v>3685</v>
      </c>
      <c r="G1268" s="49" t="s">
        <v>216</v>
      </c>
      <c r="H1268" s="49" t="s">
        <v>216</v>
      </c>
      <c r="I1268" s="132"/>
      <c r="J1268" s="53"/>
    </row>
    <row r="1269" hidden="1">
      <c r="A1269" s="110" t="s">
        <v>6081</v>
      </c>
      <c r="B1269" s="49" t="s">
        <v>6082</v>
      </c>
      <c r="C1269" s="49" t="s">
        <v>139</v>
      </c>
      <c r="D1269" s="50">
        <v>42389.0</v>
      </c>
      <c r="E1269" s="53"/>
      <c r="F1269" s="49" t="s">
        <v>3685</v>
      </c>
      <c r="G1269" s="49" t="s">
        <v>216</v>
      </c>
      <c r="H1269" s="49" t="s">
        <v>216</v>
      </c>
      <c r="I1269" s="132"/>
      <c r="J1269" s="53"/>
    </row>
    <row r="1270" hidden="1">
      <c r="A1270" s="110" t="s">
        <v>6083</v>
      </c>
      <c r="B1270" s="49" t="s">
        <v>6085</v>
      </c>
      <c r="C1270" s="49" t="s">
        <v>139</v>
      </c>
      <c r="D1270" s="50">
        <v>42389.0</v>
      </c>
      <c r="E1270" s="53"/>
      <c r="F1270" s="49" t="s">
        <v>215</v>
      </c>
      <c r="G1270" s="49" t="s">
        <v>216</v>
      </c>
      <c r="H1270" s="49" t="s">
        <v>216</v>
      </c>
      <c r="I1270" s="132"/>
      <c r="J1270" s="53"/>
    </row>
    <row r="1271" hidden="1">
      <c r="A1271" s="170" t="s">
        <v>6087</v>
      </c>
      <c r="B1271" s="171" t="s">
        <v>6088</v>
      </c>
      <c r="C1271" s="171" t="s">
        <v>139</v>
      </c>
      <c r="D1271" s="172">
        <v>42389.0</v>
      </c>
      <c r="E1271" s="173"/>
      <c r="F1271" s="171" t="s">
        <v>723</v>
      </c>
      <c r="G1271" s="171" t="s">
        <v>609</v>
      </c>
      <c r="H1271" s="171" t="s">
        <v>609</v>
      </c>
      <c r="I1271" s="174"/>
      <c r="J1271" s="173"/>
    </row>
    <row r="1272" hidden="1">
      <c r="A1272" s="110" t="s">
        <v>6090</v>
      </c>
      <c r="B1272" s="49" t="s">
        <v>6091</v>
      </c>
      <c r="C1272" s="49" t="s">
        <v>139</v>
      </c>
      <c r="D1272" s="50">
        <v>42389.0</v>
      </c>
      <c r="E1272" s="53"/>
      <c r="F1272" s="49" t="s">
        <v>215</v>
      </c>
      <c r="G1272" s="49" t="s">
        <v>216</v>
      </c>
      <c r="H1272" s="49" t="s">
        <v>216</v>
      </c>
      <c r="I1272" s="132"/>
      <c r="J1272" s="53"/>
    </row>
    <row r="1273" hidden="1">
      <c r="A1273" s="110" t="s">
        <v>6092</v>
      </c>
      <c r="B1273" s="49" t="s">
        <v>6094</v>
      </c>
      <c r="C1273" s="49" t="s">
        <v>139</v>
      </c>
      <c r="D1273" s="50">
        <v>42388.0</v>
      </c>
      <c r="E1273" s="53"/>
      <c r="F1273" s="49" t="s">
        <v>723</v>
      </c>
      <c r="G1273" s="49" t="s">
        <v>609</v>
      </c>
      <c r="H1273" s="49" t="s">
        <v>609</v>
      </c>
      <c r="I1273" s="132"/>
      <c r="J1273" s="53"/>
    </row>
    <row r="1274" hidden="1">
      <c r="A1274" s="110" t="s">
        <v>6096</v>
      </c>
      <c r="B1274" s="49" t="s">
        <v>6097</v>
      </c>
      <c r="C1274" s="49" t="s">
        <v>139</v>
      </c>
      <c r="D1274" s="50">
        <v>42387.0</v>
      </c>
      <c r="E1274" s="53"/>
      <c r="F1274" s="49" t="s">
        <v>215</v>
      </c>
      <c r="G1274" s="49" t="s">
        <v>216</v>
      </c>
      <c r="H1274" s="49" t="s">
        <v>216</v>
      </c>
      <c r="I1274" s="132"/>
      <c r="J1274" s="53"/>
    </row>
    <row r="1275" hidden="1">
      <c r="A1275" s="110" t="s">
        <v>6098</v>
      </c>
      <c r="B1275" s="49" t="s">
        <v>6100</v>
      </c>
      <c r="C1275" s="49" t="s">
        <v>139</v>
      </c>
      <c r="D1275" s="50">
        <v>42387.0</v>
      </c>
      <c r="E1275" s="53"/>
      <c r="F1275" s="49" t="s">
        <v>723</v>
      </c>
      <c r="G1275" s="49" t="s">
        <v>609</v>
      </c>
      <c r="H1275" s="49" t="s">
        <v>609</v>
      </c>
      <c r="I1275" s="132"/>
      <c r="J1275" s="53"/>
    </row>
    <row r="1276" hidden="1">
      <c r="A1276" s="110" t="s">
        <v>6101</v>
      </c>
      <c r="B1276" s="49" t="s">
        <v>6102</v>
      </c>
      <c r="C1276" s="49" t="s">
        <v>139</v>
      </c>
      <c r="D1276" s="50">
        <v>42387.0</v>
      </c>
      <c r="E1276" s="53"/>
      <c r="F1276" s="49" t="s">
        <v>723</v>
      </c>
      <c r="G1276" s="49" t="s">
        <v>609</v>
      </c>
      <c r="H1276" s="49" t="s">
        <v>609</v>
      </c>
      <c r="I1276" s="132"/>
      <c r="J1276" s="53"/>
    </row>
    <row r="1277" hidden="1">
      <c r="A1277" s="110" t="s">
        <v>6104</v>
      </c>
      <c r="B1277" s="49" t="s">
        <v>6105</v>
      </c>
      <c r="C1277" s="49" t="s">
        <v>139</v>
      </c>
      <c r="D1277" s="50">
        <v>42386.0</v>
      </c>
      <c r="E1277" s="53"/>
      <c r="F1277" s="49" t="s">
        <v>723</v>
      </c>
      <c r="G1277" s="49" t="s">
        <v>609</v>
      </c>
      <c r="H1277" s="49" t="s">
        <v>609</v>
      </c>
      <c r="I1277" s="132"/>
      <c r="J1277" s="53"/>
    </row>
    <row r="1278" hidden="1">
      <c r="A1278" s="110" t="s">
        <v>6106</v>
      </c>
      <c r="B1278" s="49" t="s">
        <v>6107</v>
      </c>
      <c r="C1278" s="49" t="s">
        <v>139</v>
      </c>
      <c r="D1278" s="50">
        <v>42386.0</v>
      </c>
      <c r="E1278" s="53"/>
      <c r="F1278" s="49" t="s">
        <v>3685</v>
      </c>
      <c r="G1278" s="49" t="s">
        <v>216</v>
      </c>
      <c r="H1278" s="49" t="s">
        <v>216</v>
      </c>
      <c r="I1278" s="132"/>
      <c r="J1278" s="53"/>
    </row>
    <row r="1279" hidden="1">
      <c r="A1279" s="110" t="s">
        <v>6109</v>
      </c>
      <c r="B1279" s="49" t="s">
        <v>6110</v>
      </c>
      <c r="C1279" s="49" t="s">
        <v>139</v>
      </c>
      <c r="D1279" s="50">
        <v>42386.0</v>
      </c>
      <c r="E1279" s="53"/>
      <c r="F1279" s="49" t="s">
        <v>723</v>
      </c>
      <c r="G1279" s="49" t="s">
        <v>609</v>
      </c>
      <c r="H1279" s="49" t="s">
        <v>609</v>
      </c>
      <c r="I1279" s="132"/>
      <c r="J1279" s="53"/>
    </row>
    <row r="1280" hidden="1">
      <c r="A1280" s="110" t="s">
        <v>6111</v>
      </c>
      <c r="B1280" s="49" t="s">
        <v>6112</v>
      </c>
      <c r="C1280" s="49" t="s">
        <v>139</v>
      </c>
      <c r="D1280" s="50">
        <v>42386.0</v>
      </c>
      <c r="E1280" s="53"/>
      <c r="F1280" s="49" t="s">
        <v>723</v>
      </c>
      <c r="G1280" s="49" t="s">
        <v>609</v>
      </c>
      <c r="H1280" s="49" t="s">
        <v>609</v>
      </c>
      <c r="I1280" s="132"/>
      <c r="J1280" s="53"/>
    </row>
    <row r="1281" hidden="1">
      <c r="A1281" s="110" t="s">
        <v>6114</v>
      </c>
      <c r="B1281" s="49" t="s">
        <v>6115</v>
      </c>
      <c r="C1281" s="49" t="s">
        <v>139</v>
      </c>
      <c r="D1281" s="50">
        <v>42385.0</v>
      </c>
      <c r="E1281" s="53"/>
      <c r="F1281" s="49" t="s">
        <v>176</v>
      </c>
      <c r="G1281" s="49" t="s">
        <v>177</v>
      </c>
      <c r="H1281" s="49" t="s">
        <v>177</v>
      </c>
      <c r="I1281" s="132"/>
      <c r="J1281" s="53"/>
    </row>
    <row r="1282" hidden="1">
      <c r="A1282" s="110" t="s">
        <v>6116</v>
      </c>
      <c r="B1282" s="49" t="s">
        <v>6117</v>
      </c>
      <c r="C1282" s="49" t="s">
        <v>139</v>
      </c>
      <c r="D1282" s="50">
        <v>42385.0</v>
      </c>
      <c r="E1282" s="133"/>
      <c r="F1282" s="49" t="s">
        <v>176</v>
      </c>
      <c r="G1282" s="49" t="s">
        <v>177</v>
      </c>
      <c r="H1282" s="49" t="s">
        <v>177</v>
      </c>
      <c r="I1282" s="132"/>
      <c r="J1282" s="53"/>
    </row>
    <row r="1283" hidden="1">
      <c r="A1283" s="170" t="s">
        <v>6118</v>
      </c>
      <c r="B1283" s="171" t="s">
        <v>6120</v>
      </c>
      <c r="C1283" s="171" t="s">
        <v>139</v>
      </c>
      <c r="D1283" s="172">
        <v>42384.0</v>
      </c>
      <c r="E1283" s="175"/>
      <c r="F1283" s="171" t="s">
        <v>160</v>
      </c>
      <c r="G1283" s="171" t="s">
        <v>216</v>
      </c>
      <c r="H1283" s="171" t="s">
        <v>216</v>
      </c>
      <c r="I1283" s="174"/>
      <c r="J1283" s="173"/>
    </row>
    <row r="1284" hidden="1">
      <c r="A1284" s="170" t="s">
        <v>6126</v>
      </c>
      <c r="B1284" s="171" t="s">
        <v>6127</v>
      </c>
      <c r="C1284" s="171" t="s">
        <v>139</v>
      </c>
      <c r="D1284" s="172">
        <v>42384.0</v>
      </c>
      <c r="E1284" s="173"/>
      <c r="F1284" s="171" t="s">
        <v>215</v>
      </c>
      <c r="G1284" s="171" t="s">
        <v>216</v>
      </c>
      <c r="H1284" s="171" t="s">
        <v>216</v>
      </c>
      <c r="I1284" s="174"/>
      <c r="J1284" s="173"/>
    </row>
    <row r="1285" hidden="1">
      <c r="A1285" s="110" t="s">
        <v>6129</v>
      </c>
      <c r="B1285" s="49" t="s">
        <v>6131</v>
      </c>
      <c r="C1285" s="49" t="s">
        <v>139</v>
      </c>
      <c r="D1285" s="50">
        <v>42383.0</v>
      </c>
      <c r="E1285" s="133"/>
      <c r="F1285" s="49" t="s">
        <v>176</v>
      </c>
      <c r="G1285" s="49" t="s">
        <v>177</v>
      </c>
      <c r="H1285" s="49" t="s">
        <v>177</v>
      </c>
      <c r="I1285" s="132"/>
      <c r="J1285" s="53"/>
    </row>
    <row r="1286" hidden="1">
      <c r="A1286" s="110" t="s">
        <v>6132</v>
      </c>
      <c r="B1286" s="49" t="s">
        <v>6133</v>
      </c>
      <c r="C1286" s="49" t="s">
        <v>139</v>
      </c>
      <c r="D1286" s="50">
        <v>42383.0</v>
      </c>
      <c r="E1286" s="53"/>
      <c r="F1286" s="49" t="s">
        <v>3685</v>
      </c>
      <c r="G1286" s="49" t="s">
        <v>216</v>
      </c>
      <c r="H1286" s="49" t="s">
        <v>216</v>
      </c>
      <c r="I1286" s="132"/>
      <c r="J1286" s="53"/>
    </row>
    <row r="1287" hidden="1">
      <c r="A1287" s="110" t="s">
        <v>6135</v>
      </c>
      <c r="B1287" s="49" t="s">
        <v>6136</v>
      </c>
      <c r="C1287" s="49" t="s">
        <v>139</v>
      </c>
      <c r="D1287" s="50">
        <v>42383.0</v>
      </c>
      <c r="E1287" s="53"/>
      <c r="F1287" s="49" t="s">
        <v>2707</v>
      </c>
      <c r="G1287" s="49" t="s">
        <v>216</v>
      </c>
      <c r="H1287" s="49" t="s">
        <v>216</v>
      </c>
      <c r="I1287" s="132"/>
      <c r="J1287" s="53"/>
    </row>
    <row r="1288" hidden="1">
      <c r="A1288" s="110" t="s">
        <v>6137</v>
      </c>
      <c r="B1288" s="49" t="s">
        <v>6138</v>
      </c>
      <c r="C1288" s="49" t="s">
        <v>139</v>
      </c>
      <c r="D1288" s="50">
        <v>42383.0</v>
      </c>
      <c r="E1288" s="53"/>
      <c r="F1288" s="49" t="s">
        <v>2707</v>
      </c>
      <c r="G1288" s="49" t="s">
        <v>216</v>
      </c>
      <c r="H1288" s="49" t="s">
        <v>216</v>
      </c>
      <c r="I1288" s="132"/>
      <c r="J1288" s="53"/>
    </row>
    <row r="1289" hidden="1">
      <c r="A1289" s="110" t="s">
        <v>6140</v>
      </c>
      <c r="B1289" s="49" t="s">
        <v>6142</v>
      </c>
      <c r="C1289" s="49" t="s">
        <v>139</v>
      </c>
      <c r="D1289" s="50">
        <v>42383.0</v>
      </c>
      <c r="E1289" s="53"/>
      <c r="F1289" s="49" t="s">
        <v>2707</v>
      </c>
      <c r="G1289" s="49" t="s">
        <v>216</v>
      </c>
      <c r="H1289" s="49" t="s">
        <v>216</v>
      </c>
      <c r="I1289" s="132"/>
      <c r="J1289" s="53"/>
    </row>
    <row r="1290" hidden="1">
      <c r="A1290" s="110" t="s">
        <v>6143</v>
      </c>
      <c r="B1290" s="49" t="s">
        <v>6144</v>
      </c>
      <c r="C1290" s="49" t="s">
        <v>139</v>
      </c>
      <c r="D1290" s="50">
        <v>42383.0</v>
      </c>
      <c r="E1290" s="53"/>
      <c r="F1290" s="49" t="s">
        <v>2707</v>
      </c>
      <c r="G1290" s="49" t="s">
        <v>216</v>
      </c>
      <c r="H1290" s="49" t="s">
        <v>216</v>
      </c>
      <c r="I1290" s="132"/>
      <c r="J1290" s="53"/>
    </row>
    <row r="1291" hidden="1">
      <c r="A1291" s="110" t="s">
        <v>6146</v>
      </c>
      <c r="B1291" s="49" t="s">
        <v>6147</v>
      </c>
      <c r="C1291" s="49" t="s">
        <v>139</v>
      </c>
      <c r="D1291" s="50">
        <v>42383.0</v>
      </c>
      <c r="E1291" s="53"/>
      <c r="F1291" s="49" t="s">
        <v>2707</v>
      </c>
      <c r="G1291" s="49" t="s">
        <v>216</v>
      </c>
      <c r="H1291" s="49" t="s">
        <v>216</v>
      </c>
      <c r="I1291" s="132"/>
      <c r="J1291" s="53"/>
    </row>
    <row r="1292" hidden="1">
      <c r="A1292" s="110" t="s">
        <v>6151</v>
      </c>
      <c r="B1292" s="49" t="s">
        <v>6152</v>
      </c>
      <c r="C1292" s="49" t="s">
        <v>139</v>
      </c>
      <c r="D1292" s="50">
        <v>42383.0</v>
      </c>
      <c r="E1292" s="53"/>
      <c r="F1292" s="49" t="s">
        <v>2707</v>
      </c>
      <c r="G1292" s="49" t="s">
        <v>216</v>
      </c>
      <c r="H1292" s="49" t="s">
        <v>216</v>
      </c>
      <c r="I1292" s="132"/>
      <c r="J1292" s="53"/>
    </row>
    <row r="1293" hidden="1">
      <c r="A1293" s="110" t="s">
        <v>6153</v>
      </c>
      <c r="B1293" s="49" t="s">
        <v>6154</v>
      </c>
      <c r="C1293" s="49" t="s">
        <v>139</v>
      </c>
      <c r="D1293" s="50">
        <v>42383.0</v>
      </c>
      <c r="E1293" s="53"/>
      <c r="F1293" s="49" t="s">
        <v>723</v>
      </c>
      <c r="G1293" s="49" t="s">
        <v>609</v>
      </c>
      <c r="H1293" s="49" t="s">
        <v>609</v>
      </c>
      <c r="I1293" s="132"/>
      <c r="J1293" s="53"/>
    </row>
    <row r="1294" hidden="1">
      <c r="A1294" s="110" t="s">
        <v>6156</v>
      </c>
      <c r="B1294" s="49" t="s">
        <v>6157</v>
      </c>
      <c r="C1294" s="49" t="s">
        <v>139</v>
      </c>
      <c r="D1294" s="50">
        <v>42383.0</v>
      </c>
      <c r="E1294" s="53"/>
      <c r="F1294" s="49" t="s">
        <v>723</v>
      </c>
      <c r="G1294" s="49" t="s">
        <v>609</v>
      </c>
      <c r="H1294" s="49" t="s">
        <v>609</v>
      </c>
      <c r="I1294" s="132"/>
      <c r="J1294" s="53"/>
    </row>
    <row r="1295" hidden="1">
      <c r="A1295" s="110" t="s">
        <v>6158</v>
      </c>
      <c r="B1295" s="49" t="s">
        <v>6159</v>
      </c>
      <c r="C1295" s="49" t="s">
        <v>139</v>
      </c>
      <c r="D1295" s="50">
        <v>42382.0</v>
      </c>
      <c r="E1295" s="53"/>
      <c r="F1295" s="49" t="s">
        <v>723</v>
      </c>
      <c r="G1295" s="49" t="s">
        <v>609</v>
      </c>
      <c r="H1295" s="49" t="s">
        <v>609</v>
      </c>
      <c r="I1295" s="132"/>
      <c r="J1295" s="53"/>
    </row>
    <row r="1296" hidden="1">
      <c r="A1296" s="170" t="s">
        <v>6161</v>
      </c>
      <c r="B1296" s="171" t="s">
        <v>6162</v>
      </c>
      <c r="C1296" s="171" t="s">
        <v>139</v>
      </c>
      <c r="D1296" s="172">
        <v>42382.0</v>
      </c>
      <c r="E1296" s="173"/>
      <c r="F1296" s="171" t="s">
        <v>215</v>
      </c>
      <c r="G1296" s="171" t="s">
        <v>216</v>
      </c>
      <c r="H1296" s="171" t="s">
        <v>216</v>
      </c>
      <c r="I1296" s="174"/>
      <c r="J1296" s="173"/>
    </row>
    <row r="1297" hidden="1">
      <c r="A1297" s="110" t="s">
        <v>6163</v>
      </c>
      <c r="B1297" s="49" t="s">
        <v>6165</v>
      </c>
      <c r="C1297" s="49" t="s">
        <v>139</v>
      </c>
      <c r="D1297" s="50">
        <v>42382.0</v>
      </c>
      <c r="E1297" s="53"/>
      <c r="F1297" s="49" t="s">
        <v>215</v>
      </c>
      <c r="G1297" s="49" t="s">
        <v>216</v>
      </c>
      <c r="H1297" s="49" t="s">
        <v>216</v>
      </c>
      <c r="I1297" s="132"/>
      <c r="J1297" s="53"/>
    </row>
    <row r="1298" hidden="1">
      <c r="A1298" s="170" t="s">
        <v>6166</v>
      </c>
      <c r="B1298" s="171" t="s">
        <v>6167</v>
      </c>
      <c r="C1298" s="171" t="s">
        <v>139</v>
      </c>
      <c r="D1298" s="172">
        <v>42382.0</v>
      </c>
      <c r="E1298" s="173"/>
      <c r="F1298" s="171" t="s">
        <v>215</v>
      </c>
      <c r="G1298" s="171" t="s">
        <v>216</v>
      </c>
      <c r="H1298" s="171" t="s">
        <v>216</v>
      </c>
      <c r="I1298" s="174"/>
      <c r="J1298" s="173"/>
    </row>
    <row r="1299" hidden="1">
      <c r="A1299" s="110" t="s">
        <v>6168</v>
      </c>
      <c r="B1299" s="49" t="s">
        <v>6170</v>
      </c>
      <c r="C1299" s="49" t="s">
        <v>139</v>
      </c>
      <c r="D1299" s="50">
        <v>42382.0</v>
      </c>
      <c r="E1299" s="53"/>
      <c r="F1299" s="49" t="s">
        <v>6171</v>
      </c>
      <c r="G1299" s="49" t="s">
        <v>216</v>
      </c>
      <c r="H1299" s="49" t="s">
        <v>216</v>
      </c>
      <c r="I1299" s="132"/>
      <c r="J1299" s="53"/>
    </row>
    <row r="1300" hidden="1">
      <c r="A1300" s="170" t="s">
        <v>6172</v>
      </c>
      <c r="B1300" s="171" t="s">
        <v>6173</v>
      </c>
      <c r="C1300" s="171" t="s">
        <v>139</v>
      </c>
      <c r="D1300" s="172">
        <v>42382.0</v>
      </c>
      <c r="E1300" s="173"/>
      <c r="F1300" s="171" t="s">
        <v>6171</v>
      </c>
      <c r="G1300" s="171" t="s">
        <v>216</v>
      </c>
      <c r="H1300" s="171" t="s">
        <v>216</v>
      </c>
      <c r="I1300" s="174"/>
      <c r="J1300" s="173"/>
    </row>
    <row r="1301" hidden="1">
      <c r="A1301" s="170" t="s">
        <v>6177</v>
      </c>
      <c r="B1301" s="171" t="s">
        <v>6178</v>
      </c>
      <c r="C1301" s="171" t="s">
        <v>139</v>
      </c>
      <c r="D1301" s="172">
        <v>42382.0</v>
      </c>
      <c r="E1301" s="173"/>
      <c r="F1301" s="171" t="s">
        <v>6171</v>
      </c>
      <c r="G1301" s="171" t="s">
        <v>216</v>
      </c>
      <c r="H1301" s="171" t="s">
        <v>216</v>
      </c>
      <c r="I1301" s="174"/>
      <c r="J1301" s="173"/>
    </row>
    <row r="1302" hidden="1">
      <c r="A1302" s="170" t="s">
        <v>6179</v>
      </c>
      <c r="B1302" s="171" t="s">
        <v>6182</v>
      </c>
      <c r="C1302" s="171" t="s">
        <v>139</v>
      </c>
      <c r="D1302" s="172">
        <v>42382.0</v>
      </c>
      <c r="E1302" s="173"/>
      <c r="F1302" s="171" t="s">
        <v>6171</v>
      </c>
      <c r="G1302" s="171" t="s">
        <v>216</v>
      </c>
      <c r="H1302" s="171" t="s">
        <v>216</v>
      </c>
      <c r="I1302" s="174"/>
      <c r="J1302" s="173"/>
    </row>
    <row r="1303" hidden="1">
      <c r="A1303" s="110" t="s">
        <v>6183</v>
      </c>
      <c r="B1303" s="49" t="s">
        <v>6184</v>
      </c>
      <c r="C1303" s="49" t="s">
        <v>139</v>
      </c>
      <c r="D1303" s="50">
        <v>42382.0</v>
      </c>
      <c r="E1303" s="53"/>
      <c r="F1303" s="49" t="s">
        <v>215</v>
      </c>
      <c r="G1303" s="49" t="s">
        <v>216</v>
      </c>
      <c r="H1303" s="49" t="s">
        <v>216</v>
      </c>
      <c r="I1303" s="132"/>
      <c r="J1303" s="53"/>
    </row>
    <row r="1304" hidden="1">
      <c r="A1304" s="170" t="s">
        <v>6185</v>
      </c>
      <c r="B1304" s="171" t="s">
        <v>6186</v>
      </c>
      <c r="C1304" s="171" t="s">
        <v>139</v>
      </c>
      <c r="D1304" s="172">
        <v>42382.0</v>
      </c>
      <c r="E1304" s="173"/>
      <c r="F1304" s="171" t="s">
        <v>215</v>
      </c>
      <c r="G1304" s="171" t="s">
        <v>216</v>
      </c>
      <c r="H1304" s="171" t="s">
        <v>216</v>
      </c>
      <c r="I1304" s="174"/>
      <c r="J1304" s="173"/>
    </row>
    <row r="1305" hidden="1">
      <c r="A1305" s="110" t="s">
        <v>6190</v>
      </c>
      <c r="B1305" s="49" t="s">
        <v>6191</v>
      </c>
      <c r="C1305" s="49" t="s">
        <v>139</v>
      </c>
      <c r="D1305" s="50">
        <v>42381.0</v>
      </c>
      <c r="E1305" s="133"/>
      <c r="F1305" s="49" t="s">
        <v>176</v>
      </c>
      <c r="G1305" s="49" t="s">
        <v>177</v>
      </c>
      <c r="H1305" s="49" t="s">
        <v>177</v>
      </c>
      <c r="I1305" s="132"/>
      <c r="J1305" s="53"/>
    </row>
    <row r="1306" hidden="1">
      <c r="A1306" s="170" t="s">
        <v>6194</v>
      </c>
      <c r="B1306" s="171" t="s">
        <v>6196</v>
      </c>
      <c r="C1306" s="171" t="s">
        <v>139</v>
      </c>
      <c r="D1306" s="172">
        <v>42381.0</v>
      </c>
      <c r="E1306" s="173"/>
      <c r="F1306" s="171" t="s">
        <v>215</v>
      </c>
      <c r="G1306" s="171" t="s">
        <v>216</v>
      </c>
      <c r="H1306" s="171" t="s">
        <v>216</v>
      </c>
      <c r="I1306" s="174"/>
      <c r="J1306" s="173"/>
    </row>
    <row r="1307" hidden="1">
      <c r="A1307" s="170" t="s">
        <v>6198</v>
      </c>
      <c r="B1307" s="171" t="s">
        <v>6199</v>
      </c>
      <c r="C1307" s="171" t="s">
        <v>139</v>
      </c>
      <c r="D1307" s="172">
        <v>42381.0</v>
      </c>
      <c r="E1307" s="173"/>
      <c r="F1307" s="171" t="s">
        <v>1399</v>
      </c>
      <c r="G1307" s="171" t="s">
        <v>1400</v>
      </c>
      <c r="H1307" s="171" t="s">
        <v>1400</v>
      </c>
      <c r="I1307" s="174"/>
      <c r="J1307" s="173"/>
    </row>
    <row r="1308" hidden="1">
      <c r="A1308" s="170" t="s">
        <v>6201</v>
      </c>
      <c r="B1308" s="171" t="s">
        <v>6202</v>
      </c>
      <c r="C1308" s="171" t="s">
        <v>139</v>
      </c>
      <c r="D1308" s="172">
        <v>42381.0</v>
      </c>
      <c r="E1308" s="173"/>
      <c r="F1308" s="171" t="s">
        <v>215</v>
      </c>
      <c r="G1308" s="171" t="s">
        <v>216</v>
      </c>
      <c r="H1308" s="171" t="s">
        <v>216</v>
      </c>
      <c r="I1308" s="174"/>
      <c r="J1308" s="173"/>
    </row>
    <row r="1309" hidden="1">
      <c r="A1309" s="110" t="s">
        <v>6203</v>
      </c>
      <c r="B1309" s="49" t="s">
        <v>6204</v>
      </c>
      <c r="C1309" s="49" t="s">
        <v>139</v>
      </c>
      <c r="D1309" s="50">
        <v>42380.0</v>
      </c>
      <c r="E1309" s="53"/>
      <c r="F1309" s="49" t="s">
        <v>176</v>
      </c>
      <c r="G1309" s="49" t="s">
        <v>177</v>
      </c>
      <c r="H1309" s="49" t="s">
        <v>177</v>
      </c>
      <c r="I1309" s="132"/>
      <c r="J1309" s="53"/>
    </row>
    <row r="1310" hidden="1">
      <c r="A1310" s="110" t="s">
        <v>6205</v>
      </c>
      <c r="B1310" s="49" t="s">
        <v>6208</v>
      </c>
      <c r="C1310" s="49" t="s">
        <v>139</v>
      </c>
      <c r="D1310" s="50">
        <v>42380.0</v>
      </c>
      <c r="E1310" s="53"/>
      <c r="F1310" s="49" t="s">
        <v>723</v>
      </c>
      <c r="G1310" s="49" t="s">
        <v>609</v>
      </c>
      <c r="H1310" s="49" t="s">
        <v>609</v>
      </c>
      <c r="I1310" s="132"/>
      <c r="J1310" s="53"/>
    </row>
    <row r="1311" hidden="1">
      <c r="A1311" s="110" t="s">
        <v>6210</v>
      </c>
      <c r="B1311" s="49" t="s">
        <v>6211</v>
      </c>
      <c r="C1311" s="49" t="s">
        <v>139</v>
      </c>
      <c r="D1311" s="50">
        <v>42380.0</v>
      </c>
      <c r="E1311" s="53"/>
      <c r="F1311" s="49" t="s">
        <v>723</v>
      </c>
      <c r="G1311" s="49" t="s">
        <v>609</v>
      </c>
      <c r="H1311" s="49" t="s">
        <v>609</v>
      </c>
      <c r="I1311" s="132"/>
      <c r="J1311" s="53"/>
    </row>
    <row r="1312" hidden="1">
      <c r="A1312" s="110" t="s">
        <v>6212</v>
      </c>
      <c r="B1312" s="49" t="s">
        <v>6214</v>
      </c>
      <c r="C1312" s="49" t="s">
        <v>139</v>
      </c>
      <c r="D1312" s="50">
        <v>42380.0</v>
      </c>
      <c r="E1312" s="53"/>
      <c r="F1312" s="49" t="s">
        <v>215</v>
      </c>
      <c r="G1312" s="49" t="s">
        <v>216</v>
      </c>
      <c r="H1312" s="49" t="s">
        <v>216</v>
      </c>
      <c r="I1312" s="132"/>
      <c r="J1312" s="53"/>
    </row>
    <row r="1313" hidden="1">
      <c r="A1313" s="110" t="s">
        <v>6215</v>
      </c>
      <c r="B1313" s="49" t="s">
        <v>6217</v>
      </c>
      <c r="C1313" s="49" t="s">
        <v>139</v>
      </c>
      <c r="D1313" s="50">
        <v>42380.0</v>
      </c>
      <c r="E1313" s="53"/>
      <c r="F1313" s="49" t="s">
        <v>215</v>
      </c>
      <c r="G1313" s="49" t="s">
        <v>216</v>
      </c>
      <c r="H1313" s="49" t="s">
        <v>216</v>
      </c>
      <c r="I1313" s="132"/>
      <c r="J1313" s="53"/>
    </row>
    <row r="1314" hidden="1">
      <c r="A1314" s="110" t="s">
        <v>6218</v>
      </c>
      <c r="B1314" s="49" t="s">
        <v>6219</v>
      </c>
      <c r="C1314" s="49" t="s">
        <v>139</v>
      </c>
      <c r="D1314" s="50">
        <v>42380.0</v>
      </c>
      <c r="E1314" s="53"/>
      <c r="F1314" s="49" t="s">
        <v>6220</v>
      </c>
      <c r="G1314" s="49" t="s">
        <v>244</v>
      </c>
      <c r="H1314" s="49" t="s">
        <v>244</v>
      </c>
      <c r="I1314" s="132"/>
      <c r="J1314" s="53"/>
    </row>
    <row r="1315" hidden="1">
      <c r="A1315" s="170" t="s">
        <v>6221</v>
      </c>
      <c r="B1315" s="171" t="s">
        <v>6222</v>
      </c>
      <c r="C1315" s="171" t="s">
        <v>139</v>
      </c>
      <c r="D1315" s="172">
        <v>42380.0</v>
      </c>
      <c r="E1315" s="173"/>
      <c r="F1315" s="171" t="s">
        <v>6220</v>
      </c>
      <c r="G1315" s="171" t="s">
        <v>244</v>
      </c>
      <c r="H1315" s="171" t="s">
        <v>244</v>
      </c>
      <c r="I1315" s="174"/>
      <c r="J1315" s="173"/>
    </row>
    <row r="1316" hidden="1">
      <c r="A1316" s="110" t="s">
        <v>6223</v>
      </c>
      <c r="B1316" s="49" t="s">
        <v>6225</v>
      </c>
      <c r="C1316" s="49" t="s">
        <v>139</v>
      </c>
      <c r="D1316" s="50">
        <v>42380.0</v>
      </c>
      <c r="E1316" s="53"/>
      <c r="F1316" s="49" t="s">
        <v>723</v>
      </c>
      <c r="G1316" s="49" t="s">
        <v>609</v>
      </c>
      <c r="H1316" s="49" t="s">
        <v>609</v>
      </c>
      <c r="I1316" s="132"/>
      <c r="J1316" s="53"/>
    </row>
    <row r="1317" hidden="1">
      <c r="A1317" s="110" t="s">
        <v>6229</v>
      </c>
      <c r="B1317" s="49" t="s">
        <v>6230</v>
      </c>
      <c r="C1317" s="49" t="s">
        <v>139</v>
      </c>
      <c r="D1317" s="50">
        <v>42379.0</v>
      </c>
      <c r="E1317" s="133"/>
      <c r="F1317" s="49" t="s">
        <v>160</v>
      </c>
      <c r="G1317" s="49" t="s">
        <v>216</v>
      </c>
      <c r="H1317" s="49" t="s">
        <v>216</v>
      </c>
      <c r="I1317" s="132"/>
      <c r="J1317" s="53"/>
    </row>
    <row r="1318" hidden="1">
      <c r="A1318" s="110" t="s">
        <v>6232</v>
      </c>
      <c r="B1318" s="49" t="s">
        <v>6233</v>
      </c>
      <c r="C1318" s="49" t="s">
        <v>139</v>
      </c>
      <c r="D1318" s="50">
        <v>42379.0</v>
      </c>
      <c r="E1318" s="133"/>
      <c r="F1318" s="49" t="s">
        <v>160</v>
      </c>
      <c r="G1318" s="49" t="s">
        <v>216</v>
      </c>
      <c r="H1318" s="49" t="s">
        <v>216</v>
      </c>
      <c r="I1318" s="132"/>
      <c r="J1318" s="53"/>
    </row>
    <row r="1319" hidden="1">
      <c r="A1319" s="110" t="s">
        <v>6234</v>
      </c>
      <c r="B1319" s="49" t="s">
        <v>6236</v>
      </c>
      <c r="C1319" s="49" t="s">
        <v>139</v>
      </c>
      <c r="D1319" s="50">
        <v>42379.0</v>
      </c>
      <c r="E1319" s="133"/>
      <c r="F1319" s="49" t="s">
        <v>160</v>
      </c>
      <c r="G1319" s="49" t="s">
        <v>216</v>
      </c>
      <c r="H1319" s="49" t="s">
        <v>216</v>
      </c>
      <c r="I1319" s="132"/>
      <c r="J1319" s="53"/>
    </row>
    <row r="1320" hidden="1">
      <c r="A1320" s="110" t="s">
        <v>6238</v>
      </c>
      <c r="B1320" s="49" t="s">
        <v>6239</v>
      </c>
      <c r="C1320" s="49" t="s">
        <v>139</v>
      </c>
      <c r="D1320" s="50">
        <v>42379.0</v>
      </c>
      <c r="E1320" s="133"/>
      <c r="F1320" s="49" t="s">
        <v>160</v>
      </c>
      <c r="G1320" s="49" t="s">
        <v>216</v>
      </c>
      <c r="H1320" s="49" t="s">
        <v>216</v>
      </c>
      <c r="I1320" s="132"/>
      <c r="J1320" s="53"/>
    </row>
    <row r="1321" hidden="1">
      <c r="A1321" s="110" t="s">
        <v>6241</v>
      </c>
      <c r="B1321" s="49" t="s">
        <v>6242</v>
      </c>
      <c r="C1321" s="49" t="s">
        <v>139</v>
      </c>
      <c r="D1321" s="50">
        <v>42379.0</v>
      </c>
      <c r="E1321" s="53"/>
      <c r="F1321" s="49" t="s">
        <v>723</v>
      </c>
      <c r="G1321" s="49" t="s">
        <v>609</v>
      </c>
      <c r="H1321" s="49" t="s">
        <v>609</v>
      </c>
      <c r="I1321" s="132"/>
      <c r="J1321" s="53"/>
    </row>
    <row r="1322" hidden="1">
      <c r="A1322" s="110" t="s">
        <v>6243</v>
      </c>
      <c r="B1322" s="49" t="s">
        <v>6244</v>
      </c>
      <c r="C1322" s="49" t="s">
        <v>139</v>
      </c>
      <c r="D1322" s="50">
        <v>42378.0</v>
      </c>
      <c r="E1322" s="53"/>
      <c r="F1322" s="49" t="s">
        <v>723</v>
      </c>
      <c r="G1322" s="49" t="s">
        <v>609</v>
      </c>
      <c r="H1322" s="49" t="s">
        <v>609</v>
      </c>
      <c r="I1322" s="132"/>
      <c r="J1322" s="53"/>
    </row>
    <row r="1323" hidden="1">
      <c r="A1323" s="110" t="s">
        <v>6246</v>
      </c>
      <c r="B1323" s="49" t="s">
        <v>6247</v>
      </c>
      <c r="C1323" s="49" t="s">
        <v>139</v>
      </c>
      <c r="D1323" s="50">
        <v>42378.0</v>
      </c>
      <c r="E1323" s="53"/>
      <c r="F1323" s="49" t="s">
        <v>723</v>
      </c>
      <c r="G1323" s="49" t="s">
        <v>609</v>
      </c>
      <c r="H1323" s="49" t="s">
        <v>609</v>
      </c>
      <c r="I1323" s="132"/>
      <c r="J1323" s="53"/>
    </row>
    <row r="1324" hidden="1">
      <c r="A1324" s="110" t="s">
        <v>6248</v>
      </c>
      <c r="B1324" s="49" t="s">
        <v>6249</v>
      </c>
      <c r="C1324" s="49" t="s">
        <v>139</v>
      </c>
      <c r="D1324" s="50">
        <v>42378.0</v>
      </c>
      <c r="E1324" s="53"/>
      <c r="F1324" s="49" t="s">
        <v>723</v>
      </c>
      <c r="G1324" s="49" t="s">
        <v>609</v>
      </c>
      <c r="H1324" s="49" t="s">
        <v>609</v>
      </c>
      <c r="I1324" s="132"/>
      <c r="J1324" s="53"/>
    </row>
    <row r="1325" hidden="1">
      <c r="A1325" s="110" t="s">
        <v>6251</v>
      </c>
      <c r="B1325" s="49" t="s">
        <v>6252</v>
      </c>
      <c r="C1325" s="49" t="s">
        <v>139</v>
      </c>
      <c r="D1325" s="50">
        <v>42378.0</v>
      </c>
      <c r="E1325" s="53"/>
      <c r="F1325" s="49" t="s">
        <v>723</v>
      </c>
      <c r="G1325" s="49" t="s">
        <v>609</v>
      </c>
      <c r="H1325" s="49" t="s">
        <v>609</v>
      </c>
      <c r="I1325" s="132"/>
      <c r="J1325" s="53"/>
    </row>
    <row r="1326" hidden="1">
      <c r="A1326" s="110" t="s">
        <v>6253</v>
      </c>
      <c r="B1326" s="49" t="s">
        <v>6255</v>
      </c>
      <c r="C1326" s="49" t="s">
        <v>139</v>
      </c>
      <c r="D1326" s="50">
        <v>42377.0</v>
      </c>
      <c r="E1326" s="133"/>
      <c r="F1326" s="49" t="s">
        <v>176</v>
      </c>
      <c r="G1326" s="49" t="s">
        <v>177</v>
      </c>
      <c r="H1326" s="49" t="s">
        <v>177</v>
      </c>
      <c r="I1326" s="132"/>
      <c r="J1326" s="53"/>
    </row>
    <row r="1327" hidden="1">
      <c r="A1327" s="110" t="s">
        <v>6257</v>
      </c>
      <c r="B1327" s="49" t="s">
        <v>6258</v>
      </c>
      <c r="C1327" s="49" t="s">
        <v>139</v>
      </c>
      <c r="D1327" s="50">
        <v>42377.0</v>
      </c>
      <c r="E1327" s="133"/>
      <c r="F1327" s="49" t="s">
        <v>176</v>
      </c>
      <c r="G1327" s="49" t="s">
        <v>177</v>
      </c>
      <c r="H1327" s="49" t="s">
        <v>177</v>
      </c>
      <c r="I1327" s="132"/>
      <c r="J1327" s="53"/>
    </row>
    <row r="1328" hidden="1">
      <c r="A1328" s="110" t="s">
        <v>6259</v>
      </c>
      <c r="B1328" s="49" t="s">
        <v>6260</v>
      </c>
      <c r="C1328" s="49" t="s">
        <v>139</v>
      </c>
      <c r="D1328" s="50">
        <v>42377.0</v>
      </c>
      <c r="E1328" s="133"/>
      <c r="F1328" s="49" t="s">
        <v>176</v>
      </c>
      <c r="G1328" s="49" t="s">
        <v>177</v>
      </c>
      <c r="H1328" s="49" t="s">
        <v>177</v>
      </c>
      <c r="I1328" s="132"/>
      <c r="J1328" s="53"/>
    </row>
    <row r="1329" hidden="1">
      <c r="A1329" s="110" t="s">
        <v>6262</v>
      </c>
      <c r="B1329" s="49" t="s">
        <v>6263</v>
      </c>
      <c r="C1329" s="49" t="s">
        <v>139</v>
      </c>
      <c r="D1329" s="50">
        <v>42377.0</v>
      </c>
      <c r="E1329" s="133"/>
      <c r="F1329" s="49" t="s">
        <v>176</v>
      </c>
      <c r="G1329" s="49" t="s">
        <v>177</v>
      </c>
      <c r="H1329" s="49" t="s">
        <v>177</v>
      </c>
      <c r="I1329" s="132"/>
      <c r="J1329" s="53"/>
    </row>
    <row r="1330" hidden="1">
      <c r="A1330" s="110" t="s">
        <v>6265</v>
      </c>
      <c r="B1330" s="49" t="s">
        <v>6266</v>
      </c>
      <c r="C1330" s="49" t="s">
        <v>139</v>
      </c>
      <c r="D1330" s="50">
        <v>42377.0</v>
      </c>
      <c r="E1330" s="53"/>
      <c r="F1330" s="49" t="s">
        <v>176</v>
      </c>
      <c r="G1330" s="49" t="s">
        <v>177</v>
      </c>
      <c r="H1330" s="49" t="s">
        <v>177</v>
      </c>
      <c r="I1330" s="132"/>
      <c r="J1330" s="53"/>
    </row>
    <row r="1331" hidden="1">
      <c r="A1331" s="110" t="s">
        <v>6267</v>
      </c>
      <c r="B1331" s="49" t="s">
        <v>6269</v>
      </c>
      <c r="C1331" s="49" t="s">
        <v>139</v>
      </c>
      <c r="D1331" s="50">
        <v>42377.0</v>
      </c>
      <c r="E1331" s="53"/>
      <c r="F1331" s="49" t="s">
        <v>176</v>
      </c>
      <c r="G1331" s="49" t="s">
        <v>177</v>
      </c>
      <c r="H1331" s="49" t="s">
        <v>177</v>
      </c>
      <c r="I1331" s="132"/>
      <c r="J1331" s="53"/>
    </row>
    <row r="1332" hidden="1">
      <c r="A1332" s="110" t="s">
        <v>6270</v>
      </c>
      <c r="B1332" s="49" t="s">
        <v>6272</v>
      </c>
      <c r="C1332" s="49" t="s">
        <v>139</v>
      </c>
      <c r="D1332" s="50">
        <v>42377.0</v>
      </c>
      <c r="E1332" s="133"/>
      <c r="F1332" s="49" t="s">
        <v>176</v>
      </c>
      <c r="G1332" s="49" t="s">
        <v>177</v>
      </c>
      <c r="H1332" s="49" t="s">
        <v>177</v>
      </c>
      <c r="I1332" s="132"/>
      <c r="J1332" s="53"/>
    </row>
    <row r="1333" hidden="1">
      <c r="A1333" s="110" t="s">
        <v>6273</v>
      </c>
      <c r="B1333" s="49" t="s">
        <v>6274</v>
      </c>
      <c r="C1333" s="49" t="s">
        <v>139</v>
      </c>
      <c r="D1333" s="50">
        <v>42377.0</v>
      </c>
      <c r="E1333" s="53"/>
      <c r="F1333" s="49" t="s">
        <v>1399</v>
      </c>
      <c r="G1333" s="49" t="s">
        <v>1400</v>
      </c>
      <c r="H1333" s="49" t="s">
        <v>1400</v>
      </c>
      <c r="I1333" s="132"/>
      <c r="J1333" s="53"/>
    </row>
    <row r="1334" hidden="1">
      <c r="A1334" s="110" t="s">
        <v>6275</v>
      </c>
      <c r="B1334" s="49" t="s">
        <v>6277</v>
      </c>
      <c r="C1334" s="49" t="s">
        <v>139</v>
      </c>
      <c r="D1334" s="50">
        <v>42377.0</v>
      </c>
      <c r="E1334" s="53"/>
      <c r="F1334" s="49" t="s">
        <v>215</v>
      </c>
      <c r="G1334" s="49" t="s">
        <v>216</v>
      </c>
      <c r="H1334" s="49" t="s">
        <v>216</v>
      </c>
      <c r="I1334" s="132"/>
      <c r="J1334" s="53"/>
    </row>
    <row r="1335" hidden="1">
      <c r="A1335" s="110" t="s">
        <v>6278</v>
      </c>
      <c r="B1335" s="49" t="s">
        <v>6279</v>
      </c>
      <c r="C1335" s="49" t="s">
        <v>139</v>
      </c>
      <c r="D1335" s="50">
        <v>42377.0</v>
      </c>
      <c r="E1335" s="53"/>
      <c r="F1335" s="49" t="s">
        <v>215</v>
      </c>
      <c r="G1335" s="49" t="s">
        <v>216</v>
      </c>
      <c r="H1335" s="49" t="s">
        <v>216</v>
      </c>
      <c r="I1335" s="132"/>
      <c r="J1335" s="53"/>
    </row>
    <row r="1336" hidden="1">
      <c r="A1336" s="110" t="s">
        <v>6280</v>
      </c>
      <c r="B1336" s="49" t="s">
        <v>6281</v>
      </c>
      <c r="C1336" s="49" t="s">
        <v>139</v>
      </c>
      <c r="D1336" s="50">
        <v>42377.0</v>
      </c>
      <c r="E1336" s="53"/>
      <c r="F1336" s="49" t="s">
        <v>723</v>
      </c>
      <c r="G1336" s="49" t="s">
        <v>609</v>
      </c>
      <c r="H1336" s="49" t="s">
        <v>609</v>
      </c>
      <c r="I1336" s="132"/>
      <c r="J1336" s="53"/>
    </row>
    <row r="1337" hidden="1">
      <c r="A1337" s="110" t="s">
        <v>6283</v>
      </c>
      <c r="B1337" s="49" t="s">
        <v>6284</v>
      </c>
      <c r="C1337" s="49" t="s">
        <v>139</v>
      </c>
      <c r="D1337" s="50">
        <v>42377.0</v>
      </c>
      <c r="E1337" s="53"/>
      <c r="F1337" s="49" t="s">
        <v>723</v>
      </c>
      <c r="G1337" s="49" t="s">
        <v>609</v>
      </c>
      <c r="H1337" s="49" t="s">
        <v>609</v>
      </c>
      <c r="I1337" s="132"/>
      <c r="J1337" s="53"/>
    </row>
    <row r="1338" hidden="1">
      <c r="A1338" s="110" t="s">
        <v>6286</v>
      </c>
      <c r="B1338" s="49" t="s">
        <v>6288</v>
      </c>
      <c r="C1338" s="49" t="s">
        <v>139</v>
      </c>
      <c r="D1338" s="50">
        <v>42377.0</v>
      </c>
      <c r="E1338" s="53"/>
      <c r="F1338" s="49" t="s">
        <v>723</v>
      </c>
      <c r="G1338" s="49" t="s">
        <v>609</v>
      </c>
      <c r="H1338" s="49" t="s">
        <v>609</v>
      </c>
      <c r="I1338" s="132"/>
      <c r="J1338" s="53"/>
    </row>
    <row r="1339" hidden="1">
      <c r="A1339" s="110" t="s">
        <v>6290</v>
      </c>
      <c r="B1339" s="49" t="s">
        <v>6291</v>
      </c>
      <c r="C1339" s="49" t="s">
        <v>139</v>
      </c>
      <c r="D1339" s="50">
        <v>42377.0</v>
      </c>
      <c r="E1339" s="53"/>
      <c r="F1339" s="49" t="s">
        <v>723</v>
      </c>
      <c r="G1339" s="49" t="s">
        <v>609</v>
      </c>
      <c r="H1339" s="49" t="s">
        <v>609</v>
      </c>
      <c r="I1339" s="132"/>
      <c r="J1339" s="53"/>
    </row>
    <row r="1340" hidden="1">
      <c r="A1340" s="110" t="s">
        <v>6292</v>
      </c>
      <c r="B1340" s="49" t="s">
        <v>6293</v>
      </c>
      <c r="C1340" s="49" t="s">
        <v>139</v>
      </c>
      <c r="D1340" s="50">
        <v>42377.0</v>
      </c>
      <c r="E1340" s="53"/>
      <c r="F1340" s="49" t="s">
        <v>723</v>
      </c>
      <c r="G1340" s="49" t="s">
        <v>609</v>
      </c>
      <c r="H1340" s="49" t="s">
        <v>609</v>
      </c>
      <c r="I1340" s="132"/>
      <c r="J1340" s="53"/>
    </row>
    <row r="1341" hidden="1">
      <c r="A1341" s="110" t="s">
        <v>6295</v>
      </c>
      <c r="B1341" s="49" t="s">
        <v>6296</v>
      </c>
      <c r="C1341" s="49" t="s">
        <v>139</v>
      </c>
      <c r="D1341" s="50">
        <v>42377.0</v>
      </c>
      <c r="E1341" s="53"/>
      <c r="F1341" s="49" t="s">
        <v>723</v>
      </c>
      <c r="G1341" s="49" t="s">
        <v>609</v>
      </c>
      <c r="H1341" s="49" t="s">
        <v>609</v>
      </c>
      <c r="I1341" s="132"/>
      <c r="J1341" s="53"/>
    </row>
    <row r="1342" hidden="1">
      <c r="A1342" s="110" t="s">
        <v>6297</v>
      </c>
      <c r="B1342" s="49" t="s">
        <v>6299</v>
      </c>
      <c r="C1342" s="49" t="s">
        <v>139</v>
      </c>
      <c r="D1342" s="50">
        <v>42376.0</v>
      </c>
      <c r="E1342" s="53"/>
      <c r="F1342" s="49" t="s">
        <v>6300</v>
      </c>
      <c r="G1342" s="49" t="s">
        <v>216</v>
      </c>
      <c r="H1342" s="49" t="s">
        <v>216</v>
      </c>
      <c r="I1342" s="132"/>
      <c r="J1342" s="53"/>
    </row>
    <row r="1343" hidden="1">
      <c r="A1343" s="110" t="s">
        <v>6302</v>
      </c>
      <c r="B1343" s="49" t="s">
        <v>6303</v>
      </c>
      <c r="C1343" s="49" t="s">
        <v>139</v>
      </c>
      <c r="D1343" s="50">
        <v>42375.0</v>
      </c>
      <c r="E1343" s="133"/>
      <c r="F1343" s="49" t="s">
        <v>176</v>
      </c>
      <c r="G1343" s="49" t="s">
        <v>177</v>
      </c>
      <c r="H1343" s="49" t="s">
        <v>177</v>
      </c>
      <c r="I1343" s="132"/>
      <c r="J1343" s="53"/>
    </row>
    <row r="1344" hidden="1">
      <c r="A1344" s="110" t="s">
        <v>6304</v>
      </c>
      <c r="B1344" s="49" t="s">
        <v>6306</v>
      </c>
      <c r="C1344" s="49" t="s">
        <v>139</v>
      </c>
      <c r="D1344" s="50">
        <v>42375.0</v>
      </c>
      <c r="E1344" s="133"/>
      <c r="F1344" s="49" t="s">
        <v>176</v>
      </c>
      <c r="G1344" s="49" t="s">
        <v>177</v>
      </c>
      <c r="H1344" s="49" t="s">
        <v>177</v>
      </c>
      <c r="I1344" s="132"/>
      <c r="J1344" s="53"/>
    </row>
    <row r="1345" hidden="1">
      <c r="A1345" s="110" t="s">
        <v>6309</v>
      </c>
      <c r="B1345" s="49" t="s">
        <v>6310</v>
      </c>
      <c r="C1345" s="49" t="s">
        <v>139</v>
      </c>
      <c r="D1345" s="50">
        <v>42375.0</v>
      </c>
      <c r="E1345" s="53"/>
      <c r="F1345" s="49" t="s">
        <v>176</v>
      </c>
      <c r="G1345" s="49" t="s">
        <v>177</v>
      </c>
      <c r="H1345" s="49" t="s">
        <v>177</v>
      </c>
      <c r="I1345" s="132"/>
      <c r="J1345" s="53"/>
    </row>
    <row r="1346" hidden="1">
      <c r="A1346" s="110" t="s">
        <v>6311</v>
      </c>
      <c r="B1346" s="49" t="s">
        <v>6312</v>
      </c>
      <c r="C1346" s="49" t="s">
        <v>139</v>
      </c>
      <c r="D1346" s="50">
        <v>42375.0</v>
      </c>
      <c r="E1346" s="53"/>
      <c r="F1346" s="49" t="s">
        <v>723</v>
      </c>
      <c r="G1346" s="49" t="s">
        <v>609</v>
      </c>
      <c r="H1346" s="49" t="s">
        <v>609</v>
      </c>
      <c r="I1346" s="132"/>
      <c r="J1346" s="53"/>
    </row>
    <row r="1347" hidden="1">
      <c r="A1347" s="110" t="s">
        <v>6313</v>
      </c>
      <c r="B1347" s="49" t="s">
        <v>6315</v>
      </c>
      <c r="C1347" s="49" t="s">
        <v>139</v>
      </c>
      <c r="D1347" s="50">
        <v>42374.0</v>
      </c>
      <c r="E1347" s="53"/>
      <c r="F1347" s="49" t="s">
        <v>176</v>
      </c>
      <c r="G1347" s="49" t="s">
        <v>177</v>
      </c>
      <c r="H1347" s="49" t="s">
        <v>177</v>
      </c>
      <c r="I1347" s="132"/>
      <c r="J1347" s="53"/>
    </row>
    <row r="1348" hidden="1">
      <c r="A1348" s="110" t="s">
        <v>6317</v>
      </c>
      <c r="B1348" s="49" t="s">
        <v>6318</v>
      </c>
      <c r="C1348" s="49" t="s">
        <v>139</v>
      </c>
      <c r="D1348" s="50">
        <v>42374.0</v>
      </c>
      <c r="E1348" s="133"/>
      <c r="F1348" s="49" t="s">
        <v>176</v>
      </c>
      <c r="G1348" s="49" t="s">
        <v>177</v>
      </c>
      <c r="H1348" s="49" t="s">
        <v>177</v>
      </c>
      <c r="I1348" s="132"/>
      <c r="J1348" s="53"/>
    </row>
    <row r="1349" hidden="1">
      <c r="A1349" s="110" t="s">
        <v>6319</v>
      </c>
      <c r="B1349" s="49" t="s">
        <v>6321</v>
      </c>
      <c r="C1349" s="49" t="s">
        <v>139</v>
      </c>
      <c r="D1349" s="50">
        <v>42374.0</v>
      </c>
      <c r="E1349" s="133"/>
      <c r="F1349" s="49" t="s">
        <v>176</v>
      </c>
      <c r="G1349" s="49" t="s">
        <v>177</v>
      </c>
      <c r="H1349" s="49" t="s">
        <v>177</v>
      </c>
      <c r="I1349" s="132"/>
      <c r="J1349" s="53"/>
    </row>
    <row r="1350" hidden="1">
      <c r="A1350" s="110" t="s">
        <v>6322</v>
      </c>
      <c r="B1350" s="49" t="s">
        <v>6323</v>
      </c>
      <c r="C1350" s="49" t="s">
        <v>139</v>
      </c>
      <c r="D1350" s="50">
        <v>42374.0</v>
      </c>
      <c r="E1350" s="53"/>
      <c r="F1350" s="49" t="s">
        <v>2596</v>
      </c>
      <c r="G1350" s="49" t="s">
        <v>244</v>
      </c>
      <c r="H1350" s="49" t="s">
        <v>244</v>
      </c>
      <c r="I1350" s="132"/>
      <c r="J1350" s="53"/>
    </row>
    <row r="1351" hidden="1">
      <c r="A1351" s="110" t="s">
        <v>6324</v>
      </c>
      <c r="B1351" s="49" t="s">
        <v>6326</v>
      </c>
      <c r="C1351" s="49" t="s">
        <v>139</v>
      </c>
      <c r="D1351" s="50">
        <v>42374.0</v>
      </c>
      <c r="E1351" s="53"/>
      <c r="F1351" s="49" t="s">
        <v>723</v>
      </c>
      <c r="G1351" s="49" t="s">
        <v>609</v>
      </c>
      <c r="H1351" s="49" t="s">
        <v>609</v>
      </c>
      <c r="I1351" s="132"/>
      <c r="J1351" s="53"/>
    </row>
    <row r="1352" hidden="1">
      <c r="A1352" s="110" t="s">
        <v>6327</v>
      </c>
      <c r="B1352" s="49" t="s">
        <v>6328</v>
      </c>
      <c r="C1352" s="49" t="s">
        <v>139</v>
      </c>
      <c r="D1352" s="50">
        <v>42373.0</v>
      </c>
      <c r="E1352" s="53"/>
      <c r="F1352" s="49" t="s">
        <v>1399</v>
      </c>
      <c r="G1352" s="49" t="s">
        <v>1400</v>
      </c>
      <c r="H1352" s="49" t="s">
        <v>1400</v>
      </c>
      <c r="I1352" s="132"/>
      <c r="J1352" s="53"/>
    </row>
    <row r="1353" hidden="1">
      <c r="A1353" s="110" t="s">
        <v>6330</v>
      </c>
      <c r="B1353" s="49" t="s">
        <v>6331</v>
      </c>
      <c r="C1353" s="49" t="s">
        <v>139</v>
      </c>
      <c r="D1353" s="50">
        <v>42373.0</v>
      </c>
      <c r="E1353" s="53"/>
      <c r="F1353" s="49" t="s">
        <v>723</v>
      </c>
      <c r="G1353" s="49" t="s">
        <v>609</v>
      </c>
      <c r="H1353" s="49" t="s">
        <v>609</v>
      </c>
      <c r="I1353" s="132"/>
      <c r="J1353" s="53"/>
    </row>
    <row r="1354" hidden="1">
      <c r="A1354" s="110" t="s">
        <v>6333</v>
      </c>
      <c r="B1354" s="49" t="s">
        <v>6335</v>
      </c>
      <c r="C1354" s="49" t="s">
        <v>139</v>
      </c>
      <c r="D1354" s="50">
        <v>42373.0</v>
      </c>
      <c r="E1354" s="53"/>
      <c r="F1354" s="49" t="s">
        <v>215</v>
      </c>
      <c r="G1354" s="49" t="s">
        <v>216</v>
      </c>
      <c r="H1354" s="49" t="s">
        <v>216</v>
      </c>
      <c r="I1354" s="132"/>
      <c r="J1354" s="53"/>
    </row>
    <row r="1355" hidden="1">
      <c r="A1355" s="110" t="s">
        <v>6336</v>
      </c>
      <c r="B1355" s="49" t="s">
        <v>6337</v>
      </c>
      <c r="C1355" s="49" t="s">
        <v>139</v>
      </c>
      <c r="D1355" s="50">
        <v>42373.0</v>
      </c>
      <c r="E1355" s="53"/>
      <c r="F1355" s="49" t="s">
        <v>215</v>
      </c>
      <c r="G1355" s="49" t="s">
        <v>216</v>
      </c>
      <c r="H1355" s="49" t="s">
        <v>216</v>
      </c>
      <c r="I1355" s="132"/>
      <c r="J1355" s="53"/>
    </row>
    <row r="1356" hidden="1">
      <c r="A1356" s="110" t="s">
        <v>6338</v>
      </c>
      <c r="B1356" s="49" t="s">
        <v>6340</v>
      </c>
      <c r="C1356" s="49" t="s">
        <v>139</v>
      </c>
      <c r="D1356" s="50">
        <v>42373.0</v>
      </c>
      <c r="E1356" s="53"/>
      <c r="F1356" s="49" t="s">
        <v>3685</v>
      </c>
      <c r="G1356" s="49" t="s">
        <v>216</v>
      </c>
      <c r="H1356" s="49" t="s">
        <v>216</v>
      </c>
      <c r="I1356" s="132"/>
      <c r="J1356" s="53"/>
    </row>
    <row r="1357" hidden="1">
      <c r="A1357" s="110" t="s">
        <v>6341</v>
      </c>
      <c r="B1357" s="49" t="s">
        <v>6342</v>
      </c>
      <c r="C1357" s="49" t="s">
        <v>139</v>
      </c>
      <c r="D1357" s="50">
        <v>42372.0</v>
      </c>
      <c r="E1357" s="53"/>
      <c r="F1357" s="49" t="s">
        <v>160</v>
      </c>
      <c r="G1357" s="49" t="s">
        <v>216</v>
      </c>
      <c r="H1357" s="49" t="s">
        <v>216</v>
      </c>
      <c r="I1357" s="132"/>
      <c r="J1357" s="53"/>
    </row>
    <row r="1358" hidden="1">
      <c r="A1358" s="110" t="s">
        <v>6344</v>
      </c>
      <c r="B1358" s="49" t="s">
        <v>6345</v>
      </c>
      <c r="C1358" s="49" t="s">
        <v>139</v>
      </c>
      <c r="D1358" s="50">
        <v>42372.0</v>
      </c>
      <c r="E1358" s="53"/>
      <c r="F1358" s="49" t="s">
        <v>160</v>
      </c>
      <c r="G1358" s="49" t="s">
        <v>216</v>
      </c>
      <c r="H1358" s="49" t="s">
        <v>216</v>
      </c>
      <c r="I1358" s="132"/>
      <c r="J1358" s="53"/>
    </row>
    <row r="1359" hidden="1">
      <c r="A1359" s="110" t="s">
        <v>6347</v>
      </c>
      <c r="B1359" s="49" t="s">
        <v>6348</v>
      </c>
      <c r="C1359" s="49" t="s">
        <v>139</v>
      </c>
      <c r="D1359" s="50">
        <v>42372.0</v>
      </c>
      <c r="E1359" s="133"/>
      <c r="F1359" s="49" t="s">
        <v>160</v>
      </c>
      <c r="G1359" s="49" t="s">
        <v>216</v>
      </c>
      <c r="H1359" s="49" t="s">
        <v>216</v>
      </c>
      <c r="I1359" s="132"/>
      <c r="J1359" s="53"/>
    </row>
    <row r="1360" hidden="1">
      <c r="A1360" s="110" t="s">
        <v>6349</v>
      </c>
      <c r="B1360" s="49" t="s">
        <v>6351</v>
      </c>
      <c r="C1360" s="49" t="s">
        <v>139</v>
      </c>
      <c r="D1360" s="50">
        <v>42372.0</v>
      </c>
      <c r="E1360" s="133"/>
      <c r="F1360" s="49" t="s">
        <v>160</v>
      </c>
      <c r="G1360" s="49" t="s">
        <v>216</v>
      </c>
      <c r="H1360" s="49" t="s">
        <v>216</v>
      </c>
      <c r="I1360" s="132"/>
      <c r="J1360" s="53"/>
    </row>
    <row r="1361" hidden="1">
      <c r="A1361" s="110" t="s">
        <v>6352</v>
      </c>
      <c r="B1361" s="49" t="s">
        <v>6353</v>
      </c>
      <c r="C1361" s="49" t="s">
        <v>139</v>
      </c>
      <c r="D1361" s="50">
        <v>42372.0</v>
      </c>
      <c r="E1361" s="53"/>
      <c r="F1361" s="49" t="s">
        <v>723</v>
      </c>
      <c r="G1361" s="49" t="s">
        <v>609</v>
      </c>
      <c r="H1361" s="49" t="s">
        <v>609</v>
      </c>
      <c r="I1361" s="132"/>
      <c r="J1361" s="53"/>
    </row>
    <row r="1362" hidden="1">
      <c r="A1362" s="110" t="s">
        <v>6356</v>
      </c>
      <c r="B1362" s="49" t="s">
        <v>6361</v>
      </c>
      <c r="C1362" s="49" t="s">
        <v>139</v>
      </c>
      <c r="D1362" s="50">
        <v>42371.0</v>
      </c>
      <c r="E1362" s="53"/>
      <c r="F1362" s="49" t="s">
        <v>2596</v>
      </c>
      <c r="G1362" s="49" t="s">
        <v>244</v>
      </c>
      <c r="H1362" s="49" t="s">
        <v>244</v>
      </c>
      <c r="I1362" s="132"/>
      <c r="J1362" s="53"/>
    </row>
    <row r="1363" hidden="1">
      <c r="A1363" s="110" t="s">
        <v>6362</v>
      </c>
      <c r="B1363" s="49" t="s">
        <v>6364</v>
      </c>
      <c r="C1363" s="49" t="s">
        <v>139</v>
      </c>
      <c r="D1363" s="50">
        <v>42371.0</v>
      </c>
      <c r="E1363" s="53"/>
      <c r="F1363" s="49" t="s">
        <v>723</v>
      </c>
      <c r="G1363" s="49" t="s">
        <v>609</v>
      </c>
      <c r="H1363" s="49" t="s">
        <v>609</v>
      </c>
      <c r="I1363" s="132"/>
      <c r="J1363" s="53"/>
    </row>
    <row r="1364" hidden="1">
      <c r="A1364" s="110" t="s">
        <v>6365</v>
      </c>
      <c r="B1364" s="49" t="s">
        <v>6366</v>
      </c>
      <c r="C1364" s="49" t="s">
        <v>139</v>
      </c>
      <c r="D1364" s="50">
        <v>42371.0</v>
      </c>
      <c r="E1364" s="53"/>
      <c r="F1364" s="49" t="s">
        <v>723</v>
      </c>
      <c r="G1364" s="49" t="s">
        <v>609</v>
      </c>
      <c r="H1364" s="49" t="s">
        <v>609</v>
      </c>
      <c r="I1364" s="132"/>
      <c r="J1364" s="53"/>
    </row>
    <row r="1365" hidden="1">
      <c r="A1365" s="110" t="s">
        <v>6368</v>
      </c>
      <c r="B1365" s="49" t="s">
        <v>6370</v>
      </c>
      <c r="C1365" s="49" t="s">
        <v>139</v>
      </c>
      <c r="D1365" s="50">
        <v>42371.0</v>
      </c>
      <c r="E1365" s="53"/>
      <c r="F1365" s="49" t="s">
        <v>723</v>
      </c>
      <c r="G1365" s="49" t="s">
        <v>609</v>
      </c>
      <c r="H1365" s="49" t="s">
        <v>609</v>
      </c>
      <c r="I1365" s="132"/>
      <c r="J1365" s="53"/>
    </row>
    <row r="1366" hidden="1">
      <c r="A1366" s="110" t="s">
        <v>6372</v>
      </c>
      <c r="B1366" s="49" t="s">
        <v>6373</v>
      </c>
      <c r="C1366" s="49" t="s">
        <v>139</v>
      </c>
      <c r="D1366" s="50">
        <v>42371.0</v>
      </c>
      <c r="E1366" s="53"/>
      <c r="F1366" s="49" t="s">
        <v>723</v>
      </c>
      <c r="G1366" s="49" t="s">
        <v>609</v>
      </c>
      <c r="H1366" s="49" t="s">
        <v>609</v>
      </c>
      <c r="I1366" s="132"/>
      <c r="J1366" s="53"/>
    </row>
    <row r="1367" hidden="1">
      <c r="A1367" s="110" t="s">
        <v>6374</v>
      </c>
      <c r="B1367" s="49" t="s">
        <v>6376</v>
      </c>
      <c r="C1367" s="49" t="s">
        <v>139</v>
      </c>
      <c r="D1367" s="50">
        <v>42371.0</v>
      </c>
      <c r="E1367" s="53"/>
      <c r="F1367" s="49" t="s">
        <v>723</v>
      </c>
      <c r="G1367" s="49" t="s">
        <v>609</v>
      </c>
      <c r="H1367" s="49" t="s">
        <v>609</v>
      </c>
      <c r="I1367" s="132"/>
      <c r="J1367" s="53"/>
    </row>
    <row r="1368" hidden="1">
      <c r="A1368" s="110" t="s">
        <v>6377</v>
      </c>
      <c r="B1368" s="49" t="s">
        <v>6378</v>
      </c>
      <c r="C1368" s="49" t="s">
        <v>139</v>
      </c>
      <c r="D1368" s="50">
        <v>42371.0</v>
      </c>
      <c r="E1368" s="53"/>
      <c r="F1368" s="49" t="s">
        <v>6171</v>
      </c>
      <c r="G1368" s="49" t="s">
        <v>216</v>
      </c>
      <c r="H1368" s="49" t="s">
        <v>216</v>
      </c>
      <c r="I1368" s="132"/>
      <c r="J1368" s="53"/>
    </row>
    <row r="1369" hidden="1">
      <c r="A1369" s="110" t="s">
        <v>6380</v>
      </c>
      <c r="B1369" s="49" t="s">
        <v>6381</v>
      </c>
      <c r="C1369" s="49" t="s">
        <v>139</v>
      </c>
      <c r="D1369" s="50">
        <v>42370.0</v>
      </c>
      <c r="E1369" s="53"/>
      <c r="F1369" s="49" t="s">
        <v>723</v>
      </c>
      <c r="G1369" s="49" t="s">
        <v>609</v>
      </c>
      <c r="H1369" s="49" t="s">
        <v>609</v>
      </c>
      <c r="I1369" s="132"/>
      <c r="J1369" s="53"/>
    </row>
    <row r="1370" hidden="1">
      <c r="A1370" s="110" t="s">
        <v>6382</v>
      </c>
      <c r="B1370" s="49" t="s">
        <v>6383</v>
      </c>
      <c r="C1370" s="49" t="s">
        <v>139</v>
      </c>
      <c r="D1370" s="50">
        <v>42370.0</v>
      </c>
      <c r="E1370" s="53"/>
      <c r="F1370" s="49" t="s">
        <v>215</v>
      </c>
      <c r="G1370" s="49" t="s">
        <v>216</v>
      </c>
      <c r="H1370" s="49" t="s">
        <v>216</v>
      </c>
      <c r="I1370" s="132"/>
      <c r="J1370" s="53"/>
    </row>
    <row r="1371" hidden="1">
      <c r="A1371" s="110" t="s">
        <v>6385</v>
      </c>
      <c r="B1371" s="49" t="s">
        <v>6386</v>
      </c>
      <c r="C1371" s="49" t="s">
        <v>139</v>
      </c>
      <c r="D1371" s="50">
        <v>42370.0</v>
      </c>
      <c r="E1371" s="53"/>
      <c r="F1371" s="49" t="s">
        <v>723</v>
      </c>
      <c r="G1371" s="49" t="s">
        <v>609</v>
      </c>
      <c r="H1371" s="49" t="s">
        <v>609</v>
      </c>
      <c r="I1371" s="132"/>
      <c r="J1371" s="53"/>
    </row>
    <row r="1372" hidden="1">
      <c r="A1372" s="110" t="s">
        <v>6387</v>
      </c>
      <c r="B1372" s="49" t="s">
        <v>6388</v>
      </c>
      <c r="C1372" s="49" t="s">
        <v>139</v>
      </c>
      <c r="D1372" s="50">
        <v>42370.0</v>
      </c>
      <c r="E1372" s="53"/>
      <c r="F1372" s="49" t="s">
        <v>723</v>
      </c>
      <c r="G1372" s="49" t="s">
        <v>609</v>
      </c>
      <c r="H1372" s="49" t="s">
        <v>609</v>
      </c>
      <c r="I1372" s="132"/>
      <c r="J1372" s="53"/>
    </row>
    <row r="1373" hidden="1">
      <c r="A1373" s="110" t="s">
        <v>6390</v>
      </c>
      <c r="B1373" s="49" t="s">
        <v>6391</v>
      </c>
      <c r="C1373" s="49" t="s">
        <v>139</v>
      </c>
      <c r="D1373" s="50">
        <v>42086.0</v>
      </c>
      <c r="E1373" s="53"/>
      <c r="F1373" s="49" t="s">
        <v>630</v>
      </c>
      <c r="G1373" s="49" t="s">
        <v>2687</v>
      </c>
      <c r="H1373" s="49" t="s">
        <v>2687</v>
      </c>
      <c r="I1373" s="132"/>
      <c r="J1373" s="53"/>
    </row>
    <row r="1374" hidden="1">
      <c r="A1374" s="110" t="s">
        <v>6393</v>
      </c>
      <c r="B1374" s="49" t="s">
        <v>6394</v>
      </c>
      <c r="C1374" s="49" t="s">
        <v>139</v>
      </c>
      <c r="D1374" s="50">
        <v>42035.0</v>
      </c>
      <c r="E1374" s="133"/>
      <c r="F1374" s="49" t="s">
        <v>6300</v>
      </c>
      <c r="G1374" s="49" t="s">
        <v>216</v>
      </c>
      <c r="H1374" s="49" t="s">
        <v>216</v>
      </c>
      <c r="I1374" s="132"/>
      <c r="J1374" s="53"/>
    </row>
    <row r="1375" hidden="1">
      <c r="A1375" s="110" t="s">
        <v>6397</v>
      </c>
      <c r="B1375" s="49" t="s">
        <v>6398</v>
      </c>
      <c r="C1375" s="49" t="s">
        <v>139</v>
      </c>
      <c r="D1375" s="50">
        <v>42035.0</v>
      </c>
      <c r="E1375" s="133"/>
      <c r="F1375" s="49" t="s">
        <v>6399</v>
      </c>
      <c r="G1375" s="49" t="s">
        <v>244</v>
      </c>
      <c r="H1375" s="49" t="s">
        <v>244</v>
      </c>
      <c r="I1375" s="132"/>
      <c r="J1375" s="53"/>
    </row>
    <row r="1376" hidden="1">
      <c r="A1376" s="110" t="s">
        <v>6400</v>
      </c>
      <c r="B1376" s="49" t="s">
        <v>6402</v>
      </c>
      <c r="C1376" s="49" t="s">
        <v>139</v>
      </c>
      <c r="D1376" s="50">
        <v>42035.0</v>
      </c>
      <c r="E1376" s="133"/>
      <c r="F1376" s="49" t="s">
        <v>723</v>
      </c>
      <c r="G1376" s="49" t="s">
        <v>233</v>
      </c>
      <c r="H1376" s="49" t="s">
        <v>177</v>
      </c>
      <c r="I1376" s="132"/>
      <c r="J1376" s="53"/>
    </row>
    <row r="1377" hidden="1">
      <c r="A1377" s="110" t="s">
        <v>6404</v>
      </c>
      <c r="B1377" s="49" t="s">
        <v>6405</v>
      </c>
      <c r="C1377" s="49" t="s">
        <v>139</v>
      </c>
      <c r="D1377" s="50">
        <v>42035.0</v>
      </c>
      <c r="E1377" s="133"/>
      <c r="F1377" s="49" t="s">
        <v>215</v>
      </c>
      <c r="G1377" s="49" t="s">
        <v>1367</v>
      </c>
      <c r="H1377" s="49" t="s">
        <v>1367</v>
      </c>
      <c r="I1377" s="132"/>
      <c r="J1377" s="53"/>
    </row>
    <row r="1378" hidden="1">
      <c r="A1378" s="110" t="s">
        <v>6407</v>
      </c>
      <c r="B1378" s="49" t="s">
        <v>6408</v>
      </c>
      <c r="C1378" s="49" t="s">
        <v>139</v>
      </c>
      <c r="D1378" s="50">
        <v>42034.0</v>
      </c>
      <c r="E1378" s="133"/>
      <c r="F1378" s="49" t="s">
        <v>723</v>
      </c>
      <c r="G1378" s="49" t="s">
        <v>609</v>
      </c>
      <c r="H1378" s="49" t="s">
        <v>609</v>
      </c>
      <c r="I1378" s="132"/>
      <c r="J1378" s="53"/>
    </row>
    <row r="1379" hidden="1">
      <c r="A1379" s="110" t="s">
        <v>6409</v>
      </c>
      <c r="B1379" s="49" t="s">
        <v>6410</v>
      </c>
      <c r="C1379" s="49" t="s">
        <v>139</v>
      </c>
      <c r="D1379" s="50">
        <v>42034.0</v>
      </c>
      <c r="E1379" s="133"/>
      <c r="F1379" s="49" t="s">
        <v>3407</v>
      </c>
      <c r="G1379" s="49" t="s">
        <v>216</v>
      </c>
      <c r="H1379" s="49" t="s">
        <v>216</v>
      </c>
      <c r="I1379" s="132"/>
      <c r="J1379" s="53"/>
    </row>
    <row r="1380" hidden="1">
      <c r="A1380" s="110" t="s">
        <v>6412</v>
      </c>
      <c r="B1380" s="49" t="s">
        <v>6413</v>
      </c>
      <c r="C1380" s="49" t="s">
        <v>139</v>
      </c>
      <c r="D1380" s="50">
        <v>42034.0</v>
      </c>
      <c r="E1380" s="133"/>
      <c r="F1380" s="49" t="s">
        <v>723</v>
      </c>
      <c r="G1380" s="49" t="s">
        <v>609</v>
      </c>
      <c r="H1380" s="49" t="s">
        <v>609</v>
      </c>
      <c r="I1380" s="132"/>
      <c r="J1380" s="53"/>
    </row>
    <row r="1381" hidden="1">
      <c r="A1381" s="110" t="s">
        <v>6414</v>
      </c>
      <c r="B1381" s="49" t="s">
        <v>6415</v>
      </c>
      <c r="C1381" s="49" t="s">
        <v>139</v>
      </c>
      <c r="D1381" s="50">
        <v>42034.0</v>
      </c>
      <c r="E1381" s="133"/>
      <c r="F1381" s="49" t="s">
        <v>723</v>
      </c>
      <c r="G1381" s="49" t="s">
        <v>609</v>
      </c>
      <c r="H1381" s="49" t="s">
        <v>609</v>
      </c>
      <c r="I1381" s="132"/>
      <c r="J1381" s="53"/>
    </row>
    <row r="1382" hidden="1">
      <c r="A1382" s="110" t="s">
        <v>6416</v>
      </c>
      <c r="B1382" s="49" t="s">
        <v>6418</v>
      </c>
      <c r="C1382" s="49" t="s">
        <v>139</v>
      </c>
      <c r="D1382" s="50">
        <v>42034.0</v>
      </c>
      <c r="E1382" s="133"/>
      <c r="F1382" s="49" t="s">
        <v>723</v>
      </c>
      <c r="G1382" s="49" t="s">
        <v>609</v>
      </c>
      <c r="H1382" s="49" t="s">
        <v>609</v>
      </c>
      <c r="I1382" s="132"/>
      <c r="J1382" s="53"/>
    </row>
    <row r="1383" hidden="1">
      <c r="A1383" s="110" t="s">
        <v>6419</v>
      </c>
      <c r="B1383" s="49" t="s">
        <v>6420</v>
      </c>
      <c r="C1383" s="49" t="s">
        <v>139</v>
      </c>
      <c r="D1383" s="50">
        <v>42034.0</v>
      </c>
      <c r="E1383" s="133"/>
      <c r="F1383" s="49" t="s">
        <v>723</v>
      </c>
      <c r="G1383" s="49" t="s">
        <v>177</v>
      </c>
      <c r="H1383" s="49" t="s">
        <v>177</v>
      </c>
      <c r="I1383" s="132"/>
      <c r="J1383" s="53"/>
    </row>
    <row r="1384" hidden="1">
      <c r="A1384" s="110" t="s">
        <v>6421</v>
      </c>
      <c r="B1384" s="49" t="s">
        <v>6423</v>
      </c>
      <c r="C1384" s="49" t="s">
        <v>139</v>
      </c>
      <c r="D1384" s="50">
        <v>42034.0</v>
      </c>
      <c r="E1384" s="133"/>
      <c r="F1384" s="49" t="s">
        <v>723</v>
      </c>
      <c r="G1384" s="49" t="s">
        <v>177</v>
      </c>
      <c r="H1384" s="49" t="s">
        <v>177</v>
      </c>
      <c r="I1384" s="132"/>
      <c r="J1384" s="53"/>
    </row>
    <row r="1385" hidden="1">
      <c r="A1385" s="110" t="s">
        <v>6424</v>
      </c>
      <c r="B1385" s="49" t="s">
        <v>6425</v>
      </c>
      <c r="C1385" s="49" t="s">
        <v>139</v>
      </c>
      <c r="D1385" s="50">
        <v>42034.0</v>
      </c>
      <c r="E1385" s="133"/>
      <c r="F1385" s="49" t="s">
        <v>723</v>
      </c>
      <c r="G1385" s="49" t="s">
        <v>177</v>
      </c>
      <c r="H1385" s="49" t="s">
        <v>177</v>
      </c>
      <c r="I1385" s="132"/>
      <c r="J1385" s="53"/>
    </row>
    <row r="1386" hidden="1">
      <c r="A1386" s="110" t="s">
        <v>6426</v>
      </c>
      <c r="B1386" s="49" t="s">
        <v>6427</v>
      </c>
      <c r="C1386" s="49" t="s">
        <v>139</v>
      </c>
      <c r="D1386" s="50">
        <v>42034.0</v>
      </c>
      <c r="E1386" s="53"/>
      <c r="F1386" s="49" t="s">
        <v>6300</v>
      </c>
      <c r="G1386" s="49" t="s">
        <v>216</v>
      </c>
      <c r="H1386" s="49" t="s">
        <v>216</v>
      </c>
      <c r="I1386" s="132"/>
      <c r="J1386" s="53"/>
    </row>
    <row r="1387" hidden="1">
      <c r="A1387" s="110" t="s">
        <v>6429</v>
      </c>
      <c r="B1387" s="49" t="s">
        <v>6430</v>
      </c>
      <c r="C1387" s="49" t="s">
        <v>139</v>
      </c>
      <c r="D1387" s="50">
        <v>42034.0</v>
      </c>
      <c r="E1387" s="53"/>
      <c r="F1387" s="49" t="s">
        <v>215</v>
      </c>
      <c r="G1387" s="49" t="s">
        <v>216</v>
      </c>
      <c r="H1387" s="49" t="s">
        <v>216</v>
      </c>
      <c r="I1387" s="132"/>
      <c r="J1387" s="53"/>
    </row>
    <row r="1388" hidden="1">
      <c r="A1388" s="110" t="s">
        <v>6433</v>
      </c>
      <c r="B1388" s="49" t="s">
        <v>6434</v>
      </c>
      <c r="C1388" s="49" t="s">
        <v>139</v>
      </c>
      <c r="D1388" s="50">
        <v>42034.0</v>
      </c>
      <c r="E1388" s="53"/>
      <c r="F1388" s="49" t="s">
        <v>723</v>
      </c>
      <c r="G1388" s="49" t="s">
        <v>609</v>
      </c>
      <c r="H1388" s="49" t="s">
        <v>609</v>
      </c>
      <c r="I1388" s="132"/>
      <c r="J1388" s="53"/>
    </row>
    <row r="1389" hidden="1">
      <c r="A1389" s="110" t="s">
        <v>6436</v>
      </c>
      <c r="B1389" s="49" t="s">
        <v>6437</v>
      </c>
      <c r="C1389" s="49" t="s">
        <v>139</v>
      </c>
      <c r="D1389" s="50">
        <v>42033.0</v>
      </c>
      <c r="E1389" s="53"/>
      <c r="F1389" s="49" t="s">
        <v>2596</v>
      </c>
      <c r="G1389" s="49" t="s">
        <v>1891</v>
      </c>
      <c r="H1389" s="49" t="s">
        <v>1891</v>
      </c>
      <c r="I1389" s="132"/>
      <c r="J1389" s="53"/>
    </row>
    <row r="1390" hidden="1">
      <c r="A1390" s="110" t="s">
        <v>6438</v>
      </c>
      <c r="B1390" s="49" t="s">
        <v>6439</v>
      </c>
      <c r="C1390" s="49" t="s">
        <v>139</v>
      </c>
      <c r="D1390" s="50">
        <v>42033.0</v>
      </c>
      <c r="E1390" s="133"/>
      <c r="F1390" s="49" t="s">
        <v>215</v>
      </c>
      <c r="G1390" s="49" t="s">
        <v>4827</v>
      </c>
      <c r="H1390" s="49" t="s">
        <v>6441</v>
      </c>
      <c r="I1390" s="132"/>
      <c r="J1390" s="53"/>
    </row>
    <row r="1391" hidden="1">
      <c r="A1391" s="110" t="s">
        <v>6443</v>
      </c>
      <c r="B1391" s="49" t="s">
        <v>6444</v>
      </c>
      <c r="C1391" s="49" t="s">
        <v>139</v>
      </c>
      <c r="D1391" s="50">
        <v>42033.0</v>
      </c>
      <c r="E1391" s="133"/>
      <c r="F1391" s="49" t="s">
        <v>6300</v>
      </c>
      <c r="G1391" s="49" t="s">
        <v>216</v>
      </c>
      <c r="H1391" s="49" t="s">
        <v>216</v>
      </c>
      <c r="I1391" s="132"/>
      <c r="J1391" s="53"/>
    </row>
    <row r="1392" hidden="1">
      <c r="A1392" s="110" t="s">
        <v>6445</v>
      </c>
      <c r="B1392" s="49" t="s">
        <v>6447</v>
      </c>
      <c r="C1392" s="49" t="s">
        <v>139</v>
      </c>
      <c r="D1392" s="50">
        <v>42033.0</v>
      </c>
      <c r="E1392" s="53"/>
      <c r="F1392" s="49" t="s">
        <v>6300</v>
      </c>
      <c r="G1392" s="49" t="s">
        <v>216</v>
      </c>
      <c r="H1392" s="49" t="s">
        <v>216</v>
      </c>
      <c r="I1392" s="132"/>
      <c r="J1392" s="53"/>
    </row>
    <row r="1393" hidden="1">
      <c r="A1393" s="110" t="s">
        <v>6448</v>
      </c>
      <c r="B1393" s="49" t="s">
        <v>6449</v>
      </c>
      <c r="C1393" s="49" t="s">
        <v>139</v>
      </c>
      <c r="D1393" s="50">
        <v>42033.0</v>
      </c>
      <c r="E1393" s="133"/>
      <c r="F1393" s="49" t="s">
        <v>6300</v>
      </c>
      <c r="G1393" s="49" t="s">
        <v>216</v>
      </c>
      <c r="H1393" s="49" t="s">
        <v>216</v>
      </c>
      <c r="I1393" s="132"/>
      <c r="J1393" s="53"/>
    </row>
    <row r="1394" hidden="1">
      <c r="A1394" s="110" t="s">
        <v>6451</v>
      </c>
      <c r="B1394" s="49" t="s">
        <v>6452</v>
      </c>
      <c r="C1394" s="49" t="s">
        <v>139</v>
      </c>
      <c r="D1394" s="50">
        <v>42033.0</v>
      </c>
      <c r="E1394" s="133"/>
      <c r="F1394" s="49" t="s">
        <v>6300</v>
      </c>
      <c r="G1394" s="49" t="s">
        <v>216</v>
      </c>
      <c r="H1394" s="49" t="s">
        <v>216</v>
      </c>
      <c r="I1394" s="132"/>
      <c r="J1394" s="53"/>
    </row>
    <row r="1395" hidden="1">
      <c r="A1395" s="110" t="s">
        <v>6453</v>
      </c>
      <c r="B1395" s="49" t="s">
        <v>6455</v>
      </c>
      <c r="C1395" s="49" t="s">
        <v>139</v>
      </c>
      <c r="D1395" s="50">
        <v>42033.0</v>
      </c>
      <c r="E1395" s="133"/>
      <c r="F1395" s="49" t="s">
        <v>6300</v>
      </c>
      <c r="G1395" s="49" t="s">
        <v>216</v>
      </c>
      <c r="H1395" s="49" t="s">
        <v>216</v>
      </c>
      <c r="I1395" s="132"/>
      <c r="J1395" s="53"/>
    </row>
    <row r="1396" hidden="1">
      <c r="A1396" s="110" t="s">
        <v>6456</v>
      </c>
      <c r="B1396" s="49" t="s">
        <v>6458</v>
      </c>
      <c r="C1396" s="49" t="s">
        <v>139</v>
      </c>
      <c r="D1396" s="50">
        <v>42033.0</v>
      </c>
      <c r="E1396" s="53"/>
      <c r="F1396" s="49" t="s">
        <v>2596</v>
      </c>
      <c r="G1396" s="49" t="s">
        <v>244</v>
      </c>
      <c r="H1396" s="49" t="s">
        <v>244</v>
      </c>
      <c r="I1396" s="132"/>
      <c r="J1396" s="53"/>
    </row>
    <row r="1397" hidden="1">
      <c r="A1397" s="110" t="s">
        <v>6463</v>
      </c>
      <c r="B1397" s="49" t="s">
        <v>6464</v>
      </c>
      <c r="C1397" s="49" t="s">
        <v>139</v>
      </c>
      <c r="D1397" s="50">
        <v>42032.0</v>
      </c>
      <c r="E1397" s="133"/>
      <c r="F1397" s="49" t="s">
        <v>723</v>
      </c>
      <c r="G1397" s="49" t="s">
        <v>609</v>
      </c>
      <c r="H1397" s="49" t="s">
        <v>609</v>
      </c>
      <c r="I1397" s="132"/>
      <c r="J1397" s="53"/>
    </row>
    <row r="1398" hidden="1">
      <c r="A1398" s="110" t="s">
        <v>6466</v>
      </c>
      <c r="B1398" s="49" t="s">
        <v>6467</v>
      </c>
      <c r="C1398" s="49" t="s">
        <v>139</v>
      </c>
      <c r="D1398" s="50">
        <v>42032.0</v>
      </c>
      <c r="E1398" s="53"/>
      <c r="F1398" s="49" t="s">
        <v>723</v>
      </c>
      <c r="G1398" s="49" t="s">
        <v>609</v>
      </c>
      <c r="H1398" s="49" t="s">
        <v>609</v>
      </c>
      <c r="I1398" s="132"/>
      <c r="J1398" s="53"/>
    </row>
    <row r="1399" hidden="1">
      <c r="A1399" s="110" t="s">
        <v>6468</v>
      </c>
      <c r="B1399" s="49" t="s">
        <v>6469</v>
      </c>
      <c r="C1399" s="49" t="s">
        <v>139</v>
      </c>
      <c r="D1399" s="50">
        <v>42031.0</v>
      </c>
      <c r="E1399" s="53"/>
      <c r="F1399" s="49" t="s">
        <v>2596</v>
      </c>
      <c r="G1399" s="49" t="s">
        <v>1891</v>
      </c>
      <c r="H1399" s="49" t="s">
        <v>1891</v>
      </c>
      <c r="I1399" s="132"/>
      <c r="J1399" s="53"/>
    </row>
    <row r="1400" hidden="1">
      <c r="A1400" s="110" t="s">
        <v>6471</v>
      </c>
      <c r="B1400" s="49" t="s">
        <v>6472</v>
      </c>
      <c r="C1400" s="49" t="s">
        <v>139</v>
      </c>
      <c r="D1400" s="50">
        <v>42031.0</v>
      </c>
      <c r="E1400" s="53"/>
      <c r="F1400" s="49" t="s">
        <v>2596</v>
      </c>
      <c r="G1400" s="49" t="s">
        <v>1891</v>
      </c>
      <c r="H1400" s="49" t="s">
        <v>1891</v>
      </c>
      <c r="I1400" s="132"/>
      <c r="J1400" s="53"/>
    </row>
    <row r="1401" hidden="1">
      <c r="A1401" s="110" t="s">
        <v>6473</v>
      </c>
      <c r="B1401" s="49" t="s">
        <v>6474</v>
      </c>
      <c r="C1401" s="49" t="s">
        <v>139</v>
      </c>
      <c r="D1401" s="50">
        <v>42031.0</v>
      </c>
      <c r="E1401" s="133"/>
      <c r="F1401" s="49" t="s">
        <v>2596</v>
      </c>
      <c r="G1401" s="49" t="s">
        <v>1891</v>
      </c>
      <c r="H1401" s="49" t="s">
        <v>1891</v>
      </c>
      <c r="I1401" s="132"/>
      <c r="J1401" s="53"/>
    </row>
    <row r="1402" hidden="1">
      <c r="A1402" s="110" t="s">
        <v>6476</v>
      </c>
      <c r="B1402" s="49" t="s">
        <v>6477</v>
      </c>
      <c r="C1402" s="49" t="s">
        <v>139</v>
      </c>
      <c r="D1402" s="50">
        <v>42031.0</v>
      </c>
      <c r="E1402" s="133"/>
      <c r="F1402" s="49" t="s">
        <v>2596</v>
      </c>
      <c r="G1402" s="49" t="s">
        <v>1891</v>
      </c>
      <c r="H1402" s="49" t="s">
        <v>1891</v>
      </c>
      <c r="I1402" s="132"/>
      <c r="J1402" s="53"/>
    </row>
    <row r="1403" hidden="1">
      <c r="A1403" s="110" t="s">
        <v>6479</v>
      </c>
      <c r="B1403" s="49" t="s">
        <v>6480</v>
      </c>
      <c r="C1403" s="49" t="s">
        <v>139</v>
      </c>
      <c r="D1403" s="50">
        <v>42031.0</v>
      </c>
      <c r="E1403" s="53"/>
      <c r="F1403" s="49" t="s">
        <v>6481</v>
      </c>
      <c r="G1403" s="49" t="s">
        <v>216</v>
      </c>
      <c r="H1403" s="49" t="s">
        <v>216</v>
      </c>
      <c r="I1403" s="132"/>
      <c r="J1403" s="133"/>
    </row>
    <row r="1404" hidden="1">
      <c r="A1404" s="110" t="s">
        <v>6482</v>
      </c>
      <c r="B1404" s="49" t="s">
        <v>6484</v>
      </c>
      <c r="C1404" s="49" t="s">
        <v>139</v>
      </c>
      <c r="D1404" s="50">
        <v>42031.0</v>
      </c>
      <c r="E1404" s="133"/>
      <c r="F1404" s="49" t="s">
        <v>6481</v>
      </c>
      <c r="G1404" s="49" t="s">
        <v>216</v>
      </c>
      <c r="H1404" s="49" t="s">
        <v>216</v>
      </c>
      <c r="I1404" s="132"/>
      <c r="J1404" s="132"/>
    </row>
    <row r="1405" hidden="1">
      <c r="A1405" s="110" t="s">
        <v>6486</v>
      </c>
      <c r="B1405" s="49" t="s">
        <v>6487</v>
      </c>
      <c r="C1405" s="49" t="s">
        <v>139</v>
      </c>
      <c r="D1405" s="50">
        <v>42031.0</v>
      </c>
      <c r="E1405" s="133"/>
      <c r="F1405" s="49" t="s">
        <v>6481</v>
      </c>
      <c r="G1405" s="49" t="s">
        <v>216</v>
      </c>
      <c r="H1405" s="49" t="s">
        <v>216</v>
      </c>
      <c r="I1405" s="132"/>
      <c r="J1405" s="139"/>
    </row>
    <row r="1406" hidden="1">
      <c r="A1406" s="110" t="s">
        <v>6488</v>
      </c>
      <c r="B1406" s="49" t="s">
        <v>6490</v>
      </c>
      <c r="C1406" s="49" t="s">
        <v>139</v>
      </c>
      <c r="D1406" s="50">
        <v>42031.0</v>
      </c>
      <c r="E1406" s="133"/>
      <c r="F1406" s="49" t="s">
        <v>6481</v>
      </c>
      <c r="G1406" s="49" t="s">
        <v>216</v>
      </c>
      <c r="H1406" s="49" t="s">
        <v>216</v>
      </c>
      <c r="I1406" s="132"/>
      <c r="J1406" s="53"/>
    </row>
    <row r="1407" hidden="1">
      <c r="A1407" s="110" t="s">
        <v>6492</v>
      </c>
      <c r="B1407" s="49" t="s">
        <v>6493</v>
      </c>
      <c r="C1407" s="49" t="s">
        <v>139</v>
      </c>
      <c r="D1407" s="50">
        <v>42031.0</v>
      </c>
      <c r="E1407" s="133"/>
      <c r="F1407" s="49" t="s">
        <v>6481</v>
      </c>
      <c r="G1407" s="49" t="s">
        <v>216</v>
      </c>
      <c r="H1407" s="49" t="s">
        <v>216</v>
      </c>
      <c r="I1407" s="132"/>
      <c r="J1407" s="53"/>
    </row>
    <row r="1408" hidden="1">
      <c r="A1408" s="110" t="s">
        <v>6495</v>
      </c>
      <c r="B1408" s="49" t="s">
        <v>6496</v>
      </c>
      <c r="C1408" s="49" t="s">
        <v>139</v>
      </c>
      <c r="D1408" s="50">
        <v>42031.0</v>
      </c>
      <c r="E1408" s="133"/>
      <c r="F1408" s="49" t="s">
        <v>6481</v>
      </c>
      <c r="G1408" s="49" t="s">
        <v>216</v>
      </c>
      <c r="H1408" s="49" t="s">
        <v>216</v>
      </c>
      <c r="I1408" s="132"/>
      <c r="J1408" s="53"/>
    </row>
    <row r="1409" hidden="1">
      <c r="A1409" s="110" t="s">
        <v>6497</v>
      </c>
      <c r="B1409" s="49" t="s">
        <v>6499</v>
      </c>
      <c r="C1409" s="49" t="s">
        <v>139</v>
      </c>
      <c r="D1409" s="50">
        <v>42031.0</v>
      </c>
      <c r="E1409" s="133"/>
      <c r="F1409" s="49" t="s">
        <v>723</v>
      </c>
      <c r="G1409" s="49" t="s">
        <v>177</v>
      </c>
      <c r="H1409" s="49" t="s">
        <v>177</v>
      </c>
      <c r="I1409" s="132"/>
      <c r="J1409" s="53"/>
    </row>
    <row r="1410" hidden="1">
      <c r="A1410" s="110" t="s">
        <v>6501</v>
      </c>
      <c r="B1410" s="49" t="s">
        <v>6502</v>
      </c>
      <c r="C1410" s="49" t="s">
        <v>139</v>
      </c>
      <c r="D1410" s="50">
        <v>42031.0</v>
      </c>
      <c r="E1410" s="133"/>
      <c r="F1410" s="49" t="s">
        <v>2707</v>
      </c>
      <c r="G1410" s="49" t="s">
        <v>216</v>
      </c>
      <c r="H1410" s="49" t="s">
        <v>216</v>
      </c>
      <c r="I1410" s="132"/>
      <c r="J1410" s="53"/>
    </row>
    <row r="1411" hidden="1">
      <c r="A1411" s="110" t="s">
        <v>6503</v>
      </c>
      <c r="B1411" s="49" t="s">
        <v>6504</v>
      </c>
      <c r="C1411" s="49" t="s">
        <v>139</v>
      </c>
      <c r="D1411" s="50">
        <v>42031.0</v>
      </c>
      <c r="E1411" s="133"/>
      <c r="F1411" s="49" t="s">
        <v>3407</v>
      </c>
      <c r="G1411" s="49" t="s">
        <v>6505</v>
      </c>
      <c r="H1411" s="49" t="s">
        <v>6505</v>
      </c>
      <c r="I1411" s="132"/>
      <c r="J1411" s="53"/>
    </row>
    <row r="1412" hidden="1">
      <c r="A1412" s="110" t="s">
        <v>6506</v>
      </c>
      <c r="B1412" s="49" t="s">
        <v>6508</v>
      </c>
      <c r="C1412" s="49" t="s">
        <v>139</v>
      </c>
      <c r="D1412" s="50">
        <v>42031.0</v>
      </c>
      <c r="E1412" s="53"/>
      <c r="F1412" s="49" t="s">
        <v>215</v>
      </c>
      <c r="G1412" s="49" t="s">
        <v>216</v>
      </c>
      <c r="H1412" s="49" t="s">
        <v>216</v>
      </c>
      <c r="I1412" s="132"/>
      <c r="J1412" s="53"/>
    </row>
    <row r="1413" hidden="1">
      <c r="A1413" s="110" t="s">
        <v>6509</v>
      </c>
      <c r="B1413" s="49" t="s">
        <v>6510</v>
      </c>
      <c r="C1413" s="49" t="s">
        <v>139</v>
      </c>
      <c r="D1413" s="50">
        <v>42031.0</v>
      </c>
      <c r="E1413" s="53"/>
      <c r="F1413" s="49" t="s">
        <v>6300</v>
      </c>
      <c r="G1413" s="49" t="s">
        <v>216</v>
      </c>
      <c r="H1413" s="49" t="s">
        <v>216</v>
      </c>
      <c r="I1413" s="132"/>
      <c r="J1413" s="53"/>
    </row>
    <row r="1414" hidden="1">
      <c r="A1414" s="110" t="s">
        <v>6512</v>
      </c>
      <c r="B1414" s="49" t="s">
        <v>6513</v>
      </c>
      <c r="C1414" s="49" t="s">
        <v>139</v>
      </c>
      <c r="D1414" s="50">
        <v>42031.0</v>
      </c>
      <c r="E1414" s="53"/>
      <c r="F1414" s="49" t="s">
        <v>6300</v>
      </c>
      <c r="G1414" s="49" t="s">
        <v>216</v>
      </c>
      <c r="H1414" s="49" t="s">
        <v>216</v>
      </c>
      <c r="I1414" s="132"/>
      <c r="J1414" s="53"/>
    </row>
    <row r="1415" hidden="1">
      <c r="A1415" s="110" t="s">
        <v>6516</v>
      </c>
      <c r="B1415" s="49" t="s">
        <v>6517</v>
      </c>
      <c r="C1415" s="49" t="s">
        <v>139</v>
      </c>
      <c r="D1415" s="50">
        <v>42031.0</v>
      </c>
      <c r="E1415" s="53"/>
      <c r="F1415" s="49" t="s">
        <v>6300</v>
      </c>
      <c r="G1415" s="49" t="s">
        <v>216</v>
      </c>
      <c r="H1415" s="49" t="s">
        <v>216</v>
      </c>
      <c r="I1415" s="132"/>
      <c r="J1415" s="53"/>
    </row>
    <row r="1416" hidden="1">
      <c r="A1416" s="110" t="s">
        <v>6519</v>
      </c>
      <c r="B1416" s="49" t="s">
        <v>6520</v>
      </c>
      <c r="C1416" s="49" t="s">
        <v>139</v>
      </c>
      <c r="D1416" s="50">
        <v>42030.0</v>
      </c>
      <c r="E1416" s="53"/>
      <c r="F1416" s="49" t="s">
        <v>2707</v>
      </c>
      <c r="G1416" s="49" t="s">
        <v>1891</v>
      </c>
      <c r="H1416" s="49" t="s">
        <v>1891</v>
      </c>
      <c r="I1416" s="132"/>
      <c r="J1416" s="53"/>
    </row>
    <row r="1417" hidden="1">
      <c r="A1417" s="110" t="s">
        <v>6523</v>
      </c>
      <c r="B1417" s="49" t="s">
        <v>6525</v>
      </c>
      <c r="C1417" s="49" t="s">
        <v>139</v>
      </c>
      <c r="D1417" s="50">
        <v>42030.0</v>
      </c>
      <c r="E1417" s="53"/>
      <c r="F1417" s="49" t="s">
        <v>723</v>
      </c>
      <c r="G1417" s="49" t="s">
        <v>609</v>
      </c>
      <c r="H1417" s="49" t="s">
        <v>609</v>
      </c>
      <c r="I1417" s="132"/>
      <c r="J1417" s="53"/>
    </row>
    <row r="1418" hidden="1">
      <c r="A1418" s="110" t="s">
        <v>6526</v>
      </c>
      <c r="B1418" s="49" t="s">
        <v>6527</v>
      </c>
      <c r="C1418" s="49" t="s">
        <v>139</v>
      </c>
      <c r="D1418" s="50">
        <v>42030.0</v>
      </c>
      <c r="E1418" s="133"/>
      <c r="F1418" s="49" t="s">
        <v>2596</v>
      </c>
      <c r="G1418" s="49" t="s">
        <v>244</v>
      </c>
      <c r="H1418" s="49" t="s">
        <v>244</v>
      </c>
      <c r="I1418" s="132"/>
      <c r="J1418" s="53"/>
    </row>
    <row r="1419" hidden="1">
      <c r="A1419" s="110" t="s">
        <v>6529</v>
      </c>
      <c r="B1419" s="49" t="s">
        <v>6530</v>
      </c>
      <c r="C1419" s="49" t="s">
        <v>139</v>
      </c>
      <c r="D1419" s="50">
        <v>42029.0</v>
      </c>
      <c r="E1419" s="53"/>
      <c r="F1419" s="49" t="s">
        <v>2707</v>
      </c>
      <c r="G1419" s="49" t="s">
        <v>216</v>
      </c>
      <c r="H1419" s="49" t="s">
        <v>216</v>
      </c>
      <c r="I1419" s="132"/>
      <c r="J1419" s="53"/>
    </row>
    <row r="1420" hidden="1">
      <c r="A1420" s="110" t="s">
        <v>6531</v>
      </c>
      <c r="B1420" s="49" t="s">
        <v>6532</v>
      </c>
      <c r="C1420" s="49" t="s">
        <v>139</v>
      </c>
      <c r="D1420" s="50">
        <v>42029.0</v>
      </c>
      <c r="E1420" s="133"/>
      <c r="F1420" s="49" t="s">
        <v>2707</v>
      </c>
      <c r="G1420" s="49" t="s">
        <v>216</v>
      </c>
      <c r="H1420" s="49" t="s">
        <v>216</v>
      </c>
      <c r="I1420" s="132"/>
      <c r="J1420" s="53"/>
    </row>
    <row r="1421" hidden="1">
      <c r="A1421" s="110" t="s">
        <v>6534</v>
      </c>
      <c r="B1421" s="49" t="s">
        <v>6535</v>
      </c>
      <c r="C1421" s="49" t="s">
        <v>139</v>
      </c>
      <c r="D1421" s="50">
        <v>42029.0</v>
      </c>
      <c r="E1421" s="133"/>
      <c r="F1421" s="49" t="s">
        <v>6300</v>
      </c>
      <c r="G1421" s="49" t="s">
        <v>216</v>
      </c>
      <c r="H1421" s="49" t="s">
        <v>216</v>
      </c>
      <c r="I1421" s="132"/>
      <c r="J1421" s="53"/>
    </row>
    <row r="1422" hidden="1">
      <c r="A1422" s="110" t="s">
        <v>6538</v>
      </c>
      <c r="B1422" s="49" t="s">
        <v>6539</v>
      </c>
      <c r="C1422" s="49" t="s">
        <v>139</v>
      </c>
      <c r="D1422" s="50">
        <v>42029.0</v>
      </c>
      <c r="E1422" s="53"/>
      <c r="F1422" s="49" t="s">
        <v>723</v>
      </c>
      <c r="G1422" s="49" t="s">
        <v>177</v>
      </c>
      <c r="H1422" s="49" t="s">
        <v>177</v>
      </c>
      <c r="I1422" s="132"/>
      <c r="J1422" s="53"/>
    </row>
    <row r="1423" hidden="1">
      <c r="A1423" s="110" t="s">
        <v>6540</v>
      </c>
      <c r="B1423" s="49" t="s">
        <v>6541</v>
      </c>
      <c r="C1423" s="49" t="s">
        <v>139</v>
      </c>
      <c r="D1423" s="50">
        <v>42029.0</v>
      </c>
      <c r="E1423" s="53"/>
      <c r="F1423" s="49" t="s">
        <v>2596</v>
      </c>
      <c r="G1423" s="49" t="s">
        <v>6505</v>
      </c>
      <c r="H1423" s="49" t="s">
        <v>6505</v>
      </c>
      <c r="I1423" s="132"/>
      <c r="J1423" s="53"/>
    </row>
    <row r="1424" hidden="1">
      <c r="A1424" s="110" t="s">
        <v>6543</v>
      </c>
      <c r="B1424" s="49" t="s">
        <v>6544</v>
      </c>
      <c r="C1424" s="49" t="s">
        <v>139</v>
      </c>
      <c r="D1424" s="50">
        <v>42028.0</v>
      </c>
      <c r="E1424" s="133"/>
      <c r="F1424" s="49" t="s">
        <v>6171</v>
      </c>
      <c r="G1424" s="49" t="s">
        <v>216</v>
      </c>
      <c r="H1424" s="49" t="s">
        <v>216</v>
      </c>
      <c r="I1424" s="132"/>
      <c r="J1424" s="53"/>
    </row>
    <row r="1425" hidden="1">
      <c r="A1425" s="110" t="s">
        <v>6545</v>
      </c>
      <c r="B1425" s="49" t="s">
        <v>6546</v>
      </c>
      <c r="C1425" s="49" t="s">
        <v>139</v>
      </c>
      <c r="D1425" s="50">
        <v>42028.0</v>
      </c>
      <c r="E1425" s="133"/>
      <c r="F1425" s="49" t="s">
        <v>147</v>
      </c>
      <c r="G1425" s="49" t="s">
        <v>216</v>
      </c>
      <c r="H1425" s="49" t="s">
        <v>216</v>
      </c>
      <c r="I1425" s="132"/>
      <c r="J1425" s="53"/>
    </row>
    <row r="1426" hidden="1">
      <c r="A1426" s="110" t="s">
        <v>6549</v>
      </c>
      <c r="B1426" s="49" t="s">
        <v>6550</v>
      </c>
      <c r="C1426" s="49" t="s">
        <v>139</v>
      </c>
      <c r="D1426" s="50">
        <v>42028.0</v>
      </c>
      <c r="E1426" s="53"/>
      <c r="F1426" s="49" t="s">
        <v>147</v>
      </c>
      <c r="G1426" s="49" t="s">
        <v>216</v>
      </c>
      <c r="H1426" s="49" t="s">
        <v>216</v>
      </c>
      <c r="I1426" s="132"/>
      <c r="J1426" s="53"/>
    </row>
    <row r="1427" hidden="1">
      <c r="A1427" s="110" t="s">
        <v>6552</v>
      </c>
      <c r="B1427" s="49" t="s">
        <v>6554</v>
      </c>
      <c r="C1427" s="49" t="s">
        <v>139</v>
      </c>
      <c r="D1427" s="50">
        <v>42028.0</v>
      </c>
      <c r="E1427" s="53"/>
      <c r="F1427" s="49" t="s">
        <v>1399</v>
      </c>
      <c r="G1427" s="49" t="s">
        <v>1400</v>
      </c>
      <c r="H1427" s="49" t="s">
        <v>1400</v>
      </c>
      <c r="I1427" s="132"/>
      <c r="J1427" s="53"/>
    </row>
    <row r="1428" hidden="1">
      <c r="A1428" s="110" t="s">
        <v>6555</v>
      </c>
      <c r="B1428" s="49" t="s">
        <v>6556</v>
      </c>
      <c r="C1428" s="49" t="s">
        <v>139</v>
      </c>
      <c r="D1428" s="50">
        <v>42027.0</v>
      </c>
      <c r="E1428" s="133"/>
      <c r="F1428" s="49" t="s">
        <v>3407</v>
      </c>
      <c r="G1428" s="49" t="s">
        <v>216</v>
      </c>
      <c r="H1428" s="49" t="s">
        <v>216</v>
      </c>
      <c r="I1428" s="132"/>
      <c r="J1428" s="53"/>
    </row>
    <row r="1429" hidden="1">
      <c r="A1429" s="110" t="s">
        <v>6557</v>
      </c>
      <c r="B1429" s="49" t="s">
        <v>6558</v>
      </c>
      <c r="C1429" s="49" t="s">
        <v>139</v>
      </c>
      <c r="D1429" s="50">
        <v>42027.0</v>
      </c>
      <c r="E1429" s="133"/>
      <c r="F1429" s="49" t="s">
        <v>6171</v>
      </c>
      <c r="G1429" s="49" t="s">
        <v>216</v>
      </c>
      <c r="H1429" s="49" t="s">
        <v>216</v>
      </c>
      <c r="I1429" s="132"/>
      <c r="J1429" s="53"/>
    </row>
    <row r="1430" hidden="1">
      <c r="A1430" s="110" t="s">
        <v>6560</v>
      </c>
      <c r="B1430" s="49" t="s">
        <v>6561</v>
      </c>
      <c r="C1430" s="49" t="s">
        <v>139</v>
      </c>
      <c r="D1430" s="50">
        <v>42027.0</v>
      </c>
      <c r="E1430" s="53"/>
      <c r="F1430" s="49" t="s">
        <v>723</v>
      </c>
      <c r="G1430" s="49" t="s">
        <v>609</v>
      </c>
      <c r="H1430" s="49" t="s">
        <v>609</v>
      </c>
      <c r="I1430" s="132"/>
      <c r="J1430" s="53"/>
    </row>
    <row r="1431" hidden="1">
      <c r="A1431" s="110" t="s">
        <v>6562</v>
      </c>
      <c r="B1431" s="49" t="s">
        <v>6563</v>
      </c>
      <c r="C1431" s="49" t="s">
        <v>139</v>
      </c>
      <c r="D1431" s="50">
        <v>42025.0</v>
      </c>
      <c r="E1431" s="53"/>
      <c r="F1431" s="49" t="s">
        <v>723</v>
      </c>
      <c r="G1431" s="49" t="s">
        <v>609</v>
      </c>
      <c r="H1431" s="49" t="s">
        <v>609</v>
      </c>
      <c r="I1431" s="132"/>
      <c r="J1431" s="53"/>
    </row>
    <row r="1432" hidden="1">
      <c r="A1432" s="110" t="s">
        <v>6564</v>
      </c>
      <c r="B1432" s="49" t="s">
        <v>6565</v>
      </c>
      <c r="C1432" s="49" t="s">
        <v>139</v>
      </c>
      <c r="D1432" s="50">
        <v>42025.0</v>
      </c>
      <c r="E1432" s="53"/>
      <c r="F1432" s="49" t="s">
        <v>723</v>
      </c>
      <c r="G1432" s="49" t="s">
        <v>609</v>
      </c>
      <c r="H1432" s="49" t="s">
        <v>609</v>
      </c>
      <c r="I1432" s="132"/>
      <c r="J1432" s="53"/>
    </row>
    <row r="1433" hidden="1">
      <c r="A1433" s="110" t="s">
        <v>6566</v>
      </c>
      <c r="B1433" s="49" t="s">
        <v>6420</v>
      </c>
      <c r="C1433" s="49" t="s">
        <v>139</v>
      </c>
      <c r="D1433" s="50">
        <v>42025.0</v>
      </c>
      <c r="E1433" s="133"/>
      <c r="F1433" s="49" t="s">
        <v>723</v>
      </c>
      <c r="G1433" s="49" t="s">
        <v>177</v>
      </c>
      <c r="H1433" s="49" t="s">
        <v>177</v>
      </c>
      <c r="I1433" s="132"/>
      <c r="J1433" s="53"/>
    </row>
    <row r="1434" hidden="1">
      <c r="A1434" s="110" t="s">
        <v>6568</v>
      </c>
      <c r="B1434" s="49" t="s">
        <v>6423</v>
      </c>
      <c r="C1434" s="49" t="s">
        <v>139</v>
      </c>
      <c r="D1434" s="50">
        <v>42025.0</v>
      </c>
      <c r="E1434" s="133"/>
      <c r="F1434" s="49" t="s">
        <v>723</v>
      </c>
      <c r="G1434" s="49" t="s">
        <v>177</v>
      </c>
      <c r="H1434" s="49" t="s">
        <v>177</v>
      </c>
      <c r="I1434" s="132"/>
      <c r="J1434" s="53"/>
    </row>
    <row r="1435" hidden="1">
      <c r="A1435" s="110" t="s">
        <v>6569</v>
      </c>
      <c r="B1435" s="49" t="s">
        <v>6425</v>
      </c>
      <c r="C1435" s="49" t="s">
        <v>139</v>
      </c>
      <c r="D1435" s="50">
        <v>42025.0</v>
      </c>
      <c r="E1435" s="133"/>
      <c r="F1435" s="49" t="s">
        <v>723</v>
      </c>
      <c r="G1435" s="49" t="s">
        <v>177</v>
      </c>
      <c r="H1435" s="49" t="s">
        <v>177</v>
      </c>
      <c r="I1435" s="132"/>
      <c r="J1435" s="53"/>
    </row>
    <row r="1436" hidden="1">
      <c r="A1436" s="110" t="s">
        <v>6571</v>
      </c>
      <c r="B1436" s="49" t="s">
        <v>6573</v>
      </c>
      <c r="C1436" s="49" t="s">
        <v>139</v>
      </c>
      <c r="D1436" s="50">
        <v>42025.0</v>
      </c>
      <c r="E1436" s="53"/>
      <c r="F1436" s="49" t="s">
        <v>3685</v>
      </c>
      <c r="G1436" s="49" t="s">
        <v>216</v>
      </c>
      <c r="H1436" s="49" t="s">
        <v>216</v>
      </c>
      <c r="I1436" s="132"/>
      <c r="J1436" s="53"/>
    </row>
    <row r="1437" hidden="1">
      <c r="A1437" s="110" t="s">
        <v>6574</v>
      </c>
      <c r="B1437" s="49" t="s">
        <v>6575</v>
      </c>
      <c r="C1437" s="49" t="s">
        <v>139</v>
      </c>
      <c r="D1437" s="50">
        <v>42025.0</v>
      </c>
      <c r="E1437" s="53"/>
      <c r="F1437" s="49" t="s">
        <v>1399</v>
      </c>
      <c r="G1437" s="49" t="s">
        <v>1400</v>
      </c>
      <c r="H1437" s="49" t="s">
        <v>1400</v>
      </c>
      <c r="I1437" s="132"/>
      <c r="J1437" s="53"/>
    </row>
    <row r="1438" hidden="1">
      <c r="A1438" s="110" t="s">
        <v>6576</v>
      </c>
      <c r="B1438" s="49" t="s">
        <v>6577</v>
      </c>
      <c r="C1438" s="49" t="s">
        <v>139</v>
      </c>
      <c r="D1438" s="50">
        <v>42024.0</v>
      </c>
      <c r="E1438" s="133"/>
      <c r="F1438" s="49" t="s">
        <v>723</v>
      </c>
      <c r="G1438" s="49" t="s">
        <v>177</v>
      </c>
      <c r="H1438" s="49" t="s">
        <v>177</v>
      </c>
      <c r="I1438" s="132"/>
      <c r="J1438" s="53"/>
    </row>
    <row r="1439" hidden="1">
      <c r="A1439" s="110" t="s">
        <v>6579</v>
      </c>
      <c r="B1439" s="49" t="s">
        <v>6580</v>
      </c>
      <c r="C1439" s="49" t="s">
        <v>139</v>
      </c>
      <c r="D1439" s="50">
        <v>42024.0</v>
      </c>
      <c r="E1439" s="53"/>
      <c r="F1439" s="49" t="s">
        <v>215</v>
      </c>
      <c r="G1439" s="49" t="s">
        <v>177</v>
      </c>
      <c r="H1439" s="49" t="s">
        <v>177</v>
      </c>
      <c r="I1439" s="132"/>
      <c r="J1439" s="53"/>
    </row>
    <row r="1440" hidden="1">
      <c r="A1440" s="110" t="s">
        <v>6581</v>
      </c>
      <c r="B1440" s="49" t="s">
        <v>6583</v>
      </c>
      <c r="C1440" s="49" t="s">
        <v>139</v>
      </c>
      <c r="D1440" s="50">
        <v>42024.0</v>
      </c>
      <c r="E1440" s="53"/>
      <c r="F1440" s="49" t="s">
        <v>6300</v>
      </c>
      <c r="G1440" s="49" t="s">
        <v>216</v>
      </c>
      <c r="H1440" s="49" t="s">
        <v>216</v>
      </c>
      <c r="I1440" s="132"/>
      <c r="J1440" s="53"/>
    </row>
    <row r="1441" hidden="1">
      <c r="A1441" s="110" t="s">
        <v>6585</v>
      </c>
      <c r="B1441" s="49" t="s">
        <v>6586</v>
      </c>
      <c r="C1441" s="49" t="s">
        <v>139</v>
      </c>
      <c r="D1441" s="50">
        <v>42024.0</v>
      </c>
      <c r="E1441" s="53"/>
      <c r="F1441" s="49" t="s">
        <v>723</v>
      </c>
      <c r="G1441" s="49" t="s">
        <v>609</v>
      </c>
      <c r="H1441" s="49" t="s">
        <v>609</v>
      </c>
      <c r="I1441" s="132"/>
      <c r="J1441" s="53"/>
    </row>
    <row r="1442" hidden="1">
      <c r="A1442" s="110" t="s">
        <v>6587</v>
      </c>
      <c r="B1442" s="49" t="s">
        <v>6588</v>
      </c>
      <c r="C1442" s="49" t="s">
        <v>139</v>
      </c>
      <c r="D1442" s="50">
        <v>42023.0</v>
      </c>
      <c r="E1442" s="53"/>
      <c r="F1442" s="49" t="s">
        <v>723</v>
      </c>
      <c r="G1442" s="49" t="s">
        <v>177</v>
      </c>
      <c r="H1442" s="49" t="s">
        <v>177</v>
      </c>
      <c r="I1442" s="132"/>
      <c r="J1442" s="53"/>
    </row>
    <row r="1443" hidden="1">
      <c r="A1443" s="110" t="s">
        <v>6591</v>
      </c>
      <c r="B1443" s="49" t="s">
        <v>6593</v>
      </c>
      <c r="C1443" s="49" t="s">
        <v>139</v>
      </c>
      <c r="D1443" s="50">
        <v>42023.0</v>
      </c>
      <c r="E1443" s="53"/>
      <c r="F1443" s="49" t="s">
        <v>6300</v>
      </c>
      <c r="G1443" s="49" t="s">
        <v>216</v>
      </c>
      <c r="H1443" s="49" t="s">
        <v>216</v>
      </c>
      <c r="I1443" s="132"/>
      <c r="J1443" s="53"/>
    </row>
    <row r="1444" hidden="1">
      <c r="A1444" s="110" t="s">
        <v>6594</v>
      </c>
      <c r="B1444" s="49" t="s">
        <v>6596</v>
      </c>
      <c r="C1444" s="49" t="s">
        <v>139</v>
      </c>
      <c r="D1444" s="50">
        <v>42022.0</v>
      </c>
      <c r="E1444" s="133"/>
      <c r="F1444" s="49" t="s">
        <v>2596</v>
      </c>
      <c r="G1444" s="49" t="s">
        <v>244</v>
      </c>
      <c r="H1444" s="49" t="s">
        <v>244</v>
      </c>
      <c r="I1444" s="132"/>
      <c r="J1444" s="53"/>
    </row>
    <row r="1445" hidden="1">
      <c r="A1445" s="110" t="s">
        <v>6597</v>
      </c>
      <c r="B1445" s="49" t="s">
        <v>6598</v>
      </c>
      <c r="C1445" s="49" t="s">
        <v>139</v>
      </c>
      <c r="D1445" s="50">
        <v>42022.0</v>
      </c>
      <c r="E1445" s="133"/>
      <c r="F1445" s="49" t="s">
        <v>215</v>
      </c>
      <c r="G1445" s="49" t="s">
        <v>177</v>
      </c>
      <c r="H1445" s="49" t="s">
        <v>177</v>
      </c>
      <c r="I1445" s="132"/>
      <c r="J1445" s="53"/>
    </row>
    <row r="1446" hidden="1">
      <c r="A1446" s="110" t="s">
        <v>6599</v>
      </c>
      <c r="B1446" s="49" t="s">
        <v>6601</v>
      </c>
      <c r="C1446" s="49" t="s">
        <v>139</v>
      </c>
      <c r="D1446" s="50">
        <v>42022.0</v>
      </c>
      <c r="E1446" s="53"/>
      <c r="F1446" s="49" t="s">
        <v>215</v>
      </c>
      <c r="G1446" s="49" t="s">
        <v>177</v>
      </c>
      <c r="H1446" s="49" t="s">
        <v>177</v>
      </c>
      <c r="I1446" s="132"/>
      <c r="J1446" s="53"/>
    </row>
    <row r="1447" hidden="1">
      <c r="A1447" s="110" t="s">
        <v>6602</v>
      </c>
      <c r="B1447" s="49" t="s">
        <v>6603</v>
      </c>
      <c r="C1447" s="49" t="s">
        <v>139</v>
      </c>
      <c r="D1447" s="50">
        <v>42022.0</v>
      </c>
      <c r="E1447" s="53"/>
      <c r="F1447" s="49" t="s">
        <v>2707</v>
      </c>
      <c r="G1447" s="49" t="s">
        <v>216</v>
      </c>
      <c r="H1447" s="49" t="s">
        <v>216</v>
      </c>
      <c r="I1447" s="132"/>
      <c r="J1447" s="53"/>
    </row>
    <row r="1448" hidden="1">
      <c r="A1448" s="110" t="s">
        <v>6604</v>
      </c>
      <c r="B1448" s="49" t="s">
        <v>6606</v>
      </c>
      <c r="C1448" s="49" t="s">
        <v>139</v>
      </c>
      <c r="D1448" s="50">
        <v>42022.0</v>
      </c>
      <c r="E1448" s="53"/>
      <c r="F1448" s="49" t="s">
        <v>2707</v>
      </c>
      <c r="G1448" s="49" t="s">
        <v>216</v>
      </c>
      <c r="H1448" s="49" t="s">
        <v>216</v>
      </c>
      <c r="I1448" s="132"/>
      <c r="J1448" s="53"/>
    </row>
    <row r="1449" hidden="1">
      <c r="A1449" s="110" t="s">
        <v>6608</v>
      </c>
      <c r="B1449" s="49" t="s">
        <v>6609</v>
      </c>
      <c r="C1449" s="49" t="s">
        <v>139</v>
      </c>
      <c r="D1449" s="50">
        <v>42022.0</v>
      </c>
      <c r="E1449" s="53"/>
      <c r="F1449" s="49" t="s">
        <v>6300</v>
      </c>
      <c r="G1449" s="49" t="s">
        <v>216</v>
      </c>
      <c r="H1449" s="49" t="s">
        <v>216</v>
      </c>
      <c r="I1449" s="132"/>
      <c r="J1449" s="53"/>
    </row>
    <row r="1450" hidden="1">
      <c r="A1450" s="110" t="s">
        <v>6610</v>
      </c>
      <c r="B1450" s="49" t="s">
        <v>6611</v>
      </c>
      <c r="C1450" s="49" t="s">
        <v>139</v>
      </c>
      <c r="D1450" s="50">
        <v>42022.0</v>
      </c>
      <c r="E1450" s="53"/>
      <c r="F1450" s="49" t="s">
        <v>2596</v>
      </c>
      <c r="G1450" s="49" t="s">
        <v>244</v>
      </c>
      <c r="H1450" s="49" t="s">
        <v>244</v>
      </c>
      <c r="I1450" s="132"/>
      <c r="J1450" s="53"/>
    </row>
    <row r="1451" hidden="1">
      <c r="A1451" s="110" t="s">
        <v>6612</v>
      </c>
      <c r="B1451" s="49" t="s">
        <v>6614</v>
      </c>
      <c r="C1451" s="49" t="s">
        <v>139</v>
      </c>
      <c r="D1451" s="50">
        <v>42022.0</v>
      </c>
      <c r="E1451" s="53"/>
      <c r="F1451" s="49" t="s">
        <v>2596</v>
      </c>
      <c r="G1451" s="49" t="s">
        <v>244</v>
      </c>
      <c r="H1451" s="49" t="s">
        <v>244</v>
      </c>
      <c r="I1451" s="132"/>
      <c r="J1451" s="53"/>
    </row>
    <row r="1452" hidden="1">
      <c r="A1452" s="110" t="s">
        <v>6615</v>
      </c>
      <c r="B1452" s="49" t="s">
        <v>6616</v>
      </c>
      <c r="C1452" s="49" t="s">
        <v>139</v>
      </c>
      <c r="D1452" s="50">
        <v>42021.0</v>
      </c>
      <c r="E1452" s="53"/>
      <c r="F1452" s="49" t="s">
        <v>215</v>
      </c>
      <c r="G1452" s="49" t="s">
        <v>177</v>
      </c>
      <c r="H1452" s="49" t="s">
        <v>177</v>
      </c>
      <c r="I1452" s="132"/>
      <c r="J1452" s="53"/>
    </row>
    <row r="1453" hidden="1">
      <c r="A1453" s="110" t="s">
        <v>6618</v>
      </c>
      <c r="B1453" s="49" t="s">
        <v>6619</v>
      </c>
      <c r="C1453" s="49" t="s">
        <v>139</v>
      </c>
      <c r="D1453" s="50">
        <v>42021.0</v>
      </c>
      <c r="E1453" s="53"/>
      <c r="F1453" s="49" t="s">
        <v>723</v>
      </c>
      <c r="G1453" s="49" t="s">
        <v>609</v>
      </c>
      <c r="H1453" s="49" t="s">
        <v>609</v>
      </c>
      <c r="I1453" s="132"/>
      <c r="J1453" s="53"/>
    </row>
    <row r="1454" hidden="1">
      <c r="A1454" s="110" t="s">
        <v>6620</v>
      </c>
      <c r="B1454" s="49" t="s">
        <v>6626</v>
      </c>
      <c r="C1454" s="49" t="s">
        <v>139</v>
      </c>
      <c r="D1454" s="50">
        <v>42021.0</v>
      </c>
      <c r="E1454" s="53"/>
      <c r="F1454" s="49" t="s">
        <v>723</v>
      </c>
      <c r="G1454" s="49" t="s">
        <v>609</v>
      </c>
      <c r="H1454" s="49" t="s">
        <v>609</v>
      </c>
      <c r="I1454" s="132"/>
      <c r="J1454" s="53"/>
    </row>
    <row r="1455" hidden="1">
      <c r="A1455" s="110" t="s">
        <v>6628</v>
      </c>
      <c r="B1455" s="49" t="s">
        <v>6629</v>
      </c>
      <c r="C1455" s="49" t="s">
        <v>139</v>
      </c>
      <c r="D1455" s="50">
        <v>42021.0</v>
      </c>
      <c r="E1455" s="53"/>
      <c r="F1455" s="49" t="s">
        <v>723</v>
      </c>
      <c r="G1455" s="49" t="s">
        <v>609</v>
      </c>
      <c r="H1455" s="49" t="s">
        <v>609</v>
      </c>
      <c r="I1455" s="132"/>
      <c r="J1455" s="53"/>
    </row>
    <row r="1456" hidden="1">
      <c r="A1456" s="110" t="s">
        <v>6631</v>
      </c>
      <c r="B1456" s="49" t="s">
        <v>6633</v>
      </c>
      <c r="C1456" s="49" t="s">
        <v>139</v>
      </c>
      <c r="D1456" s="50">
        <v>42021.0</v>
      </c>
      <c r="E1456" s="53"/>
      <c r="F1456" s="49" t="s">
        <v>723</v>
      </c>
      <c r="G1456" s="49" t="s">
        <v>609</v>
      </c>
      <c r="H1456" s="49" t="s">
        <v>609</v>
      </c>
      <c r="I1456" s="132"/>
      <c r="J1456" s="53"/>
    </row>
    <row r="1457" hidden="1">
      <c r="A1457" s="110" t="s">
        <v>6634</v>
      </c>
      <c r="B1457" s="49" t="s">
        <v>6635</v>
      </c>
      <c r="C1457" s="49" t="s">
        <v>139</v>
      </c>
      <c r="D1457" s="50">
        <v>42021.0</v>
      </c>
      <c r="E1457" s="53"/>
      <c r="F1457" s="49" t="s">
        <v>723</v>
      </c>
      <c r="G1457" s="49" t="s">
        <v>609</v>
      </c>
      <c r="H1457" s="49" t="s">
        <v>609</v>
      </c>
      <c r="I1457" s="132"/>
      <c r="J1457" s="53"/>
    </row>
    <row r="1458" hidden="1">
      <c r="A1458" s="110" t="s">
        <v>6637</v>
      </c>
      <c r="B1458" s="49" t="s">
        <v>6638</v>
      </c>
      <c r="C1458" s="49" t="s">
        <v>139</v>
      </c>
      <c r="D1458" s="50">
        <v>42021.0</v>
      </c>
      <c r="E1458" s="53"/>
      <c r="F1458" s="49" t="s">
        <v>215</v>
      </c>
      <c r="G1458" s="49" t="s">
        <v>140</v>
      </c>
      <c r="H1458" s="49" t="s">
        <v>216</v>
      </c>
      <c r="I1458" s="132"/>
      <c r="J1458" s="53"/>
    </row>
    <row r="1459" hidden="1">
      <c r="A1459" s="110" t="s">
        <v>6639</v>
      </c>
      <c r="B1459" s="49" t="s">
        <v>6640</v>
      </c>
      <c r="C1459" s="49" t="s">
        <v>139</v>
      </c>
      <c r="D1459" s="50">
        <v>42020.0</v>
      </c>
      <c r="E1459" s="133"/>
      <c r="F1459" s="49" t="s">
        <v>2596</v>
      </c>
      <c r="G1459" s="49" t="s">
        <v>609</v>
      </c>
      <c r="H1459" s="49" t="s">
        <v>609</v>
      </c>
      <c r="I1459" s="132"/>
      <c r="J1459" s="53"/>
    </row>
    <row r="1460" hidden="1">
      <c r="A1460" s="110" t="s">
        <v>6643</v>
      </c>
      <c r="B1460" s="49" t="s">
        <v>6577</v>
      </c>
      <c r="C1460" s="49" t="s">
        <v>139</v>
      </c>
      <c r="D1460" s="50">
        <v>42020.0</v>
      </c>
      <c r="E1460" s="133"/>
      <c r="F1460" s="49" t="s">
        <v>723</v>
      </c>
      <c r="G1460" s="49" t="s">
        <v>177</v>
      </c>
      <c r="H1460" s="49" t="s">
        <v>177</v>
      </c>
      <c r="I1460" s="132"/>
      <c r="J1460" s="53"/>
    </row>
    <row r="1461" hidden="1">
      <c r="A1461" s="110" t="s">
        <v>6644</v>
      </c>
      <c r="B1461" s="49" t="s">
        <v>6645</v>
      </c>
      <c r="C1461" s="49" t="s">
        <v>139</v>
      </c>
      <c r="D1461" s="50">
        <v>42020.0</v>
      </c>
      <c r="E1461" s="53"/>
      <c r="F1461" s="49" t="s">
        <v>6300</v>
      </c>
      <c r="G1461" s="49" t="s">
        <v>216</v>
      </c>
      <c r="H1461" s="49" t="s">
        <v>216</v>
      </c>
      <c r="I1461" s="132"/>
      <c r="J1461" s="53"/>
    </row>
    <row r="1462" hidden="1">
      <c r="A1462" s="110" t="s">
        <v>6646</v>
      </c>
      <c r="B1462" s="49" t="s">
        <v>6649</v>
      </c>
      <c r="C1462" s="49" t="s">
        <v>139</v>
      </c>
      <c r="D1462" s="50">
        <v>42019.0</v>
      </c>
      <c r="E1462" s="53"/>
      <c r="F1462" s="49" t="s">
        <v>6300</v>
      </c>
      <c r="G1462" s="49" t="s">
        <v>216</v>
      </c>
      <c r="H1462" s="49" t="s">
        <v>216</v>
      </c>
      <c r="I1462" s="132"/>
      <c r="J1462" s="53"/>
    </row>
    <row r="1463" hidden="1">
      <c r="A1463" s="110" t="s">
        <v>6650</v>
      </c>
      <c r="B1463" s="49" t="s">
        <v>6539</v>
      </c>
      <c r="C1463" s="49" t="s">
        <v>139</v>
      </c>
      <c r="D1463" s="50">
        <v>42019.0</v>
      </c>
      <c r="E1463" s="53"/>
      <c r="F1463" s="49" t="s">
        <v>723</v>
      </c>
      <c r="G1463" s="49" t="s">
        <v>177</v>
      </c>
      <c r="H1463" s="49" t="s">
        <v>177</v>
      </c>
      <c r="I1463" s="132"/>
      <c r="J1463" s="53"/>
    </row>
    <row r="1464" hidden="1">
      <c r="A1464" s="110" t="s">
        <v>6651</v>
      </c>
      <c r="B1464" s="49" t="s">
        <v>6654</v>
      </c>
      <c r="C1464" s="49" t="s">
        <v>139</v>
      </c>
      <c r="D1464" s="50">
        <v>42018.0</v>
      </c>
      <c r="E1464" s="133"/>
      <c r="F1464" s="49" t="s">
        <v>6300</v>
      </c>
      <c r="G1464" s="49" t="s">
        <v>216</v>
      </c>
      <c r="H1464" s="49" t="s">
        <v>216</v>
      </c>
      <c r="I1464" s="132"/>
      <c r="J1464" s="53"/>
    </row>
    <row r="1465" hidden="1">
      <c r="A1465" s="110" t="s">
        <v>6655</v>
      </c>
      <c r="B1465" s="49" t="s">
        <v>6657</v>
      </c>
      <c r="C1465" s="49" t="s">
        <v>139</v>
      </c>
      <c r="D1465" s="50">
        <v>42018.0</v>
      </c>
      <c r="E1465" s="53"/>
      <c r="F1465" s="49" t="s">
        <v>6481</v>
      </c>
      <c r="G1465" s="49" t="s">
        <v>216</v>
      </c>
      <c r="H1465" s="49" t="s">
        <v>216</v>
      </c>
      <c r="I1465" s="132"/>
      <c r="J1465" s="53"/>
    </row>
    <row r="1466" hidden="1">
      <c r="A1466" s="110" t="s">
        <v>6658</v>
      </c>
      <c r="B1466" s="49" t="s">
        <v>6659</v>
      </c>
      <c r="C1466" s="49" t="s">
        <v>139</v>
      </c>
      <c r="D1466" s="50">
        <v>42018.0</v>
      </c>
      <c r="E1466" s="53"/>
      <c r="F1466" s="49" t="s">
        <v>723</v>
      </c>
      <c r="G1466" s="49" t="s">
        <v>609</v>
      </c>
      <c r="H1466" s="49" t="s">
        <v>609</v>
      </c>
      <c r="I1466" s="132"/>
      <c r="J1466" s="53"/>
    </row>
    <row r="1467" hidden="1">
      <c r="A1467" s="110" t="s">
        <v>6661</v>
      </c>
      <c r="B1467" s="49" t="s">
        <v>6662</v>
      </c>
      <c r="C1467" s="49" t="s">
        <v>139</v>
      </c>
      <c r="D1467" s="50">
        <v>42018.0</v>
      </c>
      <c r="E1467" s="133"/>
      <c r="F1467" s="49" t="s">
        <v>723</v>
      </c>
      <c r="G1467" s="49" t="s">
        <v>609</v>
      </c>
      <c r="H1467" s="49" t="s">
        <v>609</v>
      </c>
      <c r="I1467" s="132"/>
      <c r="J1467" s="53"/>
    </row>
    <row r="1468" hidden="1">
      <c r="A1468" s="110" t="s">
        <v>6664</v>
      </c>
      <c r="B1468" s="49" t="s">
        <v>6666</v>
      </c>
      <c r="C1468" s="49" t="s">
        <v>139</v>
      </c>
      <c r="D1468" s="50">
        <v>42017.0</v>
      </c>
      <c r="E1468" s="133"/>
      <c r="F1468" s="49" t="s">
        <v>3407</v>
      </c>
      <c r="G1468" s="49" t="s">
        <v>216</v>
      </c>
      <c r="H1468" s="49" t="s">
        <v>216</v>
      </c>
      <c r="I1468" s="132"/>
      <c r="J1468" s="53"/>
    </row>
    <row r="1469" hidden="1">
      <c r="A1469" s="110" t="s">
        <v>6667</v>
      </c>
      <c r="B1469" s="49" t="s">
        <v>6668</v>
      </c>
      <c r="C1469" s="49" t="s">
        <v>139</v>
      </c>
      <c r="D1469" s="50">
        <v>42017.0</v>
      </c>
      <c r="E1469" s="133"/>
      <c r="F1469" s="49" t="s">
        <v>6481</v>
      </c>
      <c r="G1469" s="49" t="s">
        <v>216</v>
      </c>
      <c r="H1469" s="49" t="s">
        <v>216</v>
      </c>
      <c r="I1469" s="132"/>
      <c r="J1469" s="53"/>
    </row>
    <row r="1470" hidden="1">
      <c r="A1470" s="110" t="s">
        <v>6670</v>
      </c>
      <c r="B1470" s="49" t="s">
        <v>6671</v>
      </c>
      <c r="C1470" s="49" t="s">
        <v>139</v>
      </c>
      <c r="D1470" s="50">
        <v>42017.0</v>
      </c>
      <c r="E1470" s="133"/>
      <c r="F1470" s="49" t="s">
        <v>6481</v>
      </c>
      <c r="G1470" s="49" t="s">
        <v>216</v>
      </c>
      <c r="H1470" s="49" t="s">
        <v>216</v>
      </c>
      <c r="I1470" s="132"/>
      <c r="J1470" s="53"/>
    </row>
    <row r="1471" hidden="1">
      <c r="A1471" s="110" t="s">
        <v>6672</v>
      </c>
      <c r="B1471" s="49" t="s">
        <v>6673</v>
      </c>
      <c r="C1471" s="49" t="s">
        <v>139</v>
      </c>
      <c r="D1471" s="50">
        <v>42017.0</v>
      </c>
      <c r="E1471" s="133"/>
      <c r="F1471" s="49" t="s">
        <v>2707</v>
      </c>
      <c r="G1471" s="49" t="s">
        <v>216</v>
      </c>
      <c r="H1471" s="49" t="s">
        <v>216</v>
      </c>
      <c r="I1471" s="132"/>
      <c r="J1471" s="53"/>
    </row>
    <row r="1472" hidden="1">
      <c r="A1472" s="110" t="s">
        <v>6675</v>
      </c>
      <c r="B1472" s="49" t="s">
        <v>6676</v>
      </c>
      <c r="C1472" s="49" t="s">
        <v>139</v>
      </c>
      <c r="D1472" s="50">
        <v>42017.0</v>
      </c>
      <c r="E1472" s="133"/>
      <c r="F1472" s="49" t="s">
        <v>147</v>
      </c>
      <c r="G1472" s="49" t="s">
        <v>283</v>
      </c>
      <c r="H1472" s="49" t="s">
        <v>283</v>
      </c>
      <c r="I1472" s="132"/>
      <c r="J1472" s="53"/>
    </row>
    <row r="1473" hidden="1">
      <c r="A1473" s="110" t="s">
        <v>6678</v>
      </c>
      <c r="B1473" s="49" t="s">
        <v>6679</v>
      </c>
      <c r="C1473" s="49" t="s">
        <v>139</v>
      </c>
      <c r="D1473" s="50">
        <v>42016.0</v>
      </c>
      <c r="E1473" s="133"/>
      <c r="F1473" s="49" t="s">
        <v>6681</v>
      </c>
      <c r="G1473" s="49" t="s">
        <v>1400</v>
      </c>
      <c r="H1473" s="49" t="s">
        <v>1400</v>
      </c>
      <c r="I1473" s="132"/>
      <c r="J1473" s="53"/>
    </row>
    <row r="1474" hidden="1">
      <c r="A1474" s="110" t="s">
        <v>6683</v>
      </c>
      <c r="B1474" s="49" t="s">
        <v>6684</v>
      </c>
      <c r="C1474" s="49" t="s">
        <v>139</v>
      </c>
      <c r="D1474" s="50">
        <v>42016.0</v>
      </c>
      <c r="E1474" s="53"/>
      <c r="F1474" s="49" t="s">
        <v>2707</v>
      </c>
      <c r="G1474" s="49" t="s">
        <v>216</v>
      </c>
      <c r="H1474" s="49" t="s">
        <v>216</v>
      </c>
      <c r="I1474" s="132"/>
      <c r="J1474" s="53"/>
    </row>
    <row r="1475" hidden="1">
      <c r="A1475" s="110" t="s">
        <v>6685</v>
      </c>
      <c r="B1475" s="49" t="s">
        <v>6686</v>
      </c>
      <c r="C1475" s="49" t="s">
        <v>139</v>
      </c>
      <c r="D1475" s="50">
        <v>42016.0</v>
      </c>
      <c r="E1475" s="133"/>
      <c r="F1475" s="49" t="s">
        <v>147</v>
      </c>
      <c r="G1475" s="49" t="s">
        <v>283</v>
      </c>
      <c r="H1475" s="49" t="s">
        <v>283</v>
      </c>
      <c r="I1475" s="132"/>
      <c r="J1475" s="53"/>
    </row>
    <row r="1476" hidden="1">
      <c r="A1476" s="110" t="s">
        <v>6687</v>
      </c>
      <c r="B1476" s="49" t="s">
        <v>6689</v>
      </c>
      <c r="C1476" s="49" t="s">
        <v>139</v>
      </c>
      <c r="D1476" s="50">
        <v>42016.0</v>
      </c>
      <c r="E1476" s="133"/>
      <c r="F1476" s="49" t="s">
        <v>147</v>
      </c>
      <c r="G1476" s="49" t="s">
        <v>283</v>
      </c>
      <c r="H1476" s="49" t="s">
        <v>283</v>
      </c>
      <c r="I1476" s="132"/>
      <c r="J1476" s="53"/>
    </row>
    <row r="1477" hidden="1">
      <c r="A1477" s="110" t="s">
        <v>6690</v>
      </c>
      <c r="B1477" s="49" t="s">
        <v>6691</v>
      </c>
      <c r="C1477" s="49" t="s">
        <v>139</v>
      </c>
      <c r="D1477" s="50">
        <v>42016.0</v>
      </c>
      <c r="E1477" s="53"/>
      <c r="F1477" s="49" t="s">
        <v>119</v>
      </c>
      <c r="G1477" s="49" t="s">
        <v>2926</v>
      </c>
      <c r="H1477" s="49" t="s">
        <v>6026</v>
      </c>
      <c r="I1477" s="132"/>
      <c r="J1477" s="53"/>
    </row>
    <row r="1478" hidden="1">
      <c r="A1478" s="110" t="s">
        <v>6692</v>
      </c>
      <c r="B1478" s="49" t="s">
        <v>6694</v>
      </c>
      <c r="C1478" s="49" t="s">
        <v>139</v>
      </c>
      <c r="D1478" s="50">
        <v>42016.0</v>
      </c>
      <c r="E1478" s="53"/>
      <c r="F1478" s="49" t="s">
        <v>119</v>
      </c>
      <c r="G1478" s="49" t="s">
        <v>2926</v>
      </c>
      <c r="H1478" s="49" t="s">
        <v>6026</v>
      </c>
      <c r="I1478" s="132"/>
      <c r="J1478" s="53"/>
    </row>
    <row r="1479" hidden="1">
      <c r="A1479" s="110" t="s">
        <v>6695</v>
      </c>
      <c r="B1479" s="49" t="s">
        <v>6696</v>
      </c>
      <c r="C1479" s="49" t="s">
        <v>139</v>
      </c>
      <c r="D1479" s="50">
        <v>42015.0</v>
      </c>
      <c r="E1479" s="133"/>
      <c r="F1479" s="49" t="s">
        <v>166</v>
      </c>
      <c r="G1479" s="49" t="s">
        <v>2197</v>
      </c>
      <c r="H1479" s="49" t="s">
        <v>140</v>
      </c>
      <c r="I1479" s="132"/>
      <c r="J1479" s="53"/>
    </row>
    <row r="1480" hidden="1">
      <c r="A1480" s="110" t="s">
        <v>6697</v>
      </c>
      <c r="B1480" s="49" t="s">
        <v>6415</v>
      </c>
      <c r="C1480" s="49" t="s">
        <v>139</v>
      </c>
      <c r="D1480" s="50">
        <v>42015.0</v>
      </c>
      <c r="E1480" s="133"/>
      <c r="F1480" s="49" t="s">
        <v>723</v>
      </c>
      <c r="G1480" s="49" t="s">
        <v>609</v>
      </c>
      <c r="H1480" s="49" t="s">
        <v>216</v>
      </c>
      <c r="I1480" s="132"/>
      <c r="J1480" s="53"/>
    </row>
    <row r="1481" hidden="1">
      <c r="A1481" s="110" t="s">
        <v>6699</v>
      </c>
      <c r="B1481" s="49" t="s">
        <v>6700</v>
      </c>
      <c r="C1481" s="49" t="s">
        <v>139</v>
      </c>
      <c r="D1481" s="50">
        <v>42015.0</v>
      </c>
      <c r="E1481" s="133"/>
      <c r="F1481" s="49" t="s">
        <v>3407</v>
      </c>
      <c r="G1481" s="49" t="s">
        <v>216</v>
      </c>
      <c r="H1481" s="49" t="s">
        <v>216</v>
      </c>
      <c r="I1481" s="132"/>
      <c r="J1481" s="53"/>
    </row>
    <row r="1482" hidden="1">
      <c r="A1482" s="110" t="s">
        <v>6701</v>
      </c>
      <c r="B1482" s="49" t="s">
        <v>6575</v>
      </c>
      <c r="C1482" s="49" t="s">
        <v>139</v>
      </c>
      <c r="D1482" s="50">
        <v>42015.0</v>
      </c>
      <c r="E1482" s="53"/>
      <c r="F1482" s="49" t="s">
        <v>1399</v>
      </c>
      <c r="G1482" s="49" t="s">
        <v>1400</v>
      </c>
      <c r="H1482" s="49" t="s">
        <v>1400</v>
      </c>
      <c r="I1482" s="132"/>
      <c r="J1482" s="53"/>
    </row>
    <row r="1483" hidden="1">
      <c r="A1483" s="110" t="s">
        <v>6703</v>
      </c>
      <c r="B1483" s="49" t="s">
        <v>6704</v>
      </c>
      <c r="C1483" s="49" t="s">
        <v>139</v>
      </c>
      <c r="D1483" s="50">
        <v>42015.0</v>
      </c>
      <c r="E1483" s="53"/>
      <c r="F1483" s="49" t="s">
        <v>3685</v>
      </c>
      <c r="G1483" s="49" t="s">
        <v>216</v>
      </c>
      <c r="H1483" s="49" t="s">
        <v>216</v>
      </c>
      <c r="I1483" s="132"/>
      <c r="J1483" s="53"/>
    </row>
    <row r="1484" hidden="1">
      <c r="A1484" s="110" t="s">
        <v>6705</v>
      </c>
      <c r="B1484" s="49" t="s">
        <v>6707</v>
      </c>
      <c r="C1484" s="49" t="s">
        <v>139</v>
      </c>
      <c r="D1484" s="50">
        <v>42015.0</v>
      </c>
      <c r="E1484" s="53"/>
      <c r="F1484" s="49" t="s">
        <v>3685</v>
      </c>
      <c r="G1484" s="49" t="s">
        <v>216</v>
      </c>
      <c r="H1484" s="49" t="s">
        <v>216</v>
      </c>
      <c r="I1484" s="132"/>
      <c r="J1484" s="53"/>
    </row>
    <row r="1485" hidden="1">
      <c r="A1485" s="110" t="s">
        <v>6709</v>
      </c>
      <c r="B1485" s="49" t="s">
        <v>6710</v>
      </c>
      <c r="C1485" s="49" t="s">
        <v>139</v>
      </c>
      <c r="D1485" s="50">
        <v>42014.0</v>
      </c>
      <c r="E1485" s="133"/>
      <c r="F1485" s="49" t="s">
        <v>2596</v>
      </c>
      <c r="G1485" s="49" t="s">
        <v>609</v>
      </c>
      <c r="H1485" s="49" t="s">
        <v>609</v>
      </c>
      <c r="I1485" s="132"/>
      <c r="J1485" s="53"/>
    </row>
    <row r="1486" hidden="1">
      <c r="A1486" s="110" t="s">
        <v>6712</v>
      </c>
      <c r="B1486" s="49" t="s">
        <v>6714</v>
      </c>
      <c r="C1486" s="49" t="s">
        <v>139</v>
      </c>
      <c r="D1486" s="50">
        <v>42014.0</v>
      </c>
      <c r="E1486" s="133"/>
      <c r="F1486" s="49" t="s">
        <v>723</v>
      </c>
      <c r="G1486" s="49" t="s">
        <v>609</v>
      </c>
      <c r="H1486" s="49" t="s">
        <v>609</v>
      </c>
      <c r="I1486" s="132"/>
      <c r="J1486" s="53"/>
    </row>
    <row r="1487" hidden="1">
      <c r="A1487" s="110" t="s">
        <v>6715</v>
      </c>
      <c r="B1487" s="49" t="s">
        <v>6717</v>
      </c>
      <c r="C1487" s="49" t="s">
        <v>139</v>
      </c>
      <c r="D1487" s="50">
        <v>42014.0</v>
      </c>
      <c r="E1487" s="133"/>
      <c r="F1487" s="49" t="s">
        <v>6171</v>
      </c>
      <c r="G1487" s="49" t="s">
        <v>216</v>
      </c>
      <c r="H1487" s="49" t="s">
        <v>216</v>
      </c>
      <c r="I1487" s="132"/>
      <c r="J1487" s="53"/>
    </row>
    <row r="1488" hidden="1">
      <c r="A1488" s="110" t="s">
        <v>6718</v>
      </c>
      <c r="B1488" s="49" t="s">
        <v>6720</v>
      </c>
      <c r="C1488" s="49" t="s">
        <v>139</v>
      </c>
      <c r="D1488" s="50">
        <v>42014.0</v>
      </c>
      <c r="E1488" s="53"/>
      <c r="F1488" s="49" t="s">
        <v>6171</v>
      </c>
      <c r="G1488" s="49" t="s">
        <v>216</v>
      </c>
      <c r="H1488" s="49" t="s">
        <v>216</v>
      </c>
      <c r="I1488" s="132"/>
      <c r="J1488" s="53"/>
    </row>
    <row r="1489" hidden="1">
      <c r="A1489" s="110" t="s">
        <v>6721</v>
      </c>
      <c r="B1489" s="49" t="s">
        <v>6722</v>
      </c>
      <c r="C1489" s="49" t="s">
        <v>139</v>
      </c>
      <c r="D1489" s="50">
        <v>42014.0</v>
      </c>
      <c r="E1489" s="53"/>
      <c r="F1489" s="49" t="s">
        <v>147</v>
      </c>
      <c r="G1489" s="49" t="s">
        <v>216</v>
      </c>
      <c r="H1489" s="49" t="s">
        <v>216</v>
      </c>
      <c r="I1489" s="132"/>
      <c r="J1489" s="53"/>
    </row>
    <row r="1490" hidden="1">
      <c r="A1490" s="110" t="s">
        <v>6725</v>
      </c>
      <c r="B1490" s="49" t="s">
        <v>6726</v>
      </c>
      <c r="C1490" s="49" t="s">
        <v>139</v>
      </c>
      <c r="D1490" s="50">
        <v>42014.0</v>
      </c>
      <c r="E1490" s="53"/>
      <c r="F1490" s="49" t="s">
        <v>147</v>
      </c>
      <c r="G1490" s="49" t="s">
        <v>216</v>
      </c>
      <c r="H1490" s="49" t="s">
        <v>216</v>
      </c>
      <c r="I1490" s="132"/>
      <c r="J1490" s="53"/>
    </row>
    <row r="1491" hidden="1">
      <c r="A1491" s="110" t="s">
        <v>6729</v>
      </c>
      <c r="B1491" s="49" t="s">
        <v>6730</v>
      </c>
      <c r="C1491" s="49" t="s">
        <v>139</v>
      </c>
      <c r="D1491" s="50">
        <v>42014.0</v>
      </c>
      <c r="E1491" s="53"/>
      <c r="F1491" s="49" t="s">
        <v>147</v>
      </c>
      <c r="G1491" s="49" t="s">
        <v>216</v>
      </c>
      <c r="H1491" s="49" t="s">
        <v>216</v>
      </c>
      <c r="I1491" s="132"/>
      <c r="J1491" s="53"/>
    </row>
    <row r="1492" hidden="1">
      <c r="A1492" s="110" t="s">
        <v>6731</v>
      </c>
      <c r="B1492" s="49" t="s">
        <v>6732</v>
      </c>
      <c r="C1492" s="49" t="s">
        <v>139</v>
      </c>
      <c r="D1492" s="50">
        <v>42014.0</v>
      </c>
      <c r="E1492" s="53"/>
      <c r="F1492" s="49" t="s">
        <v>2707</v>
      </c>
      <c r="G1492" s="49" t="s">
        <v>216</v>
      </c>
      <c r="H1492" s="49" t="s">
        <v>216</v>
      </c>
      <c r="I1492" s="132"/>
      <c r="J1492" s="53"/>
    </row>
    <row r="1493" hidden="1">
      <c r="A1493" s="110" t="s">
        <v>6734</v>
      </c>
      <c r="B1493" s="49" t="s">
        <v>6736</v>
      </c>
      <c r="C1493" s="49" t="s">
        <v>139</v>
      </c>
      <c r="D1493" s="50">
        <v>42014.0</v>
      </c>
      <c r="E1493" s="53"/>
      <c r="F1493" s="49" t="s">
        <v>2707</v>
      </c>
      <c r="G1493" s="49" t="s">
        <v>216</v>
      </c>
      <c r="H1493" s="49" t="s">
        <v>216</v>
      </c>
      <c r="I1493" s="132"/>
      <c r="J1493" s="53"/>
    </row>
    <row r="1494" hidden="1">
      <c r="A1494" s="110" t="s">
        <v>6737</v>
      </c>
      <c r="B1494" s="49" t="s">
        <v>6740</v>
      </c>
      <c r="C1494" s="49" t="s">
        <v>139</v>
      </c>
      <c r="D1494" s="50">
        <v>42014.0</v>
      </c>
      <c r="E1494" s="53"/>
      <c r="F1494" s="49" t="s">
        <v>2707</v>
      </c>
      <c r="G1494" s="49" t="s">
        <v>216</v>
      </c>
      <c r="H1494" s="49" t="s">
        <v>216</v>
      </c>
      <c r="I1494" s="132"/>
      <c r="J1494" s="53"/>
    </row>
    <row r="1495" hidden="1">
      <c r="A1495" s="110" t="s">
        <v>6741</v>
      </c>
      <c r="B1495" s="49" t="s">
        <v>6742</v>
      </c>
      <c r="C1495" s="49" t="s">
        <v>139</v>
      </c>
      <c r="D1495" s="50">
        <v>42013.0</v>
      </c>
      <c r="E1495" s="133"/>
      <c r="F1495" s="49" t="s">
        <v>723</v>
      </c>
      <c r="G1495" s="49" t="s">
        <v>609</v>
      </c>
      <c r="H1495" s="49" t="s">
        <v>609</v>
      </c>
      <c r="I1495" s="132"/>
      <c r="J1495" s="53"/>
    </row>
    <row r="1496" hidden="1">
      <c r="A1496" s="110" t="s">
        <v>6745</v>
      </c>
      <c r="B1496" s="49" t="s">
        <v>6746</v>
      </c>
      <c r="C1496" s="49" t="s">
        <v>139</v>
      </c>
      <c r="D1496" s="50">
        <v>42013.0</v>
      </c>
      <c r="E1496" s="133"/>
      <c r="F1496" s="49" t="s">
        <v>2707</v>
      </c>
      <c r="G1496" s="49" t="s">
        <v>216</v>
      </c>
      <c r="H1496" s="49" t="s">
        <v>216</v>
      </c>
      <c r="I1496" s="132"/>
      <c r="J1496" s="53"/>
    </row>
    <row r="1497" hidden="1">
      <c r="A1497" s="110" t="s">
        <v>6747</v>
      </c>
      <c r="B1497" s="49" t="s">
        <v>6748</v>
      </c>
      <c r="C1497" s="49" t="s">
        <v>139</v>
      </c>
      <c r="D1497" s="50">
        <v>42013.0</v>
      </c>
      <c r="E1497" s="53"/>
      <c r="F1497" s="49" t="s">
        <v>723</v>
      </c>
      <c r="G1497" s="49" t="s">
        <v>609</v>
      </c>
      <c r="H1497" s="49" t="s">
        <v>609</v>
      </c>
      <c r="I1497" s="132"/>
      <c r="J1497" s="53"/>
    </row>
    <row r="1498" hidden="1">
      <c r="A1498" s="110" t="s">
        <v>6751</v>
      </c>
      <c r="B1498" s="49" t="s">
        <v>6752</v>
      </c>
      <c r="C1498" s="49" t="s">
        <v>139</v>
      </c>
      <c r="D1498" s="50">
        <v>42013.0</v>
      </c>
      <c r="E1498" s="133"/>
      <c r="F1498" s="49" t="s">
        <v>723</v>
      </c>
      <c r="G1498" s="49" t="s">
        <v>609</v>
      </c>
      <c r="H1498" s="49" t="s">
        <v>609</v>
      </c>
      <c r="I1498" s="132"/>
      <c r="J1498" s="53"/>
    </row>
    <row r="1499" hidden="1">
      <c r="A1499" s="110" t="s">
        <v>6754</v>
      </c>
      <c r="B1499" s="49" t="s">
        <v>6420</v>
      </c>
      <c r="C1499" s="49" t="s">
        <v>139</v>
      </c>
      <c r="D1499" s="50">
        <v>42013.0</v>
      </c>
      <c r="E1499" s="133"/>
      <c r="F1499" s="49" t="s">
        <v>723</v>
      </c>
      <c r="G1499" s="49" t="s">
        <v>177</v>
      </c>
      <c r="H1499" s="49" t="s">
        <v>177</v>
      </c>
      <c r="I1499" s="132"/>
      <c r="J1499" s="53"/>
    </row>
    <row r="1500" hidden="1">
      <c r="A1500" s="110" t="s">
        <v>6756</v>
      </c>
      <c r="B1500" s="49" t="s">
        <v>6425</v>
      </c>
      <c r="C1500" s="49" t="s">
        <v>139</v>
      </c>
      <c r="D1500" s="50">
        <v>42013.0</v>
      </c>
      <c r="E1500" s="53"/>
      <c r="F1500" s="49" t="s">
        <v>723</v>
      </c>
      <c r="G1500" s="49" t="s">
        <v>177</v>
      </c>
      <c r="H1500" s="49" t="s">
        <v>177</v>
      </c>
      <c r="I1500" s="132"/>
      <c r="J1500" s="53"/>
    </row>
    <row r="1501" hidden="1">
      <c r="A1501" s="110" t="s">
        <v>6757</v>
      </c>
      <c r="B1501" s="49" t="s">
        <v>6423</v>
      </c>
      <c r="C1501" s="49" t="s">
        <v>139</v>
      </c>
      <c r="D1501" s="50">
        <v>42013.0</v>
      </c>
      <c r="E1501" s="53"/>
      <c r="F1501" s="49" t="s">
        <v>723</v>
      </c>
      <c r="G1501" s="49" t="s">
        <v>177</v>
      </c>
      <c r="H1501" s="49" t="s">
        <v>177</v>
      </c>
      <c r="I1501" s="132"/>
      <c r="J1501" s="53"/>
    </row>
    <row r="1502" hidden="1">
      <c r="A1502" s="110" t="s">
        <v>6758</v>
      </c>
      <c r="B1502" s="49" t="s">
        <v>6760</v>
      </c>
      <c r="C1502" s="49" t="s">
        <v>139</v>
      </c>
      <c r="D1502" s="50">
        <v>42013.0</v>
      </c>
      <c r="E1502" s="133"/>
      <c r="F1502" s="49" t="s">
        <v>6300</v>
      </c>
      <c r="G1502" s="49" t="s">
        <v>216</v>
      </c>
      <c r="H1502" s="49" t="s">
        <v>216</v>
      </c>
      <c r="I1502" s="132"/>
      <c r="J1502" s="53"/>
    </row>
    <row r="1503" hidden="1">
      <c r="A1503" s="110" t="s">
        <v>6761</v>
      </c>
      <c r="B1503" s="49" t="s">
        <v>6762</v>
      </c>
      <c r="C1503" s="49" t="s">
        <v>139</v>
      </c>
      <c r="D1503" s="50">
        <v>42013.0</v>
      </c>
      <c r="E1503" s="133"/>
      <c r="F1503" s="49" t="s">
        <v>6300</v>
      </c>
      <c r="G1503" s="49" t="s">
        <v>216</v>
      </c>
      <c r="H1503" s="49" t="s">
        <v>216</v>
      </c>
      <c r="I1503" s="132"/>
      <c r="J1503" s="53"/>
    </row>
    <row r="1504" hidden="1">
      <c r="A1504" s="110" t="s">
        <v>6763</v>
      </c>
      <c r="B1504" s="49" t="s">
        <v>6764</v>
      </c>
      <c r="C1504" s="49" t="s">
        <v>139</v>
      </c>
      <c r="D1504" s="50">
        <v>42013.0</v>
      </c>
      <c r="E1504" s="53"/>
      <c r="F1504" s="49" t="s">
        <v>723</v>
      </c>
      <c r="G1504" s="49" t="s">
        <v>609</v>
      </c>
      <c r="H1504" s="49" t="s">
        <v>609</v>
      </c>
      <c r="I1504" s="132"/>
      <c r="J1504" s="53"/>
    </row>
    <row r="1505" hidden="1">
      <c r="A1505" s="110" t="s">
        <v>6765</v>
      </c>
      <c r="B1505" s="49" t="s">
        <v>6766</v>
      </c>
      <c r="C1505" s="49" t="s">
        <v>139</v>
      </c>
      <c r="D1505" s="50">
        <v>42013.0</v>
      </c>
      <c r="E1505" s="53"/>
      <c r="F1505" s="49" t="s">
        <v>215</v>
      </c>
      <c r="G1505" s="49" t="s">
        <v>216</v>
      </c>
      <c r="H1505" s="49" t="s">
        <v>216</v>
      </c>
      <c r="I1505" s="132"/>
      <c r="J1505" s="53"/>
    </row>
    <row r="1506" hidden="1">
      <c r="A1506" s="110" t="s">
        <v>6768</v>
      </c>
      <c r="B1506" s="49" t="s">
        <v>6769</v>
      </c>
      <c r="C1506" s="49" t="s">
        <v>139</v>
      </c>
      <c r="D1506" s="50">
        <v>42013.0</v>
      </c>
      <c r="E1506" s="53"/>
      <c r="F1506" s="49" t="s">
        <v>3685</v>
      </c>
      <c r="G1506" s="49" t="s">
        <v>216</v>
      </c>
      <c r="H1506" s="49" t="s">
        <v>216</v>
      </c>
      <c r="I1506" s="132"/>
      <c r="J1506" s="53"/>
    </row>
    <row r="1507" hidden="1">
      <c r="A1507" s="110" t="s">
        <v>6770</v>
      </c>
      <c r="B1507" s="49" t="s">
        <v>6484</v>
      </c>
      <c r="C1507" s="49" t="s">
        <v>139</v>
      </c>
      <c r="D1507" s="50">
        <v>42012.0</v>
      </c>
      <c r="E1507" s="133"/>
      <c r="F1507" s="49" t="s">
        <v>6481</v>
      </c>
      <c r="G1507" s="49" t="s">
        <v>216</v>
      </c>
      <c r="H1507" s="49" t="s">
        <v>216</v>
      </c>
      <c r="I1507" s="132"/>
      <c r="J1507" s="53"/>
    </row>
    <row r="1508" hidden="1">
      <c r="A1508" s="110" t="s">
        <v>6772</v>
      </c>
      <c r="B1508" s="49" t="s">
        <v>6773</v>
      </c>
      <c r="C1508" s="49" t="s">
        <v>139</v>
      </c>
      <c r="D1508" s="50">
        <v>42012.0</v>
      </c>
      <c r="E1508" s="133"/>
      <c r="F1508" s="49" t="s">
        <v>723</v>
      </c>
      <c r="G1508" s="49" t="s">
        <v>609</v>
      </c>
      <c r="H1508" s="49" t="s">
        <v>609</v>
      </c>
      <c r="I1508" s="132"/>
      <c r="J1508" s="53"/>
    </row>
    <row r="1509" hidden="1">
      <c r="A1509" s="110" t="s">
        <v>6776</v>
      </c>
      <c r="B1509" s="49" t="s">
        <v>6777</v>
      </c>
      <c r="C1509" s="49" t="s">
        <v>139</v>
      </c>
      <c r="D1509" s="50">
        <v>42012.0</v>
      </c>
      <c r="E1509" s="133"/>
      <c r="F1509" s="49" t="s">
        <v>3407</v>
      </c>
      <c r="G1509" s="49" t="s">
        <v>6505</v>
      </c>
      <c r="H1509" s="49" t="s">
        <v>6505</v>
      </c>
      <c r="I1509" s="132"/>
      <c r="J1509" s="53"/>
    </row>
    <row r="1510" hidden="1">
      <c r="A1510" s="110" t="s">
        <v>6778</v>
      </c>
      <c r="B1510" s="49" t="s">
        <v>6779</v>
      </c>
      <c r="C1510" s="49" t="s">
        <v>139</v>
      </c>
      <c r="D1510" s="50">
        <v>42012.0</v>
      </c>
      <c r="E1510" s="133"/>
      <c r="F1510" s="49" t="s">
        <v>3407</v>
      </c>
      <c r="G1510" s="49" t="s">
        <v>6505</v>
      </c>
      <c r="H1510" s="49" t="s">
        <v>6505</v>
      </c>
      <c r="I1510" s="132"/>
      <c r="J1510" s="53"/>
    </row>
    <row r="1511" hidden="1">
      <c r="A1511" s="110" t="s">
        <v>6781</v>
      </c>
      <c r="B1511" s="49" t="s">
        <v>6783</v>
      </c>
      <c r="C1511" s="49" t="s">
        <v>139</v>
      </c>
      <c r="D1511" s="50">
        <v>42011.0</v>
      </c>
      <c r="E1511" s="133"/>
      <c r="F1511" s="49" t="s">
        <v>2596</v>
      </c>
      <c r="G1511" s="49" t="s">
        <v>609</v>
      </c>
      <c r="H1511" s="49" t="s">
        <v>609</v>
      </c>
      <c r="I1511" s="132"/>
      <c r="J1511" s="53"/>
    </row>
    <row r="1512" hidden="1">
      <c r="A1512" s="110" t="s">
        <v>6785</v>
      </c>
      <c r="B1512" s="49" t="s">
        <v>6786</v>
      </c>
      <c r="C1512" s="49" t="s">
        <v>139</v>
      </c>
      <c r="D1512" s="50">
        <v>42011.0</v>
      </c>
      <c r="E1512" s="133"/>
      <c r="F1512" s="49" t="s">
        <v>2596</v>
      </c>
      <c r="G1512" s="49" t="s">
        <v>609</v>
      </c>
      <c r="H1512" s="49" t="s">
        <v>609</v>
      </c>
      <c r="I1512" s="132"/>
      <c r="J1512" s="53"/>
    </row>
    <row r="1513" hidden="1">
      <c r="A1513" s="110" t="s">
        <v>6787</v>
      </c>
      <c r="B1513" s="49" t="s">
        <v>6789</v>
      </c>
      <c r="C1513" s="49" t="s">
        <v>139</v>
      </c>
      <c r="D1513" s="50">
        <v>42011.0</v>
      </c>
      <c r="E1513" s="133"/>
      <c r="F1513" s="49" t="s">
        <v>2596</v>
      </c>
      <c r="G1513" s="49" t="s">
        <v>609</v>
      </c>
      <c r="H1513" s="49" t="s">
        <v>609</v>
      </c>
      <c r="I1513" s="132"/>
      <c r="J1513" s="53"/>
    </row>
    <row r="1514" hidden="1">
      <c r="A1514" s="110" t="s">
        <v>6790</v>
      </c>
      <c r="B1514" s="49" t="s">
        <v>6791</v>
      </c>
      <c r="C1514" s="49" t="s">
        <v>139</v>
      </c>
      <c r="D1514" s="50">
        <v>42011.0</v>
      </c>
      <c r="E1514" s="133"/>
      <c r="F1514" s="49" t="s">
        <v>2596</v>
      </c>
      <c r="G1514" s="49" t="s">
        <v>609</v>
      </c>
      <c r="H1514" s="49" t="s">
        <v>609</v>
      </c>
      <c r="I1514" s="132"/>
      <c r="J1514" s="53"/>
    </row>
    <row r="1515" hidden="1">
      <c r="A1515" s="110" t="s">
        <v>6792</v>
      </c>
      <c r="B1515" s="49" t="s">
        <v>6793</v>
      </c>
      <c r="C1515" s="49" t="s">
        <v>139</v>
      </c>
      <c r="D1515" s="50">
        <v>42011.0</v>
      </c>
      <c r="E1515" s="133"/>
      <c r="F1515" s="49" t="s">
        <v>2596</v>
      </c>
      <c r="G1515" s="49" t="s">
        <v>609</v>
      </c>
      <c r="H1515" s="49" t="s">
        <v>609</v>
      </c>
      <c r="I1515" s="132"/>
      <c r="J1515" s="53"/>
    </row>
    <row r="1516" hidden="1">
      <c r="A1516" s="110" t="s">
        <v>6794</v>
      </c>
      <c r="B1516" s="49" t="s">
        <v>6796</v>
      </c>
      <c r="C1516" s="49" t="s">
        <v>139</v>
      </c>
      <c r="D1516" s="50">
        <v>42011.0</v>
      </c>
      <c r="E1516" s="133"/>
      <c r="F1516" s="49" t="s">
        <v>723</v>
      </c>
      <c r="G1516" s="49" t="s">
        <v>177</v>
      </c>
      <c r="H1516" s="49" t="s">
        <v>177</v>
      </c>
      <c r="I1516" s="132"/>
      <c r="J1516" s="53"/>
    </row>
    <row r="1517" hidden="1">
      <c r="A1517" s="110" t="s">
        <v>6797</v>
      </c>
      <c r="B1517" s="49" t="s">
        <v>6798</v>
      </c>
      <c r="C1517" s="49" t="s">
        <v>139</v>
      </c>
      <c r="D1517" s="50">
        <v>42011.0</v>
      </c>
      <c r="E1517" s="133"/>
      <c r="F1517" s="49" t="s">
        <v>2707</v>
      </c>
      <c r="G1517" s="49" t="s">
        <v>216</v>
      </c>
      <c r="H1517" s="49" t="s">
        <v>216</v>
      </c>
      <c r="I1517" s="132"/>
      <c r="J1517" s="53"/>
    </row>
    <row r="1518" hidden="1">
      <c r="A1518" s="110" t="s">
        <v>6799</v>
      </c>
      <c r="B1518" s="49" t="s">
        <v>6520</v>
      </c>
      <c r="C1518" s="49" t="s">
        <v>139</v>
      </c>
      <c r="D1518" s="50">
        <v>42010.0</v>
      </c>
      <c r="E1518" s="53"/>
      <c r="F1518" s="49" t="s">
        <v>2707</v>
      </c>
      <c r="G1518" s="49" t="s">
        <v>1891</v>
      </c>
      <c r="H1518" s="49" t="s">
        <v>1891</v>
      </c>
      <c r="I1518" s="132"/>
      <c r="J1518" s="53"/>
    </row>
    <row r="1519" hidden="1">
      <c r="A1519" s="110" t="s">
        <v>6801</v>
      </c>
      <c r="B1519" s="49" t="s">
        <v>6802</v>
      </c>
      <c r="C1519" s="49" t="s">
        <v>139</v>
      </c>
      <c r="D1519" s="50">
        <v>42010.0</v>
      </c>
      <c r="E1519" s="133"/>
      <c r="F1519" s="49" t="s">
        <v>2707</v>
      </c>
      <c r="G1519" s="49" t="s">
        <v>216</v>
      </c>
      <c r="H1519" s="49" t="s">
        <v>216</v>
      </c>
      <c r="I1519" s="132"/>
      <c r="J1519" s="53"/>
    </row>
    <row r="1520" hidden="1">
      <c r="A1520" s="110" t="s">
        <v>6803</v>
      </c>
      <c r="B1520" s="49" t="s">
        <v>6805</v>
      </c>
      <c r="C1520" s="49" t="s">
        <v>139</v>
      </c>
      <c r="D1520" s="50">
        <v>42010.0</v>
      </c>
      <c r="E1520" s="133"/>
      <c r="F1520" s="49" t="s">
        <v>723</v>
      </c>
      <c r="G1520" s="49" t="s">
        <v>609</v>
      </c>
      <c r="H1520" s="49" t="s">
        <v>609</v>
      </c>
      <c r="I1520" s="132"/>
      <c r="J1520" s="53"/>
    </row>
    <row r="1521" hidden="1">
      <c r="A1521" s="110" t="s">
        <v>6806</v>
      </c>
      <c r="B1521" s="49" t="s">
        <v>6807</v>
      </c>
      <c r="C1521" s="49" t="s">
        <v>139</v>
      </c>
      <c r="D1521" s="50">
        <v>42010.0</v>
      </c>
      <c r="E1521" s="133"/>
      <c r="F1521" s="49" t="s">
        <v>3407</v>
      </c>
      <c r="G1521" s="49" t="s">
        <v>6505</v>
      </c>
      <c r="H1521" s="49" t="s">
        <v>6505</v>
      </c>
      <c r="I1521" s="132"/>
      <c r="J1521" s="53"/>
    </row>
    <row r="1522" hidden="1">
      <c r="A1522" s="110" t="s">
        <v>6808</v>
      </c>
      <c r="B1522" s="49" t="s">
        <v>6807</v>
      </c>
      <c r="C1522" s="49" t="s">
        <v>139</v>
      </c>
      <c r="D1522" s="50">
        <v>42010.0</v>
      </c>
      <c r="E1522" s="133"/>
      <c r="F1522" s="49" t="s">
        <v>3407</v>
      </c>
      <c r="G1522" s="49" t="s">
        <v>6505</v>
      </c>
      <c r="H1522" s="49" t="s">
        <v>6505</v>
      </c>
      <c r="I1522" s="132"/>
      <c r="J1522" s="53"/>
    </row>
    <row r="1523" hidden="1">
      <c r="A1523" s="110" t="s">
        <v>6810</v>
      </c>
      <c r="B1523" s="49" t="s">
        <v>6812</v>
      </c>
      <c r="C1523" s="49" t="s">
        <v>139</v>
      </c>
      <c r="D1523" s="50">
        <v>42010.0</v>
      </c>
      <c r="E1523" s="53"/>
      <c r="F1523" s="49" t="s">
        <v>723</v>
      </c>
      <c r="G1523" s="49" t="s">
        <v>609</v>
      </c>
      <c r="H1523" s="49" t="s">
        <v>609</v>
      </c>
      <c r="I1523" s="132"/>
      <c r="J1523" s="53"/>
    </row>
    <row r="1524" hidden="1">
      <c r="A1524" s="110" t="s">
        <v>6814</v>
      </c>
      <c r="B1524" s="49" t="s">
        <v>6816</v>
      </c>
      <c r="C1524" s="49" t="s">
        <v>139</v>
      </c>
      <c r="D1524" s="50">
        <v>42010.0</v>
      </c>
      <c r="E1524" s="53"/>
      <c r="F1524" s="49" t="s">
        <v>723</v>
      </c>
      <c r="G1524" s="49" t="s">
        <v>177</v>
      </c>
      <c r="H1524" s="49" t="s">
        <v>177</v>
      </c>
      <c r="I1524" s="132"/>
      <c r="J1524" s="53"/>
    </row>
    <row r="1525" hidden="1">
      <c r="A1525" s="110" t="s">
        <v>6817</v>
      </c>
      <c r="B1525" s="49" t="s">
        <v>6420</v>
      </c>
      <c r="C1525" s="49" t="s">
        <v>139</v>
      </c>
      <c r="D1525" s="50">
        <v>42010.0</v>
      </c>
      <c r="E1525" s="53"/>
      <c r="F1525" s="49" t="s">
        <v>723</v>
      </c>
      <c r="G1525" s="49" t="s">
        <v>177</v>
      </c>
      <c r="H1525" s="49" t="s">
        <v>177</v>
      </c>
      <c r="I1525" s="132"/>
      <c r="J1525" s="53"/>
    </row>
    <row r="1526" hidden="1">
      <c r="A1526" s="110" t="s">
        <v>6819</v>
      </c>
      <c r="B1526" s="49" t="s">
        <v>6423</v>
      </c>
      <c r="C1526" s="49" t="s">
        <v>139</v>
      </c>
      <c r="D1526" s="50">
        <v>42010.0</v>
      </c>
      <c r="E1526" s="53"/>
      <c r="F1526" s="49" t="s">
        <v>723</v>
      </c>
      <c r="G1526" s="49" t="s">
        <v>177</v>
      </c>
      <c r="H1526" s="49" t="s">
        <v>177</v>
      </c>
      <c r="I1526" s="132"/>
      <c r="J1526" s="53"/>
    </row>
    <row r="1527" hidden="1">
      <c r="A1527" s="110" t="s">
        <v>6821</v>
      </c>
      <c r="B1527" s="49" t="s">
        <v>6425</v>
      </c>
      <c r="C1527" s="49" t="s">
        <v>139</v>
      </c>
      <c r="D1527" s="50">
        <v>42010.0</v>
      </c>
      <c r="E1527" s="53"/>
      <c r="F1527" s="49" t="s">
        <v>723</v>
      </c>
      <c r="G1527" s="49" t="s">
        <v>177</v>
      </c>
      <c r="H1527" s="49" t="s">
        <v>177</v>
      </c>
      <c r="I1527" s="132"/>
      <c r="J1527" s="53"/>
    </row>
    <row r="1528" hidden="1">
      <c r="A1528" s="110" t="s">
        <v>6822</v>
      </c>
      <c r="B1528" s="49" t="s">
        <v>6823</v>
      </c>
      <c r="C1528" s="49" t="s">
        <v>139</v>
      </c>
      <c r="D1528" s="50">
        <v>42009.0</v>
      </c>
      <c r="E1528" s="133"/>
      <c r="F1528" s="49" t="s">
        <v>6220</v>
      </c>
      <c r="G1528" s="49" t="s">
        <v>155</v>
      </c>
      <c r="H1528" s="49" t="s">
        <v>244</v>
      </c>
      <c r="I1528" s="132"/>
      <c r="J1528" s="53"/>
    </row>
    <row r="1529" hidden="1">
      <c r="A1529" s="110" t="s">
        <v>6825</v>
      </c>
      <c r="B1529" s="49" t="s">
        <v>6827</v>
      </c>
      <c r="C1529" s="49" t="s">
        <v>139</v>
      </c>
      <c r="D1529" s="50">
        <v>42009.0</v>
      </c>
      <c r="E1529" s="133"/>
      <c r="F1529" s="49" t="s">
        <v>6220</v>
      </c>
      <c r="G1529" s="49" t="s">
        <v>244</v>
      </c>
      <c r="H1529" s="49" t="s">
        <v>244</v>
      </c>
      <c r="I1529" s="132"/>
      <c r="J1529" s="53"/>
    </row>
    <row r="1530" hidden="1">
      <c r="A1530" s="110" t="s">
        <v>6829</v>
      </c>
      <c r="B1530" s="49" t="s">
        <v>6830</v>
      </c>
      <c r="C1530" s="49" t="s">
        <v>139</v>
      </c>
      <c r="D1530" s="50">
        <v>42009.0</v>
      </c>
      <c r="E1530" s="53"/>
      <c r="F1530" s="49" t="s">
        <v>3407</v>
      </c>
      <c r="G1530" s="49" t="s">
        <v>6505</v>
      </c>
      <c r="H1530" s="49" t="s">
        <v>6505</v>
      </c>
      <c r="I1530" s="132"/>
      <c r="J1530" s="53"/>
    </row>
    <row r="1531" hidden="1">
      <c r="A1531" s="110" t="s">
        <v>6832</v>
      </c>
      <c r="B1531" s="49" t="s">
        <v>6833</v>
      </c>
      <c r="C1531" s="49" t="s">
        <v>139</v>
      </c>
      <c r="D1531" s="50">
        <v>42008.0</v>
      </c>
      <c r="E1531" s="53"/>
      <c r="F1531" s="49" t="s">
        <v>2596</v>
      </c>
      <c r="G1531" s="49" t="s">
        <v>609</v>
      </c>
      <c r="H1531" s="49" t="s">
        <v>609</v>
      </c>
      <c r="I1531" s="132"/>
      <c r="J1531" s="53"/>
    </row>
    <row r="1532" hidden="1">
      <c r="A1532" s="110" t="s">
        <v>6834</v>
      </c>
      <c r="B1532" s="49" t="s">
        <v>6835</v>
      </c>
      <c r="C1532" s="49" t="s">
        <v>139</v>
      </c>
      <c r="D1532" s="50">
        <v>42008.0</v>
      </c>
      <c r="E1532" s="133"/>
      <c r="F1532" s="49" t="s">
        <v>215</v>
      </c>
      <c r="G1532" s="49" t="s">
        <v>177</v>
      </c>
      <c r="H1532" s="49" t="s">
        <v>177</v>
      </c>
      <c r="I1532" s="132"/>
      <c r="J1532" s="53"/>
    </row>
    <row r="1533" hidden="1">
      <c r="A1533" s="110" t="s">
        <v>6837</v>
      </c>
      <c r="B1533" s="49" t="s">
        <v>6838</v>
      </c>
      <c r="C1533" s="49" t="s">
        <v>139</v>
      </c>
      <c r="D1533" s="50">
        <v>42008.0</v>
      </c>
      <c r="E1533" s="133"/>
      <c r="F1533" s="49" t="s">
        <v>2596</v>
      </c>
      <c r="G1533" s="49" t="s">
        <v>244</v>
      </c>
      <c r="H1533" s="49" t="s">
        <v>244</v>
      </c>
      <c r="I1533" s="132"/>
      <c r="J1533" s="53"/>
    </row>
    <row r="1534" hidden="1">
      <c r="A1534" s="110" t="s">
        <v>6839</v>
      </c>
      <c r="B1534" s="49" t="s">
        <v>6840</v>
      </c>
      <c r="C1534" s="49" t="s">
        <v>139</v>
      </c>
      <c r="D1534" s="50">
        <v>42008.0</v>
      </c>
      <c r="E1534" s="133"/>
      <c r="F1534" s="49" t="s">
        <v>2596</v>
      </c>
      <c r="G1534" s="49" t="s">
        <v>244</v>
      </c>
      <c r="H1534" s="49" t="s">
        <v>244</v>
      </c>
      <c r="I1534" s="132"/>
      <c r="J1534" s="53"/>
    </row>
    <row r="1535" hidden="1">
      <c r="A1535" s="110" t="s">
        <v>6842</v>
      </c>
      <c r="B1535" s="49" t="s">
        <v>5936</v>
      </c>
      <c r="C1535" s="49" t="s">
        <v>139</v>
      </c>
      <c r="D1535" s="50">
        <v>42008.0</v>
      </c>
      <c r="E1535" s="53"/>
      <c r="F1535" s="49" t="s">
        <v>3685</v>
      </c>
      <c r="G1535" s="49" t="s">
        <v>216</v>
      </c>
      <c r="H1535" s="49" t="s">
        <v>216</v>
      </c>
      <c r="I1535" s="132"/>
      <c r="J1535" s="53"/>
    </row>
    <row r="1536" hidden="1">
      <c r="A1536" s="110" t="s">
        <v>6844</v>
      </c>
      <c r="B1536" s="49" t="s">
        <v>6846</v>
      </c>
      <c r="C1536" s="49" t="s">
        <v>139</v>
      </c>
      <c r="D1536" s="50">
        <v>42008.0</v>
      </c>
      <c r="E1536" s="53"/>
      <c r="F1536" s="49" t="s">
        <v>3685</v>
      </c>
      <c r="G1536" s="49" t="s">
        <v>216</v>
      </c>
      <c r="H1536" s="49" t="s">
        <v>216</v>
      </c>
      <c r="I1536" s="132"/>
      <c r="J1536" s="53"/>
    </row>
    <row r="1537" hidden="1">
      <c r="A1537" s="110" t="s">
        <v>6847</v>
      </c>
      <c r="B1537" s="49" t="s">
        <v>6848</v>
      </c>
      <c r="C1537" s="49" t="s">
        <v>139</v>
      </c>
      <c r="D1537" s="50">
        <v>42008.0</v>
      </c>
      <c r="E1537" s="53"/>
      <c r="F1537" s="49" t="s">
        <v>3685</v>
      </c>
      <c r="G1537" s="49" t="s">
        <v>216</v>
      </c>
      <c r="H1537" s="49" t="s">
        <v>216</v>
      </c>
      <c r="I1537" s="132"/>
      <c r="J1537" s="53"/>
    </row>
    <row r="1538" hidden="1">
      <c r="A1538" s="110" t="s">
        <v>6849</v>
      </c>
      <c r="B1538" s="49" t="s">
        <v>6850</v>
      </c>
      <c r="C1538" s="49" t="s">
        <v>139</v>
      </c>
      <c r="D1538" s="50">
        <v>42007.0</v>
      </c>
      <c r="E1538" s="53"/>
      <c r="F1538" s="49" t="s">
        <v>119</v>
      </c>
      <c r="G1538" s="49" t="s">
        <v>6851</v>
      </c>
      <c r="H1538" s="49" t="s">
        <v>6026</v>
      </c>
      <c r="I1538" s="132"/>
      <c r="J1538" s="53"/>
    </row>
    <row r="1539" hidden="1">
      <c r="A1539" s="110" t="s">
        <v>6852</v>
      </c>
      <c r="B1539" s="49" t="s">
        <v>6437</v>
      </c>
      <c r="C1539" s="49" t="s">
        <v>139</v>
      </c>
      <c r="D1539" s="50">
        <v>42007.0</v>
      </c>
      <c r="E1539" s="133"/>
      <c r="F1539" s="49" t="s">
        <v>2596</v>
      </c>
      <c r="G1539" s="49" t="s">
        <v>1891</v>
      </c>
      <c r="H1539" s="49" t="s">
        <v>1891</v>
      </c>
      <c r="I1539" s="132"/>
      <c r="J1539" s="53"/>
    </row>
    <row r="1540" hidden="1">
      <c r="A1540" s="110" t="s">
        <v>6854</v>
      </c>
      <c r="B1540" s="49" t="s">
        <v>6855</v>
      </c>
      <c r="C1540" s="49" t="s">
        <v>139</v>
      </c>
      <c r="D1540" s="50">
        <v>42007.0</v>
      </c>
      <c r="E1540" s="53"/>
      <c r="F1540" s="49" t="s">
        <v>3407</v>
      </c>
      <c r="G1540" s="49" t="s">
        <v>216</v>
      </c>
      <c r="H1540" s="49" t="s">
        <v>216</v>
      </c>
      <c r="I1540" s="132"/>
      <c r="J1540" s="53"/>
    </row>
    <row r="1541" hidden="1">
      <c r="A1541" s="110" t="s">
        <v>6857</v>
      </c>
      <c r="B1541" s="49" t="s">
        <v>6858</v>
      </c>
      <c r="C1541" s="49" t="s">
        <v>139</v>
      </c>
      <c r="D1541" s="50">
        <v>42007.0</v>
      </c>
      <c r="E1541" s="53"/>
      <c r="F1541" s="49" t="s">
        <v>215</v>
      </c>
      <c r="G1541" s="49" t="s">
        <v>177</v>
      </c>
      <c r="H1541" s="49" t="s">
        <v>177</v>
      </c>
      <c r="I1541" s="132"/>
      <c r="J1541" s="53"/>
    </row>
    <row r="1542" hidden="1">
      <c r="A1542" s="110" t="s">
        <v>6859</v>
      </c>
      <c r="B1542" s="49" t="s">
        <v>6861</v>
      </c>
      <c r="C1542" s="49" t="s">
        <v>139</v>
      </c>
      <c r="D1542" s="50">
        <v>42007.0</v>
      </c>
      <c r="E1542" s="53"/>
      <c r="F1542" s="49" t="s">
        <v>215</v>
      </c>
      <c r="G1542" s="49" t="s">
        <v>177</v>
      </c>
      <c r="H1542" s="49" t="s">
        <v>177</v>
      </c>
      <c r="I1542" s="132"/>
      <c r="J1542" s="53"/>
    </row>
    <row r="1543" hidden="1">
      <c r="A1543" s="110" t="s">
        <v>6862</v>
      </c>
      <c r="B1543" s="49" t="s">
        <v>6864</v>
      </c>
      <c r="C1543" s="49" t="s">
        <v>139</v>
      </c>
      <c r="D1543" s="50">
        <v>42007.0</v>
      </c>
      <c r="E1543" s="133"/>
      <c r="F1543" s="49" t="s">
        <v>215</v>
      </c>
      <c r="G1543" s="49" t="s">
        <v>177</v>
      </c>
      <c r="H1543" s="49" t="s">
        <v>177</v>
      </c>
      <c r="I1543" s="132"/>
      <c r="J1543" s="53"/>
    </row>
    <row r="1544" hidden="1">
      <c r="A1544" s="110" t="s">
        <v>6865</v>
      </c>
      <c r="B1544" s="49" t="s">
        <v>6866</v>
      </c>
      <c r="C1544" s="49" t="s">
        <v>139</v>
      </c>
      <c r="D1544" s="50">
        <v>42007.0</v>
      </c>
      <c r="E1544" s="133"/>
      <c r="F1544" s="49" t="s">
        <v>215</v>
      </c>
      <c r="G1544" s="49" t="s">
        <v>177</v>
      </c>
      <c r="H1544" s="49" t="s">
        <v>177</v>
      </c>
      <c r="I1544" s="132"/>
      <c r="J1544" s="53"/>
    </row>
    <row r="1545" hidden="1">
      <c r="A1545" s="110" t="s">
        <v>6867</v>
      </c>
      <c r="B1545" s="49" t="s">
        <v>6869</v>
      </c>
      <c r="C1545" s="49" t="s">
        <v>139</v>
      </c>
      <c r="D1545" s="50">
        <v>42007.0</v>
      </c>
      <c r="E1545" s="133"/>
      <c r="F1545" s="49" t="s">
        <v>215</v>
      </c>
      <c r="G1545" s="49" t="s">
        <v>177</v>
      </c>
      <c r="H1545" s="49" t="s">
        <v>177</v>
      </c>
      <c r="I1545" s="132"/>
      <c r="J1545" s="53"/>
    </row>
    <row r="1546" hidden="1">
      <c r="A1546" s="110" t="s">
        <v>6871</v>
      </c>
      <c r="B1546" s="49" t="s">
        <v>6872</v>
      </c>
      <c r="C1546" s="49" t="s">
        <v>139</v>
      </c>
      <c r="D1546" s="50">
        <v>42007.0</v>
      </c>
      <c r="E1546" s="133"/>
      <c r="F1546" s="49" t="s">
        <v>215</v>
      </c>
      <c r="G1546" s="49" t="s">
        <v>177</v>
      </c>
      <c r="H1546" s="49" t="s">
        <v>177</v>
      </c>
      <c r="I1546" s="132"/>
      <c r="J1546" s="53"/>
    </row>
    <row r="1547" hidden="1">
      <c r="A1547" s="110" t="s">
        <v>6874</v>
      </c>
      <c r="B1547" s="49" t="s">
        <v>6876</v>
      </c>
      <c r="C1547" s="49" t="s">
        <v>139</v>
      </c>
      <c r="D1547" s="50">
        <v>42007.0</v>
      </c>
      <c r="E1547" s="133"/>
      <c r="F1547" s="49" t="s">
        <v>215</v>
      </c>
      <c r="G1547" s="49" t="s">
        <v>177</v>
      </c>
      <c r="H1547" s="49" t="s">
        <v>177</v>
      </c>
      <c r="I1547" s="132"/>
      <c r="J1547" s="53"/>
    </row>
    <row r="1548" hidden="1">
      <c r="A1548" s="110" t="s">
        <v>6877</v>
      </c>
      <c r="B1548" s="49" t="s">
        <v>6878</v>
      </c>
      <c r="C1548" s="49" t="s">
        <v>139</v>
      </c>
      <c r="D1548" s="50">
        <v>42007.0</v>
      </c>
      <c r="E1548" s="133"/>
      <c r="F1548" s="49" t="s">
        <v>6171</v>
      </c>
      <c r="G1548" s="49" t="s">
        <v>216</v>
      </c>
      <c r="H1548" s="49" t="s">
        <v>216</v>
      </c>
      <c r="I1548" s="132"/>
      <c r="J1548" s="53"/>
    </row>
    <row r="1549" hidden="1">
      <c r="A1549" s="110" t="s">
        <v>6881</v>
      </c>
      <c r="B1549" s="49" t="s">
        <v>6882</v>
      </c>
      <c r="C1549" s="49" t="s">
        <v>139</v>
      </c>
      <c r="D1549" s="50">
        <v>42006.0</v>
      </c>
      <c r="E1549" s="133"/>
      <c r="F1549" s="49" t="s">
        <v>3685</v>
      </c>
      <c r="G1549" s="49" t="s">
        <v>216</v>
      </c>
      <c r="H1549" s="49" t="s">
        <v>216</v>
      </c>
      <c r="I1549" s="132"/>
      <c r="J1549" s="53"/>
    </row>
    <row r="1550" hidden="1">
      <c r="A1550" s="110" t="s">
        <v>6883</v>
      </c>
      <c r="B1550" s="49" t="s">
        <v>6816</v>
      </c>
      <c r="C1550" s="49" t="s">
        <v>139</v>
      </c>
      <c r="D1550" s="50">
        <v>42006.0</v>
      </c>
      <c r="E1550" s="53"/>
      <c r="F1550" s="49" t="s">
        <v>723</v>
      </c>
      <c r="G1550" s="49" t="s">
        <v>177</v>
      </c>
      <c r="H1550" s="49" t="s">
        <v>177</v>
      </c>
      <c r="I1550" s="132"/>
      <c r="J1550" s="53"/>
    </row>
    <row r="1551" hidden="1">
      <c r="A1551" s="110" t="s">
        <v>6885</v>
      </c>
      <c r="B1551" s="49" t="s">
        <v>6886</v>
      </c>
      <c r="C1551" s="49" t="s">
        <v>139</v>
      </c>
      <c r="D1551" s="50">
        <v>42006.0</v>
      </c>
      <c r="E1551" s="53"/>
      <c r="F1551" s="49" t="s">
        <v>215</v>
      </c>
      <c r="G1551" s="49" t="s">
        <v>1367</v>
      </c>
      <c r="H1551" s="49" t="s">
        <v>1367</v>
      </c>
      <c r="I1551" s="132"/>
      <c r="J1551" s="53"/>
    </row>
    <row r="1552" hidden="1">
      <c r="A1552" s="110" t="s">
        <v>6888</v>
      </c>
      <c r="B1552" s="49" t="s">
        <v>6889</v>
      </c>
      <c r="C1552" s="49" t="s">
        <v>139</v>
      </c>
      <c r="D1552" s="50">
        <v>42005.0</v>
      </c>
      <c r="E1552" s="133"/>
      <c r="F1552" s="49" t="s">
        <v>2596</v>
      </c>
      <c r="G1552" s="49" t="s">
        <v>244</v>
      </c>
      <c r="H1552" s="49" t="s">
        <v>244</v>
      </c>
      <c r="I1552" s="132"/>
      <c r="J1552" s="53"/>
    </row>
    <row r="1553" hidden="1">
      <c r="A1553" s="110" t="s">
        <v>6890</v>
      </c>
      <c r="B1553" s="49" t="s">
        <v>6575</v>
      </c>
      <c r="C1553" s="49" t="s">
        <v>139</v>
      </c>
      <c r="D1553" s="50">
        <v>42005.0</v>
      </c>
      <c r="E1553" s="53"/>
      <c r="F1553" s="49" t="s">
        <v>1399</v>
      </c>
      <c r="G1553" s="49" t="s">
        <v>1400</v>
      </c>
      <c r="H1553" s="49" t="s">
        <v>1400</v>
      </c>
      <c r="I1553" s="132"/>
      <c r="J1553" s="53"/>
    </row>
    <row r="1554" hidden="1">
      <c r="A1554" s="110" t="s">
        <v>6894</v>
      </c>
      <c r="B1554" s="49" t="s">
        <v>6895</v>
      </c>
      <c r="C1554" s="49" t="s">
        <v>139</v>
      </c>
      <c r="D1554" s="50">
        <v>42005.0</v>
      </c>
      <c r="E1554" s="53"/>
      <c r="F1554" s="49" t="s">
        <v>2596</v>
      </c>
      <c r="G1554" s="49" t="s">
        <v>244</v>
      </c>
      <c r="H1554" s="49" t="s">
        <v>244</v>
      </c>
      <c r="I1554" s="132"/>
      <c r="J1554" s="53"/>
    </row>
    <row r="1555" hidden="1">
      <c r="A1555" s="110" t="s">
        <v>6897</v>
      </c>
      <c r="B1555" s="49" t="s">
        <v>6898</v>
      </c>
      <c r="C1555" s="49" t="s">
        <v>139</v>
      </c>
      <c r="D1555" s="50">
        <v>42005.0</v>
      </c>
      <c r="E1555" s="53"/>
      <c r="F1555" s="49" t="s">
        <v>2596</v>
      </c>
      <c r="G1555" s="49" t="s">
        <v>244</v>
      </c>
      <c r="H1555" s="49" t="s">
        <v>244</v>
      </c>
      <c r="I1555" s="132"/>
      <c r="J1555" s="53"/>
    </row>
    <row r="1556" hidden="1">
      <c r="A1556" s="105" t="str">
        <f>hyperlink("https://issues.sierrawireless.com/browse/OEMPRI-7561", "OEMPRI-7561")</f>
        <v>OEMPRI-7561</v>
      </c>
      <c r="B1556" s="5" t="s">
        <v>6899</v>
      </c>
      <c r="C1556" s="5" t="s">
        <v>139</v>
      </c>
      <c r="D1556" s="106">
        <v>43279.0</v>
      </c>
      <c r="E1556" s="107">
        <v>43285.0</v>
      </c>
      <c r="F1556" s="5" t="s">
        <v>160</v>
      </c>
      <c r="G1556" s="5" t="s">
        <v>148</v>
      </c>
      <c r="H1556" s="5" t="s">
        <v>609</v>
      </c>
      <c r="I1556" s="41">
        <v>43290.0</v>
      </c>
      <c r="J1556" s="41">
        <v>43286.0</v>
      </c>
      <c r="K1556" s="131"/>
      <c r="L1556" s="131"/>
      <c r="M1556" s="131"/>
      <c r="N1556" s="131"/>
      <c r="O1556" s="131"/>
      <c r="P1556" s="131"/>
      <c r="Q1556" s="131"/>
      <c r="R1556" s="131"/>
      <c r="S1556" s="131"/>
      <c r="T1556" s="131"/>
      <c r="U1556" s="131"/>
      <c r="V1556" s="131"/>
      <c r="W1556" s="131"/>
      <c r="X1556" s="131"/>
      <c r="Y1556" s="131"/>
      <c r="Z1556" s="131"/>
    </row>
    <row r="1557" hidden="1">
      <c r="A1557" s="105" t="str">
        <f>hyperlink("https://issues.sierrawireless.com/browse/OEMPRI-7563", "OEMPRI-7563")</f>
        <v>OEMPRI-7563</v>
      </c>
      <c r="B1557" s="5" t="s">
        <v>6901</v>
      </c>
      <c r="C1557" s="5" t="s">
        <v>139</v>
      </c>
      <c r="D1557" s="106">
        <v>43279.0</v>
      </c>
      <c r="E1557" s="107">
        <v>43287.0</v>
      </c>
      <c r="F1557" s="5" t="s">
        <v>160</v>
      </c>
      <c r="G1557" s="5" t="s">
        <v>148</v>
      </c>
      <c r="H1557" s="5" t="s">
        <v>244</v>
      </c>
      <c r="I1557" s="41">
        <v>43283.0</v>
      </c>
      <c r="J1557" s="41">
        <v>43284.0</v>
      </c>
      <c r="K1557" s="131"/>
      <c r="L1557" s="131"/>
      <c r="M1557" s="131"/>
      <c r="N1557" s="131"/>
      <c r="O1557" s="131"/>
      <c r="P1557" s="131"/>
      <c r="Q1557" s="131"/>
      <c r="R1557" s="131"/>
      <c r="S1557" s="131"/>
      <c r="T1557" s="131"/>
      <c r="U1557" s="131"/>
      <c r="V1557" s="131"/>
      <c r="W1557" s="131"/>
      <c r="X1557" s="131"/>
      <c r="Y1557" s="131"/>
      <c r="Z1557" s="131"/>
    </row>
    <row r="1558" hidden="1">
      <c r="A1558" s="105" t="str">
        <f>hyperlink("https://issues.sierrawireless.com/browse/OEMPRI-7564", "OEMPRI-7564")</f>
        <v>OEMPRI-7564</v>
      </c>
      <c r="B1558" s="5" t="s">
        <v>6903</v>
      </c>
      <c r="C1558" s="5" t="s">
        <v>139</v>
      </c>
      <c r="D1558" s="106">
        <v>43279.0</v>
      </c>
      <c r="E1558" s="107">
        <v>43287.0</v>
      </c>
      <c r="F1558" s="5" t="s">
        <v>160</v>
      </c>
      <c r="G1558" s="5" t="s">
        <v>148</v>
      </c>
      <c r="H1558" s="5" t="s">
        <v>244</v>
      </c>
      <c r="I1558" s="41">
        <v>43283.0</v>
      </c>
      <c r="J1558" s="41">
        <v>43283.0</v>
      </c>
      <c r="K1558" s="131"/>
      <c r="L1558" s="131"/>
      <c r="M1558" s="131"/>
      <c r="N1558" s="131"/>
      <c r="O1558" s="131"/>
      <c r="P1558" s="131"/>
      <c r="Q1558" s="131"/>
      <c r="R1558" s="131"/>
      <c r="S1558" s="131"/>
      <c r="T1558" s="131"/>
      <c r="U1558" s="131"/>
      <c r="V1558" s="131"/>
      <c r="W1558" s="131"/>
      <c r="X1558" s="131"/>
      <c r="Y1558" s="131"/>
      <c r="Z1558" s="131"/>
    </row>
    <row r="1559" hidden="1">
      <c r="A1559" s="105" t="str">
        <f>hyperlink("https://issues.sierrawireless.com/browse/OEMPRI-7583", "OEMPRI-7583")</f>
        <v>OEMPRI-7583</v>
      </c>
      <c r="B1559" s="5" t="s">
        <v>6905</v>
      </c>
      <c r="C1559" s="5" t="s">
        <v>469</v>
      </c>
      <c r="D1559" s="106">
        <v>43280.0</v>
      </c>
      <c r="E1559" s="107">
        <v>43284.0</v>
      </c>
      <c r="F1559" s="5" t="s">
        <v>176</v>
      </c>
      <c r="G1559" s="5" t="s">
        <v>233</v>
      </c>
      <c r="H1559" s="5" t="s">
        <v>233</v>
      </c>
      <c r="I1559" s="41">
        <v>43283.0</v>
      </c>
      <c r="J1559" s="41">
        <v>43283.0</v>
      </c>
      <c r="K1559" s="131"/>
      <c r="L1559" s="131"/>
      <c r="M1559" s="131"/>
      <c r="N1559" s="131"/>
      <c r="O1559" s="131"/>
      <c r="P1559" s="131"/>
      <c r="Q1559" s="131"/>
      <c r="R1559" s="131"/>
      <c r="S1559" s="131"/>
      <c r="T1559" s="131"/>
      <c r="U1559" s="131"/>
      <c r="V1559" s="131"/>
      <c r="W1559" s="131"/>
      <c r="X1559" s="131"/>
      <c r="Y1559" s="131"/>
      <c r="Z1559" s="131"/>
    </row>
    <row r="1560" hidden="1">
      <c r="A1560" s="105" t="str">
        <f>hyperlink("https://issues.sierrawireless.com/browse/OEMPRI-7587", "OEMPRI-7587")</f>
        <v>OEMPRI-7587</v>
      </c>
      <c r="B1560" s="5" t="s">
        <v>6908</v>
      </c>
      <c r="C1560" s="5" t="s">
        <v>469</v>
      </c>
      <c r="D1560" s="106">
        <v>43280.0</v>
      </c>
      <c r="E1560" s="107" t="s">
        <v>92</v>
      </c>
      <c r="F1560" s="5" t="s">
        <v>160</v>
      </c>
      <c r="G1560" s="5" t="s">
        <v>170</v>
      </c>
      <c r="H1560" s="5" t="s">
        <v>1128</v>
      </c>
      <c r="I1560" s="41">
        <v>43290.0</v>
      </c>
      <c r="J1560" s="41">
        <v>43294.0</v>
      </c>
      <c r="K1560" s="131"/>
      <c r="L1560" s="131"/>
      <c r="M1560" s="131"/>
      <c r="N1560" s="131"/>
      <c r="O1560" s="131"/>
      <c r="P1560" s="131"/>
      <c r="Q1560" s="131"/>
      <c r="R1560" s="131"/>
      <c r="S1560" s="131"/>
      <c r="T1560" s="131"/>
      <c r="U1560" s="131"/>
      <c r="V1560" s="131"/>
      <c r="W1560" s="131"/>
      <c r="X1560" s="131"/>
      <c r="Y1560" s="131"/>
      <c r="Z1560" s="131"/>
    </row>
    <row r="1561" hidden="1">
      <c r="A1561" s="105" t="str">
        <f>hyperlink("https://issues.sierrawireless.com/browse/OEMPRI-7588", "OEMPRI-7588")</f>
        <v>OEMPRI-7588</v>
      </c>
      <c r="B1561" s="5" t="s">
        <v>6910</v>
      </c>
      <c r="C1561" s="5" t="s">
        <v>593</v>
      </c>
      <c r="D1561" s="106">
        <v>43281.0</v>
      </c>
      <c r="E1561" s="107" t="s">
        <v>92</v>
      </c>
      <c r="F1561" s="5" t="s">
        <v>215</v>
      </c>
      <c r="G1561" s="5" t="s">
        <v>216</v>
      </c>
      <c r="H1561" s="5" t="s">
        <v>216</v>
      </c>
      <c r="I1561" s="41">
        <v>43290.0</v>
      </c>
      <c r="J1561" s="41">
        <v>43294.0</v>
      </c>
      <c r="K1561" s="131"/>
      <c r="L1561" s="131"/>
      <c r="M1561" s="131"/>
      <c r="N1561" s="131"/>
      <c r="O1561" s="131"/>
      <c r="P1561" s="131"/>
      <c r="Q1561" s="131"/>
      <c r="R1561" s="131"/>
      <c r="S1561" s="131"/>
      <c r="T1561" s="131"/>
      <c r="U1561" s="131"/>
      <c r="V1561" s="131"/>
      <c r="W1561" s="131"/>
      <c r="X1561" s="131"/>
      <c r="Y1561" s="131"/>
      <c r="Z1561" s="131"/>
    </row>
    <row r="1562" hidden="1">
      <c r="A1562" s="105" t="str">
        <f>hyperlink("https://issues.sierrawireless.com/browse/ELAND-543", "ELAND-543")</f>
        <v>ELAND-543</v>
      </c>
      <c r="B1562" s="5" t="s">
        <v>6908</v>
      </c>
      <c r="C1562" s="5" t="s">
        <v>469</v>
      </c>
      <c r="D1562" s="106">
        <v>43280.0</v>
      </c>
      <c r="E1562" s="107" t="s">
        <v>92</v>
      </c>
      <c r="F1562" s="5" t="s">
        <v>3652</v>
      </c>
      <c r="G1562" s="5" t="s">
        <v>1128</v>
      </c>
      <c r="H1562" s="5" t="s">
        <v>1128</v>
      </c>
      <c r="I1562" s="41">
        <v>43283.0</v>
      </c>
      <c r="J1562" s="41">
        <v>43294.0</v>
      </c>
      <c r="K1562" s="131"/>
      <c r="L1562" s="131"/>
      <c r="M1562" s="131"/>
      <c r="N1562" s="131"/>
      <c r="O1562" s="131"/>
      <c r="P1562" s="131"/>
      <c r="Q1562" s="131"/>
      <c r="R1562" s="131"/>
      <c r="S1562" s="131"/>
      <c r="T1562" s="131"/>
      <c r="U1562" s="131"/>
      <c r="V1562" s="131"/>
      <c r="W1562" s="131"/>
      <c r="X1562" s="131"/>
      <c r="Y1562" s="131"/>
      <c r="Z1562" s="131"/>
    </row>
    <row r="1563" hidden="1">
      <c r="A1563" s="105" t="str">
        <f>hyperlink("https://issues.sierrawireless.com/browse/OEMPRI-7589", "OEMPRI-7589")</f>
        <v>OEMPRI-7589</v>
      </c>
      <c r="B1563" s="5" t="s">
        <v>6914</v>
      </c>
      <c r="C1563" s="5" t="s">
        <v>139</v>
      </c>
      <c r="D1563" s="106">
        <v>43283.0</v>
      </c>
      <c r="E1563" s="107">
        <v>43284.0</v>
      </c>
      <c r="F1563" s="5" t="s">
        <v>176</v>
      </c>
      <c r="G1563" s="5" t="s">
        <v>148</v>
      </c>
      <c r="H1563" s="5" t="s">
        <v>233</v>
      </c>
      <c r="I1563" s="41">
        <v>43283.0</v>
      </c>
      <c r="J1563" s="41">
        <v>43294.0</v>
      </c>
      <c r="K1563" s="131"/>
      <c r="L1563" s="131"/>
      <c r="M1563" s="131"/>
      <c r="N1563" s="131"/>
      <c r="O1563" s="131"/>
      <c r="P1563" s="131"/>
      <c r="Q1563" s="131"/>
      <c r="R1563" s="131"/>
      <c r="S1563" s="131"/>
      <c r="T1563" s="131"/>
      <c r="U1563" s="131"/>
      <c r="V1563" s="131"/>
      <c r="W1563" s="131"/>
      <c r="X1563" s="131"/>
      <c r="Y1563" s="131"/>
      <c r="Z1563" s="131"/>
    </row>
    <row r="1564" hidden="1">
      <c r="A1564" s="105" t="str">
        <f>hyperlink("https://issues.sierrawireless.com/browse/OEMPRI-7592", "OEMPRI-7592")</f>
        <v>OEMPRI-7592</v>
      </c>
      <c r="B1564" s="5" t="s">
        <v>6916</v>
      </c>
      <c r="C1564" s="5" t="s">
        <v>139</v>
      </c>
      <c r="D1564" s="106">
        <v>43284.0</v>
      </c>
      <c r="E1564" s="107">
        <v>43285.0</v>
      </c>
      <c r="F1564" s="5" t="s">
        <v>160</v>
      </c>
      <c r="G1564" s="5" t="s">
        <v>141</v>
      </c>
      <c r="H1564" s="5" t="s">
        <v>141</v>
      </c>
      <c r="I1564" s="41">
        <v>43283.0</v>
      </c>
      <c r="J1564" s="41">
        <v>43287.0</v>
      </c>
      <c r="K1564" s="131"/>
      <c r="L1564" s="131"/>
      <c r="M1564" s="131"/>
      <c r="N1564" s="131"/>
      <c r="O1564" s="131"/>
      <c r="P1564" s="131"/>
      <c r="Q1564" s="131"/>
      <c r="R1564" s="131"/>
      <c r="S1564" s="131"/>
      <c r="T1564" s="131"/>
      <c r="U1564" s="131"/>
      <c r="V1564" s="131"/>
      <c r="W1564" s="131"/>
      <c r="X1564" s="131"/>
      <c r="Y1564" s="131"/>
      <c r="Z1564" s="131"/>
    </row>
    <row r="1565" hidden="1">
      <c r="A1565" s="105" t="str">
        <f>hyperlink("https://issues.sierrawireless.com/browse/OEMPRI-7611", "OEMPRI-7611")</f>
        <v>OEMPRI-7611</v>
      </c>
      <c r="B1565" s="5" t="s">
        <v>6918</v>
      </c>
      <c r="C1565" s="5" t="s">
        <v>139</v>
      </c>
      <c r="D1565" s="106">
        <v>43285.0</v>
      </c>
      <c r="E1565" s="107">
        <v>43278.0</v>
      </c>
      <c r="F1565" s="5" t="s">
        <v>176</v>
      </c>
      <c r="G1565" s="5" t="s">
        <v>170</v>
      </c>
      <c r="H1565" s="5" t="s">
        <v>140</v>
      </c>
      <c r="I1565" s="41">
        <v>43283.0</v>
      </c>
      <c r="J1565" s="41">
        <v>43287.0</v>
      </c>
      <c r="K1565" s="131"/>
      <c r="L1565" s="131"/>
      <c r="M1565" s="131"/>
      <c r="N1565" s="131"/>
      <c r="O1565" s="131"/>
      <c r="P1565" s="131"/>
      <c r="Q1565" s="131"/>
      <c r="R1565" s="131"/>
      <c r="S1565" s="131"/>
      <c r="T1565" s="131"/>
      <c r="U1565" s="131"/>
      <c r="V1565" s="131"/>
      <c r="W1565" s="131"/>
      <c r="X1565" s="131"/>
      <c r="Y1565" s="131"/>
      <c r="Z1565" s="131"/>
    </row>
    <row r="1566" hidden="1">
      <c r="A1566" s="105" t="str">
        <f>hyperlink("https://issues.sierrawireless.com/browse/OEMPRI-7617", "OEMPRI-7617")</f>
        <v>OEMPRI-7617</v>
      </c>
      <c r="B1566" s="5" t="s">
        <v>6920</v>
      </c>
      <c r="C1566" s="5" t="s">
        <v>139</v>
      </c>
      <c r="D1566" s="106">
        <v>43285.0</v>
      </c>
      <c r="E1566" s="107" t="s">
        <v>92</v>
      </c>
      <c r="F1566" s="5" t="s">
        <v>160</v>
      </c>
      <c r="G1566" s="5" t="s">
        <v>141</v>
      </c>
      <c r="H1566" s="5" t="s">
        <v>141</v>
      </c>
      <c r="I1566" s="41">
        <v>43283.0</v>
      </c>
      <c r="J1566" s="41">
        <v>43287.0</v>
      </c>
      <c r="K1566" s="131"/>
      <c r="L1566" s="131"/>
      <c r="M1566" s="131"/>
      <c r="N1566" s="131"/>
      <c r="O1566" s="131"/>
      <c r="P1566" s="131"/>
      <c r="Q1566" s="131"/>
      <c r="R1566" s="131"/>
      <c r="S1566" s="131"/>
      <c r="T1566" s="131"/>
      <c r="U1566" s="131"/>
      <c r="V1566" s="131"/>
      <c r="W1566" s="131"/>
      <c r="X1566" s="131"/>
      <c r="Y1566" s="131"/>
      <c r="Z1566" s="131"/>
    </row>
    <row r="1567" hidden="1">
      <c r="A1567" s="105" t="str">
        <f>hyperlink("https://issues.sierrawireless.com/browse/OEMPRI-7620", "OEMPRI-7620")</f>
        <v>OEMPRI-7620</v>
      </c>
      <c r="B1567" s="5" t="s">
        <v>6922</v>
      </c>
      <c r="C1567" s="5" t="s">
        <v>139</v>
      </c>
      <c r="D1567" s="106">
        <v>43286.0</v>
      </c>
      <c r="E1567" s="107">
        <v>43300.0</v>
      </c>
      <c r="F1567" s="5" t="s">
        <v>160</v>
      </c>
      <c r="G1567" s="5" t="s">
        <v>148</v>
      </c>
      <c r="H1567" s="5" t="s">
        <v>244</v>
      </c>
      <c r="I1567" s="41">
        <v>43297.0</v>
      </c>
      <c r="J1567" s="41">
        <v>43301.0</v>
      </c>
      <c r="K1567" s="131"/>
      <c r="L1567" s="131"/>
      <c r="M1567" s="131"/>
      <c r="N1567" s="131"/>
      <c r="O1567" s="131"/>
      <c r="P1567" s="131"/>
      <c r="Q1567" s="131"/>
      <c r="R1567" s="131"/>
      <c r="S1567" s="131"/>
      <c r="T1567" s="131"/>
      <c r="U1567" s="131"/>
      <c r="V1567" s="131"/>
      <c r="W1567" s="131"/>
      <c r="X1567" s="131"/>
      <c r="Y1567" s="131"/>
      <c r="Z1567" s="131"/>
    </row>
    <row r="1568">
      <c r="A1568" s="115" t="str">
        <f>hyperlink("https://issues.sierrawireless.com/browse/OEMPRI-7626", "OEMPRI-7626")</f>
        <v>OEMPRI-7626</v>
      </c>
      <c r="B1568" s="116" t="s">
        <v>6926</v>
      </c>
      <c r="C1568" s="116" t="s">
        <v>86</v>
      </c>
      <c r="D1568" s="117">
        <v>43286.0</v>
      </c>
      <c r="E1568" s="118" t="s">
        <v>92</v>
      </c>
      <c r="F1568" s="116" t="s">
        <v>176</v>
      </c>
      <c r="G1568" s="116" t="s">
        <v>140</v>
      </c>
      <c r="H1568" s="116" t="s">
        <v>153</v>
      </c>
      <c r="I1568" s="95">
        <v>43332.0</v>
      </c>
      <c r="J1568" s="95">
        <v>43336.0</v>
      </c>
      <c r="K1568" s="179"/>
      <c r="L1568" s="179"/>
      <c r="M1568" s="179"/>
      <c r="N1568" s="179"/>
      <c r="O1568" s="179"/>
      <c r="P1568" s="179"/>
      <c r="Q1568" s="179"/>
      <c r="R1568" s="179"/>
      <c r="S1568" s="179"/>
      <c r="T1568" s="179"/>
      <c r="U1568" s="179"/>
      <c r="V1568" s="179"/>
      <c r="W1568" s="179"/>
      <c r="X1568" s="179"/>
      <c r="Y1568" s="179"/>
      <c r="Z1568" s="179"/>
    </row>
    <row r="1569" hidden="1">
      <c r="A1569" s="105" t="str">
        <f>hyperlink("https://issues.sierrawireless.com/browse/OEMPRI-7633", "OEMPRI-7633")</f>
        <v>OEMPRI-7633</v>
      </c>
      <c r="B1569" s="5" t="s">
        <v>6929</v>
      </c>
      <c r="C1569" s="5" t="s">
        <v>139</v>
      </c>
      <c r="D1569" s="106">
        <v>43287.0</v>
      </c>
      <c r="E1569" s="107" t="s">
        <v>92</v>
      </c>
      <c r="F1569" s="5" t="s">
        <v>176</v>
      </c>
      <c r="G1569" s="5" t="s">
        <v>170</v>
      </c>
      <c r="H1569" s="5" t="s">
        <v>170</v>
      </c>
      <c r="I1569" s="41">
        <v>43290.0</v>
      </c>
      <c r="J1569" s="41">
        <v>43294.0</v>
      </c>
      <c r="K1569" s="131"/>
      <c r="L1569" s="131"/>
      <c r="M1569" s="131"/>
      <c r="N1569" s="131"/>
      <c r="O1569" s="131"/>
      <c r="P1569" s="131"/>
      <c r="Q1569" s="131"/>
      <c r="R1569" s="131"/>
      <c r="S1569" s="131"/>
      <c r="T1569" s="131"/>
      <c r="U1569" s="131"/>
      <c r="V1569" s="131"/>
      <c r="W1569" s="131"/>
      <c r="X1569" s="131"/>
      <c r="Y1569" s="131"/>
      <c r="Z1569" s="131"/>
    </row>
    <row r="1570" hidden="1">
      <c r="A1570" s="105" t="str">
        <f>hyperlink("https://issues.sierrawireless.com/browse/OEMPRI-7634", "OEMPRI-7634")</f>
        <v>OEMPRI-7634</v>
      </c>
      <c r="B1570" s="5" t="s">
        <v>6931</v>
      </c>
      <c r="C1570" s="5" t="s">
        <v>469</v>
      </c>
      <c r="D1570" s="106">
        <v>43287.0</v>
      </c>
      <c r="E1570" s="107" t="s">
        <v>92</v>
      </c>
      <c r="F1570" s="5" t="s">
        <v>176</v>
      </c>
      <c r="G1570" s="5" t="s">
        <v>2668</v>
      </c>
      <c r="H1570" s="5" t="s">
        <v>170</v>
      </c>
      <c r="I1570" s="41">
        <v>43297.0</v>
      </c>
      <c r="J1570" s="41">
        <v>43301.0</v>
      </c>
      <c r="K1570" s="131"/>
      <c r="L1570" s="131"/>
      <c r="M1570" s="131"/>
      <c r="N1570" s="131"/>
      <c r="O1570" s="131"/>
      <c r="P1570" s="131"/>
      <c r="Q1570" s="131"/>
      <c r="R1570" s="131"/>
      <c r="S1570" s="131"/>
      <c r="T1570" s="131"/>
      <c r="U1570" s="131"/>
      <c r="V1570" s="131"/>
      <c r="W1570" s="131"/>
      <c r="X1570" s="131"/>
      <c r="Y1570" s="131"/>
      <c r="Z1570" s="131"/>
    </row>
    <row r="1571" hidden="1">
      <c r="A1571" s="105" t="str">
        <f>hyperlink("https://issues.sierrawireless.com/browse/OEMPRI-7635", "OEMPRI-7635")</f>
        <v>OEMPRI-7635</v>
      </c>
      <c r="B1571" s="5" t="s">
        <v>6933</v>
      </c>
      <c r="C1571" s="5" t="s">
        <v>469</v>
      </c>
      <c r="D1571" s="106">
        <v>43287.0</v>
      </c>
      <c r="E1571" s="107">
        <v>43291.0</v>
      </c>
      <c r="F1571" s="5" t="s">
        <v>176</v>
      </c>
      <c r="G1571" s="5" t="s">
        <v>233</v>
      </c>
      <c r="H1571" s="5" t="s">
        <v>233</v>
      </c>
      <c r="I1571" s="41">
        <v>43290.0</v>
      </c>
      <c r="J1571" s="41">
        <v>43294.0</v>
      </c>
      <c r="K1571" s="131"/>
      <c r="L1571" s="131"/>
      <c r="M1571" s="131"/>
      <c r="N1571" s="131"/>
      <c r="O1571" s="131"/>
      <c r="P1571" s="131"/>
      <c r="Q1571" s="131"/>
      <c r="R1571" s="131"/>
      <c r="S1571" s="131"/>
      <c r="T1571" s="131"/>
      <c r="U1571" s="131"/>
      <c r="V1571" s="131"/>
      <c r="W1571" s="131"/>
      <c r="X1571" s="131"/>
      <c r="Y1571" s="131"/>
      <c r="Z1571" s="131"/>
    </row>
    <row r="1572" hidden="1">
      <c r="A1572" s="105" t="str">
        <f>hyperlink("https://issues.sierrawireless.com/browse/OEMPRI-7658", "OEMPRI-7658")</f>
        <v>OEMPRI-7658</v>
      </c>
      <c r="B1572" s="5" t="s">
        <v>6935</v>
      </c>
      <c r="C1572" s="5" t="s">
        <v>139</v>
      </c>
      <c r="D1572" s="106">
        <v>43291.0</v>
      </c>
      <c r="E1572" s="107">
        <v>43292.0</v>
      </c>
      <c r="F1572" s="5" t="s">
        <v>160</v>
      </c>
      <c r="G1572" s="5" t="s">
        <v>140</v>
      </c>
      <c r="H1572" s="5" t="s">
        <v>141</v>
      </c>
      <c r="I1572" s="41">
        <v>43297.0</v>
      </c>
      <c r="J1572" s="41">
        <v>43301.0</v>
      </c>
      <c r="K1572" s="131"/>
      <c r="L1572" s="131"/>
      <c r="M1572" s="131"/>
      <c r="N1572" s="131"/>
      <c r="O1572" s="131"/>
      <c r="P1572" s="131"/>
      <c r="Q1572" s="131"/>
      <c r="R1572" s="131"/>
      <c r="S1572" s="131"/>
      <c r="T1572" s="131"/>
      <c r="U1572" s="131"/>
      <c r="V1572" s="131"/>
      <c r="W1572" s="131"/>
      <c r="X1572" s="131"/>
      <c r="Y1572" s="131"/>
      <c r="Z1572" s="131"/>
    </row>
    <row r="1573" hidden="1">
      <c r="A1573" s="105" t="str">
        <f>hyperlink("https://issues.sierrawireless.com/browse/OEMPRI-7659", "OEMPRI-7659")</f>
        <v>OEMPRI-7659</v>
      </c>
      <c r="B1573" s="5" t="s">
        <v>6938</v>
      </c>
      <c r="C1573" s="5" t="s">
        <v>86</v>
      </c>
      <c r="D1573" s="106">
        <v>43291.0</v>
      </c>
      <c r="E1573" s="107">
        <v>43294.0</v>
      </c>
      <c r="F1573" s="5" t="s">
        <v>160</v>
      </c>
      <c r="G1573" s="5" t="s">
        <v>490</v>
      </c>
      <c r="H1573" s="5" t="s">
        <v>141</v>
      </c>
      <c r="I1573" s="41">
        <v>43290.0</v>
      </c>
      <c r="J1573" s="41">
        <v>43294.0</v>
      </c>
      <c r="K1573" s="131"/>
      <c r="L1573" s="131"/>
      <c r="M1573" s="131"/>
      <c r="N1573" s="131"/>
      <c r="O1573" s="131"/>
      <c r="P1573" s="131"/>
      <c r="Q1573" s="131"/>
      <c r="R1573" s="131"/>
      <c r="S1573" s="131"/>
      <c r="T1573" s="131"/>
      <c r="U1573" s="131"/>
      <c r="V1573" s="131"/>
      <c r="W1573" s="131"/>
      <c r="X1573" s="131"/>
      <c r="Y1573" s="131"/>
      <c r="Z1573" s="131"/>
    </row>
    <row r="1574" hidden="1">
      <c r="A1574" s="105" t="str">
        <f>hyperlink("https://issues.sierrawireless.com/browse/OEMPRI-7660", "OEMPRI-7660")</f>
        <v>OEMPRI-7660</v>
      </c>
      <c r="B1574" s="5" t="s">
        <v>6941</v>
      </c>
      <c r="C1574" s="5" t="s">
        <v>139</v>
      </c>
      <c r="D1574" s="106">
        <v>43291.0</v>
      </c>
      <c r="E1574" s="107">
        <v>43291.0</v>
      </c>
      <c r="F1574" s="5" t="s">
        <v>176</v>
      </c>
      <c r="G1574" s="5" t="s">
        <v>148</v>
      </c>
      <c r="H1574" s="5" t="s">
        <v>140</v>
      </c>
      <c r="I1574" s="41">
        <v>43297.0</v>
      </c>
      <c r="J1574" s="41">
        <v>43301.0</v>
      </c>
      <c r="K1574" s="131"/>
      <c r="L1574" s="131"/>
      <c r="M1574" s="131"/>
      <c r="N1574" s="131"/>
      <c r="O1574" s="131"/>
      <c r="P1574" s="131"/>
      <c r="Q1574" s="131"/>
      <c r="R1574" s="131"/>
      <c r="S1574" s="131"/>
      <c r="T1574" s="131"/>
      <c r="U1574" s="131"/>
      <c r="V1574" s="131"/>
      <c r="W1574" s="131"/>
      <c r="X1574" s="131"/>
      <c r="Y1574" s="131"/>
      <c r="Z1574" s="131"/>
    </row>
    <row r="1575" hidden="1">
      <c r="A1575" s="105" t="str">
        <f>hyperlink("https://issues.sierrawireless.com/browse/OEMPRI-7678", "OEMPRI-7678")</f>
        <v>OEMPRI-7678</v>
      </c>
      <c r="B1575" s="5" t="s">
        <v>6943</v>
      </c>
      <c r="C1575" s="5" t="s">
        <v>139</v>
      </c>
      <c r="D1575" s="106">
        <v>43292.0</v>
      </c>
      <c r="E1575" s="107" t="s">
        <v>92</v>
      </c>
      <c r="F1575" s="5" t="s">
        <v>176</v>
      </c>
      <c r="G1575" s="5" t="s">
        <v>170</v>
      </c>
      <c r="H1575" s="5" t="s">
        <v>170</v>
      </c>
      <c r="I1575" s="41">
        <v>43297.0</v>
      </c>
      <c r="J1575" s="41">
        <v>43301.0</v>
      </c>
      <c r="K1575" s="131"/>
      <c r="L1575" s="131"/>
      <c r="M1575" s="131"/>
      <c r="N1575" s="131"/>
      <c r="O1575" s="131"/>
      <c r="P1575" s="131"/>
      <c r="Q1575" s="131"/>
      <c r="R1575" s="131"/>
      <c r="S1575" s="131"/>
      <c r="T1575" s="131"/>
      <c r="U1575" s="131"/>
      <c r="V1575" s="131"/>
      <c r="W1575" s="131"/>
      <c r="X1575" s="131"/>
      <c r="Y1575" s="131"/>
      <c r="Z1575" s="131"/>
    </row>
    <row r="1576" hidden="1">
      <c r="A1576" s="105" t="str">
        <f>hyperlink("https://issues.sierrawireless.com/browse/OEMPRI-7692", "OEMPRI-7692")</f>
        <v>OEMPRI-7692</v>
      </c>
      <c r="B1576" s="5" t="s">
        <v>6945</v>
      </c>
      <c r="C1576" s="5" t="s">
        <v>139</v>
      </c>
      <c r="D1576" s="106">
        <v>43293.0</v>
      </c>
      <c r="E1576" s="107" t="s">
        <v>92</v>
      </c>
      <c r="F1576" s="5" t="s">
        <v>176</v>
      </c>
      <c r="G1576" s="5" t="s">
        <v>140</v>
      </c>
      <c r="H1576" s="5" t="s">
        <v>140</v>
      </c>
      <c r="I1576" s="41">
        <v>43318.0</v>
      </c>
      <c r="J1576" s="41">
        <v>43322.0</v>
      </c>
      <c r="K1576" s="131"/>
      <c r="L1576" s="131"/>
      <c r="M1576" s="131"/>
      <c r="N1576" s="131"/>
      <c r="O1576" s="131"/>
      <c r="P1576" s="131"/>
      <c r="Q1576" s="131"/>
      <c r="R1576" s="131"/>
      <c r="S1576" s="131"/>
      <c r="T1576" s="131"/>
      <c r="U1576" s="131"/>
      <c r="V1576" s="131"/>
      <c r="W1576" s="131"/>
      <c r="X1576" s="131"/>
      <c r="Y1576" s="131"/>
      <c r="Z1576" s="131"/>
    </row>
    <row r="1577">
      <c r="A1577" s="110" t="str">
        <f>hyperlink("https://issues.sierrawireless.com/browse/OEMPRI-7715", "OEMPRI-7715")</f>
        <v>OEMPRI-7715</v>
      </c>
      <c r="B1577" s="49" t="s">
        <v>6947</v>
      </c>
      <c r="C1577" s="49" t="s">
        <v>86</v>
      </c>
      <c r="D1577" s="50">
        <v>43294.0</v>
      </c>
      <c r="E1577" s="54">
        <v>43298.0</v>
      </c>
      <c r="F1577" s="49" t="s">
        <v>166</v>
      </c>
      <c r="G1577" s="49" t="s">
        <v>148</v>
      </c>
      <c r="H1577" s="49" t="s">
        <v>141</v>
      </c>
      <c r="I1577" s="32">
        <v>43332.0</v>
      </c>
      <c r="J1577" s="32">
        <v>43336.0</v>
      </c>
    </row>
    <row r="1578" hidden="1">
      <c r="A1578" s="105" t="str">
        <f>hyperlink("https://issues.sierrawireless.com/browse/OEMPRI-7716", "OEMPRI-7716")</f>
        <v>OEMPRI-7716</v>
      </c>
      <c r="B1578" s="5" t="s">
        <v>6949</v>
      </c>
      <c r="C1578" s="5" t="s">
        <v>139</v>
      </c>
      <c r="D1578" s="106">
        <v>43294.0</v>
      </c>
      <c r="E1578" s="107">
        <v>43266.0</v>
      </c>
      <c r="F1578" s="5" t="s">
        <v>176</v>
      </c>
      <c r="G1578" s="5" t="s">
        <v>170</v>
      </c>
      <c r="H1578" s="5" t="s">
        <v>170</v>
      </c>
      <c r="I1578" s="41">
        <v>43297.0</v>
      </c>
      <c r="J1578" s="41">
        <v>43301.0</v>
      </c>
      <c r="K1578" s="131"/>
      <c r="L1578" s="131"/>
      <c r="M1578" s="131"/>
      <c r="N1578" s="131"/>
      <c r="O1578" s="131"/>
      <c r="P1578" s="131"/>
      <c r="Q1578" s="131"/>
      <c r="R1578" s="131"/>
      <c r="S1578" s="131"/>
      <c r="T1578" s="131"/>
      <c r="U1578" s="131"/>
      <c r="V1578" s="131"/>
      <c r="W1578" s="131"/>
      <c r="X1578" s="131"/>
      <c r="Y1578" s="131"/>
      <c r="Z1578" s="131"/>
    </row>
    <row r="1579" hidden="1">
      <c r="A1579" s="105" t="str">
        <f>hyperlink("https://issues.sierrawireless.com/browse/OEMPRI-7724", "OEMPRI-7724")</f>
        <v>OEMPRI-7724</v>
      </c>
      <c r="B1579" s="5" t="s">
        <v>6953</v>
      </c>
      <c r="C1579" s="5" t="s">
        <v>139</v>
      </c>
      <c r="D1579" s="106">
        <v>43297.0</v>
      </c>
      <c r="E1579" s="107">
        <v>43264.0</v>
      </c>
      <c r="F1579" s="5" t="s">
        <v>176</v>
      </c>
      <c r="G1579" s="5" t="s">
        <v>170</v>
      </c>
      <c r="H1579" s="5" t="s">
        <v>170</v>
      </c>
      <c r="I1579" s="41">
        <v>43297.0</v>
      </c>
      <c r="J1579" s="41">
        <v>43301.0</v>
      </c>
      <c r="K1579" s="131"/>
      <c r="L1579" s="131"/>
      <c r="M1579" s="131"/>
      <c r="N1579" s="131"/>
      <c r="O1579" s="131"/>
      <c r="P1579" s="131"/>
      <c r="Q1579" s="131"/>
      <c r="R1579" s="131"/>
      <c r="S1579" s="131"/>
      <c r="T1579" s="131"/>
      <c r="U1579" s="131"/>
      <c r="V1579" s="131"/>
      <c r="W1579" s="131"/>
      <c r="X1579" s="131"/>
      <c r="Y1579" s="131"/>
      <c r="Z1579" s="131"/>
    </row>
    <row r="1580" hidden="1">
      <c r="A1580" s="186" t="str">
        <f>HYPERLINK("https://issues.sierrawireless.com/browse/OEMPRI-7726","OEMPRI-7726")</f>
        <v>OEMPRI-7726</v>
      </c>
      <c r="B1580" s="5" t="s">
        <v>6959</v>
      </c>
      <c r="C1580" s="5" t="s">
        <v>139</v>
      </c>
      <c r="D1580" s="106">
        <v>43297.0</v>
      </c>
      <c r="E1580" s="107">
        <v>43266.0</v>
      </c>
      <c r="F1580" s="5" t="s">
        <v>176</v>
      </c>
      <c r="G1580" s="5" t="s">
        <v>170</v>
      </c>
      <c r="H1580" s="5" t="s">
        <v>170</v>
      </c>
      <c r="I1580" s="41">
        <v>43297.0</v>
      </c>
      <c r="J1580" s="41">
        <v>43301.0</v>
      </c>
      <c r="K1580" s="131"/>
      <c r="L1580" s="131"/>
      <c r="M1580" s="131"/>
      <c r="N1580" s="131"/>
      <c r="O1580" s="131"/>
      <c r="P1580" s="131"/>
      <c r="Q1580" s="131"/>
      <c r="R1580" s="131"/>
      <c r="S1580" s="131"/>
      <c r="T1580" s="131"/>
      <c r="U1580" s="131"/>
      <c r="V1580" s="131"/>
      <c r="W1580" s="131"/>
      <c r="X1580" s="131"/>
      <c r="Y1580" s="131"/>
      <c r="Z1580" s="131"/>
    </row>
    <row r="1581" hidden="1">
      <c r="A1581" s="186" t="str">
        <f>HYPERLINK("https://issues.sierrawireless.com/browse/OEMPRI-7725","OEMPRI-7725")</f>
        <v>OEMPRI-7725</v>
      </c>
      <c r="B1581" s="5" t="s">
        <v>6961</v>
      </c>
      <c r="C1581" s="5" t="s">
        <v>139</v>
      </c>
      <c r="D1581" s="106">
        <v>43297.0</v>
      </c>
      <c r="E1581" s="107">
        <v>43264.0</v>
      </c>
      <c r="F1581" s="5" t="s">
        <v>176</v>
      </c>
      <c r="G1581" s="5" t="s">
        <v>170</v>
      </c>
      <c r="H1581" s="5" t="s">
        <v>170</v>
      </c>
      <c r="I1581" s="41">
        <v>43304.0</v>
      </c>
      <c r="J1581" s="41">
        <v>43308.0</v>
      </c>
      <c r="K1581" s="131"/>
      <c r="L1581" s="131"/>
      <c r="M1581" s="131"/>
      <c r="N1581" s="131"/>
      <c r="O1581" s="131"/>
      <c r="P1581" s="131"/>
      <c r="Q1581" s="131"/>
      <c r="R1581" s="131"/>
      <c r="S1581" s="131"/>
      <c r="T1581" s="131"/>
      <c r="U1581" s="131"/>
      <c r="V1581" s="131"/>
      <c r="W1581" s="131"/>
      <c r="X1581" s="131"/>
      <c r="Y1581" s="131"/>
      <c r="Z1581" s="131"/>
    </row>
    <row r="1582" hidden="1">
      <c r="A1582" s="105" t="str">
        <f>hyperlink("https://issues.sierrawireless.com/browse/OEMPRI-7727", "OEMPRI-7727")</f>
        <v>OEMPRI-7727</v>
      </c>
      <c r="B1582" s="5" t="s">
        <v>6964</v>
      </c>
      <c r="C1582" s="5" t="s">
        <v>139</v>
      </c>
      <c r="D1582" s="106">
        <v>43297.0</v>
      </c>
      <c r="E1582" s="107">
        <v>43297.0</v>
      </c>
      <c r="F1582" s="5" t="s">
        <v>160</v>
      </c>
      <c r="G1582" s="5" t="s">
        <v>141</v>
      </c>
      <c r="H1582" s="5" t="s">
        <v>141</v>
      </c>
      <c r="I1582" s="41">
        <v>43297.0</v>
      </c>
      <c r="J1582" s="41">
        <v>43301.0</v>
      </c>
      <c r="K1582" s="131"/>
      <c r="L1582" s="131"/>
      <c r="M1582" s="131"/>
      <c r="N1582" s="131"/>
      <c r="O1582" s="131"/>
      <c r="P1582" s="131"/>
      <c r="Q1582" s="131"/>
      <c r="R1582" s="131"/>
      <c r="S1582" s="131"/>
      <c r="T1582" s="131"/>
      <c r="U1582" s="131"/>
      <c r="V1582" s="131"/>
      <c r="W1582" s="131"/>
      <c r="X1582" s="131"/>
      <c r="Y1582" s="131"/>
      <c r="Z1582" s="131"/>
    </row>
    <row r="1583" hidden="1">
      <c r="A1583" s="105" t="str">
        <f>hyperlink("https://issues.sierrawireless.com/browse/OEMPRI-7728", "OEMPRI-7728")</f>
        <v>OEMPRI-7728</v>
      </c>
      <c r="B1583" s="5" t="s">
        <v>6966</v>
      </c>
      <c r="C1583" s="5" t="s">
        <v>139</v>
      </c>
      <c r="D1583" s="106">
        <v>43297.0</v>
      </c>
      <c r="E1583" s="107">
        <v>43298.0</v>
      </c>
      <c r="F1583" s="5" t="s">
        <v>160</v>
      </c>
      <c r="G1583" s="5" t="s">
        <v>141</v>
      </c>
      <c r="H1583" s="5" t="s">
        <v>141</v>
      </c>
      <c r="I1583" s="41">
        <v>43297.0</v>
      </c>
      <c r="J1583" s="41">
        <v>43301.0</v>
      </c>
      <c r="K1583" s="131"/>
      <c r="L1583" s="131"/>
      <c r="M1583" s="131"/>
      <c r="N1583" s="131"/>
      <c r="O1583" s="131"/>
      <c r="P1583" s="131"/>
      <c r="Q1583" s="131"/>
      <c r="R1583" s="131"/>
      <c r="S1583" s="131"/>
      <c r="T1583" s="131"/>
      <c r="U1583" s="131"/>
      <c r="V1583" s="131"/>
      <c r="W1583" s="131"/>
      <c r="X1583" s="131"/>
      <c r="Y1583" s="131"/>
      <c r="Z1583" s="131"/>
    </row>
    <row r="1584">
      <c r="A1584" s="110" t="str">
        <f>hyperlink("https://issues.sierrawireless.com/browse/OEMPRI-7730", "OEMPRI-7730")</f>
        <v>OEMPRI-7730</v>
      </c>
      <c r="B1584" s="49" t="s">
        <v>6969</v>
      </c>
      <c r="C1584" s="49" t="s">
        <v>86</v>
      </c>
      <c r="D1584" s="50">
        <v>43297.0</v>
      </c>
      <c r="E1584" s="54" t="s">
        <v>92</v>
      </c>
      <c r="F1584" s="49" t="s">
        <v>160</v>
      </c>
      <c r="G1584" s="49" t="s">
        <v>140</v>
      </c>
      <c r="H1584" s="49" t="s">
        <v>140</v>
      </c>
      <c r="I1584" s="32">
        <v>43332.0</v>
      </c>
      <c r="J1584" s="32">
        <v>43336.0</v>
      </c>
    </row>
    <row r="1585" hidden="1">
      <c r="A1585" s="105" t="str">
        <f>hyperlink("https://issues.sierrawireless.com/browse/OEMPRI-7745", "OEMPRI-7745")</f>
        <v>OEMPRI-7745</v>
      </c>
      <c r="B1585" s="5" t="s">
        <v>6971</v>
      </c>
      <c r="C1585" s="5" t="s">
        <v>469</v>
      </c>
      <c r="D1585" s="106">
        <v>43298.0</v>
      </c>
      <c r="E1585" s="107">
        <v>43301.0</v>
      </c>
      <c r="F1585" s="5" t="s">
        <v>160</v>
      </c>
      <c r="G1585" s="5" t="s">
        <v>140</v>
      </c>
      <c r="H1585" s="5" t="s">
        <v>233</v>
      </c>
      <c r="I1585" s="41">
        <v>43297.0</v>
      </c>
      <c r="J1585" s="41">
        <v>43301.0</v>
      </c>
      <c r="K1585" s="131"/>
      <c r="L1585" s="131"/>
      <c r="M1585" s="131"/>
      <c r="N1585" s="131"/>
      <c r="O1585" s="131"/>
      <c r="P1585" s="131"/>
      <c r="Q1585" s="131"/>
      <c r="R1585" s="131"/>
      <c r="S1585" s="131"/>
      <c r="T1585" s="131"/>
      <c r="U1585" s="131"/>
      <c r="V1585" s="131"/>
      <c r="W1585" s="131"/>
      <c r="X1585" s="131"/>
      <c r="Y1585" s="131"/>
      <c r="Z1585" s="131"/>
    </row>
    <row r="1586" hidden="1">
      <c r="A1586" s="105" t="str">
        <f>hyperlink("https://issues.sierrawireless.com/browse/OEMPRI-7757", "OEMPRI-7757")</f>
        <v>OEMPRI-7757</v>
      </c>
      <c r="B1586" s="5" t="s">
        <v>6973</v>
      </c>
      <c r="C1586" s="5" t="s">
        <v>139</v>
      </c>
      <c r="D1586" s="106">
        <v>43299.0</v>
      </c>
      <c r="E1586" s="107">
        <v>43304.0</v>
      </c>
      <c r="F1586" s="5" t="s">
        <v>176</v>
      </c>
      <c r="G1586" s="5" t="s">
        <v>170</v>
      </c>
      <c r="H1586" s="5" t="s">
        <v>170</v>
      </c>
      <c r="I1586" s="41">
        <v>43304.0</v>
      </c>
      <c r="J1586" s="41">
        <v>43308.0</v>
      </c>
      <c r="K1586" s="131"/>
      <c r="L1586" s="131"/>
      <c r="M1586" s="131"/>
      <c r="N1586" s="131"/>
      <c r="O1586" s="131"/>
      <c r="P1586" s="131"/>
      <c r="Q1586" s="131"/>
      <c r="R1586" s="131"/>
      <c r="S1586" s="131"/>
      <c r="T1586" s="131"/>
      <c r="U1586" s="131"/>
      <c r="V1586" s="131"/>
      <c r="W1586" s="131"/>
      <c r="X1586" s="131"/>
      <c r="Y1586" s="131"/>
      <c r="Z1586" s="131"/>
    </row>
    <row r="1587" hidden="1">
      <c r="A1587" s="105" t="str">
        <f>hyperlink("https://issues.sierrawireless.com/browse/OEMPRI-7768", "OEMPRI-7768")</f>
        <v>OEMPRI-7768</v>
      </c>
      <c r="B1587" s="5" t="s">
        <v>6976</v>
      </c>
      <c r="C1587" s="5" t="s">
        <v>139</v>
      </c>
      <c r="D1587" s="106">
        <v>43299.0</v>
      </c>
      <c r="E1587" s="107">
        <v>43299.0</v>
      </c>
      <c r="F1587" s="5" t="s">
        <v>176</v>
      </c>
      <c r="G1587" s="5" t="s">
        <v>140</v>
      </c>
      <c r="H1587" s="5" t="s">
        <v>233</v>
      </c>
      <c r="I1587" s="41">
        <v>43297.0</v>
      </c>
      <c r="J1587" s="41">
        <v>43301.0</v>
      </c>
      <c r="K1587" s="131"/>
      <c r="L1587" s="131"/>
      <c r="M1587" s="131"/>
      <c r="N1587" s="131"/>
      <c r="O1587" s="131"/>
      <c r="P1587" s="131"/>
      <c r="Q1587" s="131"/>
      <c r="R1587" s="131"/>
      <c r="S1587" s="131"/>
      <c r="T1587" s="131"/>
      <c r="U1587" s="131"/>
      <c r="V1587" s="131"/>
      <c r="W1587" s="131"/>
      <c r="X1587" s="131"/>
      <c r="Y1587" s="131"/>
      <c r="Z1587" s="131"/>
    </row>
    <row r="1588" hidden="1">
      <c r="A1588" s="105" t="str">
        <f>hyperlink("https://issues.sierrawireless.com/browse/OEMPRI-7769", "OEMPRI-7769")</f>
        <v>OEMPRI-7769</v>
      </c>
      <c r="B1588" s="5" t="s">
        <v>818</v>
      </c>
      <c r="C1588" s="5" t="s">
        <v>139</v>
      </c>
      <c r="D1588" s="106">
        <v>43299.0</v>
      </c>
      <c r="E1588" s="107">
        <v>43308.0</v>
      </c>
      <c r="F1588" s="5" t="s">
        <v>160</v>
      </c>
      <c r="G1588" s="5" t="s">
        <v>141</v>
      </c>
      <c r="H1588" s="5" t="s">
        <v>141</v>
      </c>
      <c r="I1588" s="41">
        <v>43304.0</v>
      </c>
      <c r="J1588" s="41">
        <v>43308.0</v>
      </c>
      <c r="K1588" s="131"/>
      <c r="L1588" s="131"/>
      <c r="M1588" s="131"/>
      <c r="N1588" s="131"/>
      <c r="O1588" s="131"/>
      <c r="P1588" s="131"/>
      <c r="Q1588" s="131"/>
      <c r="R1588" s="131"/>
      <c r="S1588" s="131"/>
      <c r="T1588" s="131"/>
      <c r="U1588" s="131"/>
      <c r="V1588" s="131"/>
      <c r="W1588" s="131"/>
      <c r="X1588" s="131"/>
      <c r="Y1588" s="131"/>
      <c r="Z1588" s="131"/>
    </row>
    <row r="1589" hidden="1">
      <c r="A1589" s="105" t="str">
        <f>hyperlink("https://issues.sierrawireless.com/browse/OEMPRI-7770", "OEMPRI-7770")</f>
        <v>OEMPRI-7770</v>
      </c>
      <c r="B1589" s="5" t="s">
        <v>6981</v>
      </c>
      <c r="C1589" s="5" t="s">
        <v>175</v>
      </c>
      <c r="D1589" s="106">
        <v>43299.0</v>
      </c>
      <c r="E1589" s="107">
        <v>43315.0</v>
      </c>
      <c r="F1589" s="5" t="s">
        <v>160</v>
      </c>
      <c r="G1589" s="5" t="s">
        <v>148</v>
      </c>
      <c r="H1589" s="5" t="s">
        <v>244</v>
      </c>
      <c r="I1589" s="41">
        <v>43304.0</v>
      </c>
      <c r="J1589" s="41">
        <v>43308.0</v>
      </c>
      <c r="K1589" s="131"/>
      <c r="L1589" s="131"/>
      <c r="M1589" s="131"/>
      <c r="N1589" s="131"/>
      <c r="O1589" s="131"/>
      <c r="P1589" s="131"/>
      <c r="Q1589" s="131"/>
      <c r="R1589" s="131"/>
      <c r="S1589" s="131"/>
      <c r="T1589" s="131"/>
      <c r="U1589" s="131"/>
      <c r="V1589" s="131"/>
      <c r="W1589" s="131"/>
      <c r="X1589" s="131"/>
      <c r="Y1589" s="131"/>
      <c r="Z1589" s="131"/>
    </row>
    <row r="1590" hidden="1">
      <c r="A1590" s="105" t="str">
        <f>hyperlink("https://issues.sierrawireless.com/browse/OEMPRI-7775", "OEMPRI-7775")</f>
        <v>OEMPRI-7775</v>
      </c>
      <c r="B1590" s="5" t="s">
        <v>6984</v>
      </c>
      <c r="C1590" s="5" t="s">
        <v>139</v>
      </c>
      <c r="D1590" s="106">
        <v>43300.0</v>
      </c>
      <c r="E1590" s="107">
        <v>43298.0</v>
      </c>
      <c r="F1590" s="5" t="s">
        <v>160</v>
      </c>
      <c r="G1590" s="5" t="s">
        <v>141</v>
      </c>
      <c r="H1590" s="5" t="s">
        <v>141</v>
      </c>
      <c r="I1590" s="41">
        <v>43304.0</v>
      </c>
      <c r="J1590" s="41">
        <v>43308.0</v>
      </c>
      <c r="K1590" s="131"/>
      <c r="L1590" s="131"/>
      <c r="M1590" s="131"/>
      <c r="N1590" s="131"/>
      <c r="O1590" s="131"/>
      <c r="P1590" s="131"/>
      <c r="Q1590" s="131"/>
      <c r="R1590" s="131"/>
      <c r="S1590" s="131"/>
      <c r="T1590" s="131"/>
      <c r="U1590" s="131"/>
      <c r="V1590" s="131"/>
      <c r="W1590" s="131"/>
      <c r="X1590" s="131"/>
      <c r="Y1590" s="131"/>
      <c r="Z1590" s="131"/>
    </row>
    <row r="1591" hidden="1">
      <c r="A1591" s="105" t="str">
        <f>hyperlink("https://issues.sierrawireless.com/browse/OEMPRI-7776", "OEMPRI-7776")</f>
        <v>OEMPRI-7776</v>
      </c>
      <c r="B1591" s="5" t="s">
        <v>6986</v>
      </c>
      <c r="C1591" s="5" t="s">
        <v>139</v>
      </c>
      <c r="D1591" s="106">
        <v>43300.0</v>
      </c>
      <c r="E1591" s="107">
        <v>43306.0</v>
      </c>
      <c r="F1591" s="5" t="s">
        <v>160</v>
      </c>
      <c r="G1591" s="5" t="s">
        <v>141</v>
      </c>
      <c r="H1591" s="5" t="s">
        <v>141</v>
      </c>
      <c r="I1591" s="41">
        <v>43304.0</v>
      </c>
      <c r="J1591" s="41">
        <v>43308.0</v>
      </c>
      <c r="K1591" s="131"/>
      <c r="L1591" s="131"/>
      <c r="M1591" s="131"/>
      <c r="N1591" s="131"/>
      <c r="O1591" s="131"/>
      <c r="P1591" s="131"/>
      <c r="Q1591" s="131"/>
      <c r="R1591" s="131"/>
      <c r="S1591" s="131"/>
      <c r="T1591" s="131"/>
      <c r="U1591" s="131"/>
      <c r="V1591" s="131"/>
      <c r="W1591" s="131"/>
      <c r="X1591" s="131"/>
      <c r="Y1591" s="131"/>
      <c r="Z1591" s="131"/>
    </row>
    <row r="1592" hidden="1">
      <c r="A1592" s="105" t="str">
        <f>hyperlink("https://issues.sierrawireless.com/browse/OEMPRI-7795", "OEMPRI-7795")</f>
        <v>OEMPRI-7795</v>
      </c>
      <c r="B1592" s="5" t="s">
        <v>6987</v>
      </c>
      <c r="C1592" s="5" t="s">
        <v>139</v>
      </c>
      <c r="D1592" s="106">
        <v>43301.0</v>
      </c>
      <c r="E1592" s="107">
        <v>43308.0</v>
      </c>
      <c r="F1592" s="5" t="s">
        <v>119</v>
      </c>
      <c r="G1592" s="5" t="s">
        <v>148</v>
      </c>
      <c r="H1592" s="5" t="s">
        <v>122</v>
      </c>
      <c r="I1592" s="41">
        <v>43304.0</v>
      </c>
      <c r="J1592" s="41">
        <v>43308.0</v>
      </c>
      <c r="K1592" s="131"/>
      <c r="L1592" s="131"/>
      <c r="M1592" s="131"/>
      <c r="N1592" s="131"/>
      <c r="O1592" s="131"/>
      <c r="P1592" s="131"/>
      <c r="Q1592" s="131"/>
      <c r="R1592" s="131"/>
      <c r="S1592" s="131"/>
      <c r="T1592" s="131"/>
      <c r="U1592" s="131"/>
      <c r="V1592" s="131"/>
      <c r="W1592" s="131"/>
      <c r="X1592" s="131"/>
      <c r="Y1592" s="131"/>
      <c r="Z1592" s="131"/>
    </row>
    <row r="1593" hidden="1">
      <c r="A1593" s="105" t="str">
        <f>hyperlink("https://issues.sierrawireless.com/browse/OEMPRI-7807", "OEMPRI-7807")</f>
        <v>OEMPRI-7807</v>
      </c>
      <c r="B1593" s="5" t="s">
        <v>6990</v>
      </c>
      <c r="C1593" s="5" t="s">
        <v>139</v>
      </c>
      <c r="D1593" s="106">
        <v>43304.0</v>
      </c>
      <c r="E1593" s="107">
        <v>43305.0</v>
      </c>
      <c r="F1593" s="5" t="s">
        <v>5635</v>
      </c>
      <c r="G1593" s="5" t="s">
        <v>148</v>
      </c>
      <c r="H1593" s="5" t="s">
        <v>122</v>
      </c>
      <c r="I1593" s="41">
        <v>43304.0</v>
      </c>
      <c r="J1593" s="41">
        <v>43308.0</v>
      </c>
      <c r="K1593" s="131"/>
      <c r="L1593" s="131"/>
      <c r="M1593" s="131"/>
      <c r="N1593" s="131"/>
      <c r="O1593" s="131"/>
      <c r="P1593" s="131"/>
      <c r="Q1593" s="131"/>
      <c r="R1593" s="131"/>
      <c r="S1593" s="131"/>
      <c r="T1593" s="131"/>
      <c r="U1593" s="131"/>
      <c r="V1593" s="131"/>
      <c r="W1593" s="131"/>
      <c r="X1593" s="131"/>
      <c r="Y1593" s="131"/>
      <c r="Z1593" s="131"/>
    </row>
    <row r="1594" hidden="1">
      <c r="A1594" s="105" t="str">
        <f>hyperlink("https://issues.sierrawireless.com/browse/OEMPRI-7811", "OEMPRI-7811")</f>
        <v>OEMPRI-7811</v>
      </c>
      <c r="B1594" s="5" t="s">
        <v>6991</v>
      </c>
      <c r="C1594" s="5" t="s">
        <v>139</v>
      </c>
      <c r="D1594" s="106">
        <v>43304.0</v>
      </c>
      <c r="E1594" s="107">
        <v>43231.0</v>
      </c>
      <c r="F1594" s="5" t="s">
        <v>176</v>
      </c>
      <c r="G1594" s="5" t="s">
        <v>170</v>
      </c>
      <c r="H1594" s="5" t="s">
        <v>170</v>
      </c>
      <c r="I1594" s="41">
        <v>43304.0</v>
      </c>
      <c r="J1594" s="41">
        <v>43308.0</v>
      </c>
      <c r="K1594" s="131"/>
      <c r="L1594" s="131"/>
      <c r="M1594" s="131"/>
      <c r="N1594" s="131"/>
      <c r="O1594" s="131"/>
      <c r="P1594" s="131"/>
      <c r="Q1594" s="131"/>
      <c r="R1594" s="131"/>
      <c r="S1594" s="131"/>
      <c r="T1594" s="131"/>
      <c r="U1594" s="131"/>
      <c r="V1594" s="131"/>
      <c r="W1594" s="131"/>
      <c r="X1594" s="131"/>
      <c r="Y1594" s="131"/>
      <c r="Z1594" s="131"/>
    </row>
    <row r="1595" hidden="1">
      <c r="A1595" s="105" t="str">
        <f>hyperlink("https://issues.sierrawireless.com/browse/OEMPRI-7826", "OEMPRI-7826")</f>
        <v>OEMPRI-7826</v>
      </c>
      <c r="B1595" s="5" t="s">
        <v>6994</v>
      </c>
      <c r="C1595" s="5" t="s">
        <v>139</v>
      </c>
      <c r="D1595" s="106">
        <v>43305.0</v>
      </c>
      <c r="E1595" s="107">
        <v>43301.0</v>
      </c>
      <c r="F1595" s="5" t="s">
        <v>160</v>
      </c>
      <c r="G1595" s="5" t="s">
        <v>155</v>
      </c>
      <c r="H1595" s="5" t="s">
        <v>155</v>
      </c>
      <c r="I1595" s="41">
        <v>43304.0</v>
      </c>
      <c r="J1595" s="41">
        <v>43308.0</v>
      </c>
      <c r="K1595" s="131"/>
      <c r="L1595" s="131"/>
      <c r="M1595" s="131"/>
      <c r="N1595" s="131"/>
      <c r="O1595" s="131"/>
      <c r="P1595" s="131"/>
      <c r="Q1595" s="131"/>
      <c r="R1595" s="131"/>
      <c r="S1595" s="131"/>
      <c r="T1595" s="131"/>
      <c r="U1595" s="131"/>
      <c r="V1595" s="131"/>
      <c r="W1595" s="131"/>
      <c r="X1595" s="131"/>
      <c r="Y1595" s="131"/>
      <c r="Z1595" s="131"/>
    </row>
    <row r="1596" hidden="1">
      <c r="A1596" s="105" t="str">
        <f>hyperlink("https://issues.sierrawireless.com/browse/OEMPRI-5283", "OEMPRI-5283")</f>
        <v>OEMPRI-5283</v>
      </c>
      <c r="B1596" s="5" t="s">
        <v>6998</v>
      </c>
      <c r="C1596" s="5" t="s">
        <v>139</v>
      </c>
      <c r="D1596" s="106">
        <v>43045.0</v>
      </c>
      <c r="E1596" s="107">
        <v>43047.0</v>
      </c>
      <c r="F1596" s="5" t="s">
        <v>160</v>
      </c>
      <c r="G1596" s="5" t="s">
        <v>140</v>
      </c>
      <c r="H1596" s="5" t="s">
        <v>537</v>
      </c>
      <c r="I1596" s="41">
        <v>43304.0</v>
      </c>
      <c r="J1596" s="41">
        <v>43308.0</v>
      </c>
      <c r="K1596" s="131"/>
      <c r="L1596" s="131"/>
      <c r="M1596" s="131"/>
      <c r="N1596" s="131"/>
      <c r="O1596" s="131"/>
      <c r="P1596" s="131"/>
      <c r="Q1596" s="131"/>
      <c r="R1596" s="131"/>
      <c r="S1596" s="131"/>
      <c r="T1596" s="131"/>
      <c r="U1596" s="131"/>
      <c r="V1596" s="131"/>
      <c r="W1596" s="131"/>
      <c r="X1596" s="131"/>
      <c r="Y1596" s="131"/>
      <c r="Z1596" s="131"/>
    </row>
    <row r="1597" hidden="1">
      <c r="A1597" s="105" t="str">
        <f>hyperlink("https://issues.sierrawireless.com/browse/OEMPRI-7834", "OEMPRI-7834")</f>
        <v>OEMPRI-7834</v>
      </c>
      <c r="B1597" s="5" t="s">
        <v>6901</v>
      </c>
      <c r="C1597" s="5" t="s">
        <v>175</v>
      </c>
      <c r="D1597" s="106">
        <v>43305.0</v>
      </c>
      <c r="E1597" s="107">
        <v>43313.0</v>
      </c>
      <c r="F1597" s="5" t="s">
        <v>160</v>
      </c>
      <c r="G1597" s="5" t="s">
        <v>148</v>
      </c>
      <c r="H1597" s="5" t="s">
        <v>244</v>
      </c>
      <c r="I1597" s="41">
        <v>43304.0</v>
      </c>
      <c r="J1597" s="41">
        <v>43308.0</v>
      </c>
      <c r="K1597" s="131"/>
      <c r="L1597" s="131"/>
      <c r="M1597" s="131"/>
      <c r="N1597" s="131"/>
      <c r="O1597" s="131"/>
      <c r="P1597" s="131"/>
      <c r="Q1597" s="131"/>
      <c r="R1597" s="131"/>
      <c r="S1597" s="131"/>
      <c r="T1597" s="131"/>
      <c r="U1597" s="131"/>
      <c r="V1597" s="131"/>
      <c r="W1597" s="131"/>
      <c r="X1597" s="131"/>
      <c r="Y1597" s="131"/>
      <c r="Z1597" s="131"/>
    </row>
    <row r="1598" hidden="1">
      <c r="A1598" s="105" t="str">
        <f>hyperlink("https://issues.sierrawireless.com/browse/OEMPRI-7835", "OEMPRI-7835")</f>
        <v>OEMPRI-7835</v>
      </c>
      <c r="B1598" s="5" t="s">
        <v>6903</v>
      </c>
      <c r="C1598" s="5" t="s">
        <v>175</v>
      </c>
      <c r="D1598" s="106">
        <v>43305.0</v>
      </c>
      <c r="E1598" s="107">
        <v>43313.0</v>
      </c>
      <c r="F1598" s="5" t="s">
        <v>160</v>
      </c>
      <c r="G1598" s="5" t="s">
        <v>148</v>
      </c>
      <c r="H1598" s="5" t="s">
        <v>244</v>
      </c>
      <c r="I1598" s="41">
        <v>43304.0</v>
      </c>
      <c r="J1598" s="41">
        <v>43308.0</v>
      </c>
      <c r="K1598" s="131"/>
      <c r="L1598" s="131"/>
      <c r="M1598" s="131"/>
      <c r="N1598" s="131"/>
      <c r="O1598" s="131"/>
      <c r="P1598" s="131"/>
      <c r="Q1598" s="131"/>
      <c r="R1598" s="131"/>
      <c r="S1598" s="131"/>
      <c r="T1598" s="131"/>
      <c r="U1598" s="131"/>
      <c r="V1598" s="131"/>
      <c r="W1598" s="131"/>
      <c r="X1598" s="131"/>
      <c r="Y1598" s="131"/>
      <c r="Z1598" s="131"/>
    </row>
    <row r="1599" hidden="1">
      <c r="A1599" s="105" t="str">
        <f>hyperlink("https://issues.sierrawireless.com/browse/OEMPRI-7837", "OEMPRI-7837")</f>
        <v>OEMPRI-7837</v>
      </c>
      <c r="B1599" s="5" t="s">
        <v>7000</v>
      </c>
      <c r="C1599" s="5" t="s">
        <v>139</v>
      </c>
      <c r="D1599" s="106">
        <v>43305.0</v>
      </c>
      <c r="E1599" s="107">
        <v>43306.0</v>
      </c>
      <c r="F1599" s="5" t="s">
        <v>166</v>
      </c>
      <c r="G1599" s="5" t="s">
        <v>141</v>
      </c>
      <c r="H1599" s="5" t="s">
        <v>141</v>
      </c>
      <c r="I1599" s="41">
        <v>43304.0</v>
      </c>
      <c r="J1599" s="41">
        <v>43308.0</v>
      </c>
      <c r="K1599" s="131"/>
      <c r="L1599" s="131"/>
      <c r="M1599" s="131"/>
      <c r="N1599" s="131"/>
      <c r="O1599" s="131"/>
      <c r="P1599" s="131"/>
      <c r="Q1599" s="131"/>
      <c r="R1599" s="131"/>
      <c r="S1599" s="131"/>
      <c r="T1599" s="131"/>
      <c r="U1599" s="131"/>
      <c r="V1599" s="131"/>
      <c r="W1599" s="131"/>
      <c r="X1599" s="131"/>
      <c r="Y1599" s="131"/>
      <c r="Z1599" s="131"/>
    </row>
    <row r="1600" hidden="1">
      <c r="A1600" s="105" t="str">
        <f>hyperlink("https://issues.sierrawireless.com/browse/OEMPRI-7869", "OEMPRI-7869")</f>
        <v>OEMPRI-7869</v>
      </c>
      <c r="B1600" s="5" t="s">
        <v>7002</v>
      </c>
      <c r="C1600" s="5" t="s">
        <v>139</v>
      </c>
      <c r="D1600" s="106">
        <v>43307.0</v>
      </c>
      <c r="E1600" s="107">
        <v>43311.0</v>
      </c>
      <c r="F1600" s="5" t="s">
        <v>160</v>
      </c>
      <c r="G1600" s="5" t="s">
        <v>155</v>
      </c>
      <c r="H1600" s="5" t="s">
        <v>170</v>
      </c>
      <c r="I1600" s="41">
        <v>43318.0</v>
      </c>
      <c r="J1600" s="41">
        <v>43322.0</v>
      </c>
      <c r="K1600" s="131"/>
      <c r="L1600" s="131"/>
      <c r="M1600" s="131"/>
      <c r="N1600" s="131"/>
      <c r="O1600" s="131"/>
      <c r="P1600" s="131"/>
      <c r="Q1600" s="131"/>
      <c r="R1600" s="131"/>
      <c r="S1600" s="131"/>
      <c r="T1600" s="131"/>
      <c r="U1600" s="131"/>
      <c r="V1600" s="131"/>
      <c r="W1600" s="131"/>
      <c r="X1600" s="131"/>
      <c r="Y1600" s="131"/>
      <c r="Z1600" s="131"/>
    </row>
    <row r="1601" hidden="1">
      <c r="A1601" s="105" t="str">
        <f>hyperlink("https://issues.sierrawireless.com/browse/OEMPRI-7871", "OEMPRI-7871")</f>
        <v>OEMPRI-7871</v>
      </c>
      <c r="B1601" s="5" t="s">
        <v>7003</v>
      </c>
      <c r="C1601" s="5" t="s">
        <v>225</v>
      </c>
      <c r="D1601" s="106">
        <v>43307.0</v>
      </c>
      <c r="E1601" s="107">
        <v>43291.0</v>
      </c>
      <c r="F1601" s="5" t="s">
        <v>176</v>
      </c>
      <c r="G1601" s="5" t="s">
        <v>4827</v>
      </c>
      <c r="H1601" s="5" t="s">
        <v>155</v>
      </c>
      <c r="I1601" s="41">
        <v>43311.0</v>
      </c>
      <c r="J1601" s="41">
        <v>43315.0</v>
      </c>
      <c r="K1601" s="131"/>
      <c r="L1601" s="131"/>
      <c r="M1601" s="131"/>
      <c r="N1601" s="131"/>
      <c r="O1601" s="131"/>
      <c r="P1601" s="131"/>
      <c r="Q1601" s="131"/>
      <c r="R1601" s="131"/>
      <c r="S1601" s="131"/>
      <c r="T1601" s="131"/>
      <c r="U1601" s="131"/>
      <c r="V1601" s="131"/>
      <c r="W1601" s="131"/>
      <c r="X1601" s="131"/>
      <c r="Y1601" s="131"/>
      <c r="Z1601" s="131"/>
    </row>
    <row r="1602" hidden="1">
      <c r="A1602" s="105" t="str">
        <f>hyperlink("https://issues.sierrawireless.com/browse/OEMPRI-7873", "OEMPRI-7873")</f>
        <v>OEMPRI-7873</v>
      </c>
      <c r="B1602" s="5" t="s">
        <v>7005</v>
      </c>
      <c r="C1602" s="5" t="s">
        <v>86</v>
      </c>
      <c r="D1602" s="106">
        <v>43307.0</v>
      </c>
      <c r="E1602" s="107" t="s">
        <v>92</v>
      </c>
      <c r="F1602" s="5" t="s">
        <v>7006</v>
      </c>
      <c r="G1602" s="5" t="s">
        <v>349</v>
      </c>
      <c r="H1602" s="5" t="s">
        <v>140</v>
      </c>
      <c r="I1602" s="41">
        <v>43311.0</v>
      </c>
      <c r="J1602" s="41">
        <v>43315.0</v>
      </c>
      <c r="K1602" s="131"/>
      <c r="L1602" s="131"/>
      <c r="M1602" s="131"/>
      <c r="N1602" s="131"/>
      <c r="O1602" s="131"/>
      <c r="P1602" s="131"/>
      <c r="Q1602" s="131"/>
      <c r="R1602" s="131"/>
      <c r="S1602" s="131"/>
      <c r="T1602" s="131"/>
      <c r="U1602" s="131"/>
      <c r="V1602" s="131"/>
      <c r="W1602" s="131"/>
      <c r="X1602" s="131"/>
      <c r="Y1602" s="131"/>
      <c r="Z1602" s="131"/>
    </row>
    <row r="1603" hidden="1">
      <c r="A1603" s="126" t="str">
        <f>hyperlink("https://issues.sierrawireless.com/browse/OEMPRI-7874", "OEMPRI-7874")</f>
        <v>OEMPRI-7874</v>
      </c>
      <c r="B1603" s="127" t="s">
        <v>6901</v>
      </c>
      <c r="C1603" s="5" t="s">
        <v>139</v>
      </c>
      <c r="D1603" s="106">
        <v>43307.0</v>
      </c>
      <c r="E1603" s="107" t="s">
        <v>92</v>
      </c>
      <c r="F1603" s="5" t="s">
        <v>160</v>
      </c>
      <c r="G1603" s="5" t="s">
        <v>140</v>
      </c>
      <c r="H1603" s="5" t="s">
        <v>141</v>
      </c>
      <c r="I1603" s="41">
        <v>43311.0</v>
      </c>
      <c r="J1603" s="41">
        <v>43315.0</v>
      </c>
      <c r="K1603" s="131"/>
      <c r="L1603" s="131"/>
      <c r="M1603" s="131"/>
      <c r="N1603" s="131"/>
      <c r="O1603" s="131"/>
      <c r="P1603" s="131"/>
      <c r="Q1603" s="131"/>
      <c r="R1603" s="131"/>
      <c r="S1603" s="131"/>
      <c r="T1603" s="131"/>
      <c r="U1603" s="131"/>
      <c r="V1603" s="131"/>
      <c r="W1603" s="131"/>
      <c r="X1603" s="131"/>
      <c r="Y1603" s="131"/>
      <c r="Z1603" s="131"/>
    </row>
    <row r="1604" hidden="1">
      <c r="A1604" s="105" t="str">
        <f>hyperlink("https://issues.sierrawireless.com/browse/OEMPRI-7876", "OEMPRI-7876")</f>
        <v>OEMPRI-7876</v>
      </c>
      <c r="B1604" s="5" t="s">
        <v>7012</v>
      </c>
      <c r="C1604" s="5" t="s">
        <v>225</v>
      </c>
      <c r="D1604" s="106">
        <v>43307.0</v>
      </c>
      <c r="E1604" s="107" t="s">
        <v>92</v>
      </c>
      <c r="F1604" s="5" t="s">
        <v>160</v>
      </c>
      <c r="G1604" s="5" t="s">
        <v>1380</v>
      </c>
      <c r="H1604" s="5" t="s">
        <v>141</v>
      </c>
      <c r="I1604" s="41">
        <v>43311.0</v>
      </c>
      <c r="J1604" s="41">
        <v>43315.0</v>
      </c>
      <c r="K1604" s="131"/>
      <c r="L1604" s="131"/>
      <c r="M1604" s="131"/>
      <c r="N1604" s="131"/>
      <c r="O1604" s="131"/>
      <c r="P1604" s="131"/>
      <c r="Q1604" s="131"/>
      <c r="R1604" s="131"/>
      <c r="S1604" s="131"/>
      <c r="T1604" s="131"/>
      <c r="U1604" s="131"/>
      <c r="V1604" s="131"/>
      <c r="W1604" s="131"/>
      <c r="X1604" s="131"/>
      <c r="Y1604" s="131"/>
      <c r="Z1604" s="131"/>
    </row>
    <row r="1605" hidden="1">
      <c r="A1605" s="126" t="str">
        <f>hyperlink("https://issues.sierrawireless.com/browse/OEMPRI-7875", "OEMPRI-7875")</f>
        <v>OEMPRI-7875</v>
      </c>
      <c r="B1605" s="127" t="s">
        <v>6903</v>
      </c>
      <c r="C1605" s="5" t="s">
        <v>139</v>
      </c>
      <c r="D1605" s="106">
        <v>43307.0</v>
      </c>
      <c r="E1605" s="107" t="s">
        <v>92</v>
      </c>
      <c r="F1605" s="5" t="s">
        <v>160</v>
      </c>
      <c r="G1605" s="5" t="s">
        <v>140</v>
      </c>
      <c r="H1605" s="5" t="s">
        <v>141</v>
      </c>
      <c r="I1605" s="41">
        <v>43311.0</v>
      </c>
      <c r="J1605" s="41">
        <v>43315.0</v>
      </c>
      <c r="K1605" s="131"/>
      <c r="L1605" s="131"/>
      <c r="M1605" s="131"/>
      <c r="N1605" s="131"/>
      <c r="O1605" s="131"/>
      <c r="P1605" s="131"/>
      <c r="Q1605" s="131"/>
      <c r="R1605" s="131"/>
      <c r="S1605" s="131"/>
      <c r="T1605" s="131"/>
      <c r="U1605" s="131"/>
      <c r="V1605" s="131"/>
      <c r="W1605" s="131"/>
      <c r="X1605" s="131"/>
      <c r="Y1605" s="131"/>
      <c r="Z1605" s="131"/>
    </row>
    <row r="1606">
      <c r="A1606" s="115" t="str">
        <f>hyperlink("https://issues.sierrawireless.com/browse/OEMPRI-7877", "OEMPRI-7877")</f>
        <v>OEMPRI-7877</v>
      </c>
      <c r="B1606" s="187" t="s">
        <v>7014</v>
      </c>
      <c r="C1606" s="116" t="s">
        <v>277</v>
      </c>
      <c r="D1606" s="117">
        <v>43307.0</v>
      </c>
      <c r="E1606" s="118">
        <v>43336.0</v>
      </c>
      <c r="F1606" s="116" t="s">
        <v>176</v>
      </c>
      <c r="G1606" s="116" t="s">
        <v>4827</v>
      </c>
      <c r="H1606" s="116" t="s">
        <v>155</v>
      </c>
      <c r="I1606" s="95">
        <v>43332.0</v>
      </c>
      <c r="J1606" s="95">
        <v>43336.0</v>
      </c>
      <c r="K1606" s="179"/>
      <c r="L1606" s="179"/>
      <c r="M1606" s="179"/>
      <c r="N1606" s="179"/>
      <c r="O1606" s="179"/>
      <c r="P1606" s="179"/>
      <c r="Q1606" s="179"/>
      <c r="R1606" s="179"/>
      <c r="S1606" s="179"/>
      <c r="T1606" s="179"/>
      <c r="U1606" s="179"/>
      <c r="V1606" s="179"/>
      <c r="W1606" s="179"/>
      <c r="X1606" s="179"/>
      <c r="Y1606" s="179"/>
      <c r="Z1606" s="179"/>
    </row>
    <row r="1607" hidden="1">
      <c r="A1607" s="105" t="str">
        <f>hyperlink("https://issues.sierrawireless.com/browse/OEMPRI-7898", "OEMPRI-7898")</f>
        <v>OEMPRI-7898</v>
      </c>
      <c r="B1607" s="5" t="s">
        <v>7017</v>
      </c>
      <c r="C1607" s="5" t="s">
        <v>139</v>
      </c>
      <c r="D1607" s="106">
        <v>43308.0</v>
      </c>
      <c r="E1607" s="107">
        <v>43266.0</v>
      </c>
      <c r="F1607" s="5" t="s">
        <v>176</v>
      </c>
      <c r="G1607" s="5" t="s">
        <v>170</v>
      </c>
      <c r="H1607" s="5" t="s">
        <v>170</v>
      </c>
      <c r="I1607" s="41">
        <v>43311.0</v>
      </c>
      <c r="J1607" s="41">
        <v>43315.0</v>
      </c>
      <c r="K1607" s="131"/>
      <c r="L1607" s="131"/>
      <c r="M1607" s="131"/>
      <c r="N1607" s="131"/>
      <c r="O1607" s="131"/>
      <c r="P1607" s="131"/>
      <c r="Q1607" s="131"/>
      <c r="R1607" s="131"/>
      <c r="S1607" s="131"/>
      <c r="T1607" s="131"/>
      <c r="U1607" s="131"/>
      <c r="V1607" s="131"/>
      <c r="W1607" s="131"/>
      <c r="X1607" s="131"/>
      <c r="Y1607" s="131"/>
      <c r="Z1607" s="131"/>
    </row>
    <row r="1608" hidden="1">
      <c r="A1608" s="105" t="str">
        <f>hyperlink("https://issues.sierrawireless.com/browse/OEMPRI-7909", "OEMPRI-7909")</f>
        <v>OEMPRI-7909</v>
      </c>
      <c r="B1608" s="5" t="s">
        <v>6949</v>
      </c>
      <c r="C1608" s="5" t="s">
        <v>139</v>
      </c>
      <c r="D1608" s="106">
        <v>43311.0</v>
      </c>
      <c r="E1608" s="107">
        <v>43266.0</v>
      </c>
      <c r="F1608" s="5" t="s">
        <v>176</v>
      </c>
      <c r="G1608" s="5" t="s">
        <v>2668</v>
      </c>
      <c r="H1608" s="5" t="s">
        <v>155</v>
      </c>
      <c r="I1608" s="41">
        <v>43311.0</v>
      </c>
      <c r="J1608" s="41">
        <v>43315.0</v>
      </c>
      <c r="K1608" s="131"/>
      <c r="L1608" s="131"/>
      <c r="M1608" s="131"/>
      <c r="N1608" s="131"/>
      <c r="O1608" s="131"/>
      <c r="P1608" s="131"/>
      <c r="Q1608" s="131"/>
      <c r="R1608" s="131"/>
      <c r="S1608" s="131"/>
      <c r="T1608" s="131"/>
      <c r="U1608" s="131"/>
      <c r="V1608" s="131"/>
      <c r="W1608" s="131"/>
      <c r="X1608" s="131"/>
      <c r="Y1608" s="131"/>
      <c r="Z1608" s="131"/>
    </row>
    <row r="1609" hidden="1">
      <c r="A1609" s="105" t="str">
        <f>hyperlink("https://issues.sierrawireless.com/browse/OEMPRI-7912", "OEMPRI-7912")</f>
        <v>OEMPRI-7912</v>
      </c>
      <c r="B1609" s="187" t="s">
        <v>6973</v>
      </c>
      <c r="C1609" s="5" t="s">
        <v>175</v>
      </c>
      <c r="D1609" s="106">
        <v>43311.0</v>
      </c>
      <c r="E1609" s="107">
        <v>42978.0</v>
      </c>
      <c r="F1609" s="5" t="s">
        <v>176</v>
      </c>
      <c r="G1609" s="5" t="s">
        <v>148</v>
      </c>
      <c r="H1609" s="5" t="s">
        <v>177</v>
      </c>
      <c r="I1609" s="41">
        <v>43311.0</v>
      </c>
      <c r="J1609" s="41">
        <v>43315.0</v>
      </c>
      <c r="K1609" s="131"/>
      <c r="L1609" s="131"/>
      <c r="M1609" s="131"/>
      <c r="N1609" s="131"/>
      <c r="O1609" s="131"/>
      <c r="P1609" s="131"/>
      <c r="Q1609" s="131"/>
      <c r="R1609" s="131"/>
      <c r="S1609" s="131"/>
      <c r="T1609" s="131"/>
      <c r="U1609" s="131"/>
      <c r="V1609" s="131"/>
      <c r="W1609" s="131"/>
      <c r="X1609" s="131"/>
      <c r="Y1609" s="131"/>
      <c r="Z1609" s="131"/>
    </row>
    <row r="1610" hidden="1">
      <c r="A1610" s="105" t="str">
        <f>hyperlink("https://issues.sierrawireless.com/browse/OEMPRI-7925", "OEMPRI-7925")</f>
        <v>OEMPRI-7925</v>
      </c>
      <c r="B1610" s="5" t="s">
        <v>7021</v>
      </c>
      <c r="C1610" s="5" t="s">
        <v>139</v>
      </c>
      <c r="D1610" s="106">
        <v>43311.0</v>
      </c>
      <c r="E1610" s="107" t="s">
        <v>92</v>
      </c>
      <c r="F1610" s="5" t="s">
        <v>176</v>
      </c>
      <c r="G1610" s="5" t="s">
        <v>170</v>
      </c>
      <c r="H1610" s="5" t="s">
        <v>170</v>
      </c>
      <c r="I1610" s="41">
        <v>43318.0</v>
      </c>
      <c r="J1610" s="41">
        <v>43322.0</v>
      </c>
      <c r="K1610" s="131"/>
      <c r="L1610" s="131"/>
      <c r="M1610" s="131"/>
      <c r="N1610" s="131"/>
      <c r="O1610" s="131"/>
      <c r="P1610" s="131"/>
      <c r="Q1610" s="131"/>
      <c r="R1610" s="131"/>
      <c r="S1610" s="131"/>
      <c r="T1610" s="131"/>
      <c r="U1610" s="131"/>
      <c r="V1610" s="131"/>
      <c r="W1610" s="131"/>
      <c r="X1610" s="131"/>
      <c r="Y1610" s="131"/>
      <c r="Z1610" s="131"/>
    </row>
    <row r="1611" hidden="1">
      <c r="A1611" s="105" t="str">
        <f>hyperlink("https://issues.sierrawireless.com/browse/OEMPRI-7943", "OEMPRI-7943")</f>
        <v>OEMPRI-7943</v>
      </c>
      <c r="B1611" s="5" t="s">
        <v>7023</v>
      </c>
      <c r="C1611" s="5" t="s">
        <v>175</v>
      </c>
      <c r="D1611" s="106">
        <v>43313.0</v>
      </c>
      <c r="E1611" s="107" t="s">
        <v>92</v>
      </c>
      <c r="F1611" s="5" t="s">
        <v>176</v>
      </c>
      <c r="G1611" s="5" t="s">
        <v>148</v>
      </c>
      <c r="H1611" s="5" t="s">
        <v>177</v>
      </c>
      <c r="I1611" s="41">
        <v>43318.0</v>
      </c>
      <c r="J1611" s="41">
        <v>43322.0</v>
      </c>
      <c r="K1611" s="131"/>
      <c r="L1611" s="131"/>
      <c r="M1611" s="131"/>
      <c r="N1611" s="131"/>
      <c r="O1611" s="131"/>
      <c r="P1611" s="131"/>
      <c r="Q1611" s="131"/>
      <c r="R1611" s="131"/>
      <c r="S1611" s="131"/>
      <c r="T1611" s="131"/>
      <c r="U1611" s="131"/>
      <c r="V1611" s="131"/>
      <c r="W1611" s="131"/>
      <c r="X1611" s="131"/>
      <c r="Y1611" s="131"/>
      <c r="Z1611" s="131"/>
    </row>
    <row r="1612" hidden="1">
      <c r="A1612" s="105" t="str">
        <f>hyperlink("https://issues.sierrawireless.com/browse/OEMPRI-7965", "OEMPRI-7965")</f>
        <v>OEMPRI-7965</v>
      </c>
      <c r="B1612" s="5" t="s">
        <v>7025</v>
      </c>
      <c r="C1612" s="5" t="s">
        <v>175</v>
      </c>
      <c r="D1612" s="106">
        <v>43314.0</v>
      </c>
      <c r="E1612" s="107">
        <v>43021.0</v>
      </c>
      <c r="F1612" s="5" t="s">
        <v>176</v>
      </c>
      <c r="G1612" s="5" t="s">
        <v>148</v>
      </c>
      <c r="H1612" s="5" t="s">
        <v>177</v>
      </c>
      <c r="I1612" s="41">
        <v>43318.0</v>
      </c>
      <c r="J1612" s="41">
        <v>43322.0</v>
      </c>
      <c r="K1612" s="131"/>
      <c r="L1612" s="131"/>
      <c r="M1612" s="131"/>
      <c r="N1612" s="131"/>
      <c r="O1612" s="131"/>
      <c r="P1612" s="131"/>
      <c r="Q1612" s="131"/>
      <c r="R1612" s="131"/>
      <c r="S1612" s="131"/>
      <c r="T1612" s="131"/>
      <c r="U1612" s="131"/>
      <c r="V1612" s="131"/>
      <c r="W1612" s="131"/>
      <c r="X1612" s="131"/>
      <c r="Y1612" s="131"/>
      <c r="Z1612" s="131"/>
    </row>
    <row r="1613" hidden="1">
      <c r="A1613" s="105" t="str">
        <f>hyperlink("https://issues.sierrawireless.com/browse/OEMPRI-7970", "OEMPRI-7970")</f>
        <v>OEMPRI-7970</v>
      </c>
      <c r="B1613" s="5" t="s">
        <v>7027</v>
      </c>
      <c r="C1613" s="5" t="s">
        <v>175</v>
      </c>
      <c r="D1613" s="106">
        <v>43314.0</v>
      </c>
      <c r="E1613" s="107" t="s">
        <v>92</v>
      </c>
      <c r="F1613" s="5" t="s">
        <v>176</v>
      </c>
      <c r="G1613" s="5" t="s">
        <v>148</v>
      </c>
      <c r="H1613" s="5" t="s">
        <v>177</v>
      </c>
      <c r="I1613" s="41">
        <v>43318.0</v>
      </c>
      <c r="J1613" s="41">
        <v>43322.0</v>
      </c>
      <c r="K1613" s="131"/>
      <c r="L1613" s="131"/>
      <c r="M1613" s="131"/>
      <c r="N1613" s="131"/>
      <c r="O1613" s="131"/>
      <c r="P1613" s="131"/>
      <c r="Q1613" s="131"/>
      <c r="R1613" s="131"/>
      <c r="S1613" s="131"/>
      <c r="T1613" s="131"/>
      <c r="U1613" s="131"/>
      <c r="V1613" s="131"/>
      <c r="W1613" s="131"/>
      <c r="X1613" s="131"/>
      <c r="Y1613" s="131"/>
      <c r="Z1613" s="131"/>
    </row>
    <row r="1614" hidden="1">
      <c r="A1614" s="105" t="str">
        <f>hyperlink("https://issues.sierrawireless.com/browse/OEMPRI-7981", "OEMPRI-7981")</f>
        <v>OEMPRI-7981</v>
      </c>
      <c r="B1614" s="5" t="s">
        <v>7029</v>
      </c>
      <c r="C1614" s="5" t="s">
        <v>139</v>
      </c>
      <c r="D1614" s="106">
        <v>43315.0</v>
      </c>
      <c r="E1614" s="107">
        <v>43297.0</v>
      </c>
      <c r="F1614" s="5" t="s">
        <v>160</v>
      </c>
      <c r="G1614" s="5" t="s">
        <v>141</v>
      </c>
      <c r="H1614" s="5" t="s">
        <v>141</v>
      </c>
      <c r="I1614" s="41">
        <v>43318.0</v>
      </c>
      <c r="J1614" s="41">
        <v>43322.0</v>
      </c>
      <c r="K1614" s="131"/>
      <c r="L1614" s="131"/>
      <c r="M1614" s="131"/>
      <c r="N1614" s="131"/>
      <c r="O1614" s="131"/>
      <c r="P1614" s="131"/>
      <c r="Q1614" s="131"/>
      <c r="R1614" s="131"/>
      <c r="S1614" s="131"/>
      <c r="T1614" s="131"/>
      <c r="U1614" s="131"/>
      <c r="V1614" s="131"/>
      <c r="W1614" s="131"/>
      <c r="X1614" s="131"/>
      <c r="Y1614" s="131"/>
      <c r="Z1614" s="131"/>
    </row>
    <row r="1615">
      <c r="A1615" s="185" t="str">
        <f>hyperlink("https://issues.sierrawireless.com/browse/OEMPRI-8002", "OEMPRI-8002")</f>
        <v>OEMPRI-8002</v>
      </c>
      <c r="B1615" s="5" t="s">
        <v>7031</v>
      </c>
      <c r="C1615" s="5" t="s">
        <v>469</v>
      </c>
      <c r="D1615" s="106">
        <v>43318.0</v>
      </c>
      <c r="E1615" s="107">
        <v>43326.0</v>
      </c>
      <c r="F1615" s="5" t="s">
        <v>160</v>
      </c>
      <c r="G1615" s="5" t="s">
        <v>155</v>
      </c>
      <c r="H1615" s="5" t="s">
        <v>155</v>
      </c>
      <c r="I1615" s="41">
        <v>43325.0</v>
      </c>
      <c r="J1615" s="41">
        <v>43329.0</v>
      </c>
      <c r="K1615" s="131"/>
      <c r="L1615" s="131"/>
      <c r="M1615" s="131"/>
      <c r="N1615" s="131"/>
      <c r="O1615" s="131"/>
      <c r="P1615" s="131"/>
      <c r="Q1615" s="131"/>
      <c r="R1615" s="131"/>
      <c r="S1615" s="131"/>
      <c r="T1615" s="131"/>
      <c r="U1615" s="131"/>
      <c r="V1615" s="131"/>
      <c r="W1615" s="131"/>
      <c r="X1615" s="131"/>
      <c r="Y1615" s="131"/>
      <c r="Z1615" s="131"/>
    </row>
    <row r="1616" hidden="1">
      <c r="A1616" s="105" t="str">
        <f>hyperlink("https://issues.sierrawireless.com/browse/OEMPRI-8000", "OEMPRI-8000")</f>
        <v>OEMPRI-8000</v>
      </c>
      <c r="B1616" s="5" t="s">
        <v>7034</v>
      </c>
      <c r="C1616" s="5" t="s">
        <v>175</v>
      </c>
      <c r="D1616" s="106">
        <v>43318.0</v>
      </c>
      <c r="E1616" s="107">
        <v>43320.0</v>
      </c>
      <c r="F1616" s="5" t="s">
        <v>147</v>
      </c>
      <c r="G1616" s="5" t="s">
        <v>148</v>
      </c>
      <c r="H1616" s="5" t="s">
        <v>149</v>
      </c>
      <c r="I1616" s="41">
        <v>43318.0</v>
      </c>
      <c r="J1616" s="41">
        <v>43322.0</v>
      </c>
      <c r="K1616" s="131"/>
      <c r="L1616" s="131"/>
      <c r="M1616" s="131"/>
      <c r="N1616" s="131"/>
      <c r="O1616" s="131"/>
      <c r="P1616" s="131"/>
      <c r="Q1616" s="131"/>
      <c r="R1616" s="131"/>
      <c r="S1616" s="131"/>
      <c r="T1616" s="131"/>
      <c r="U1616" s="131"/>
      <c r="V1616" s="131"/>
      <c r="W1616" s="131"/>
      <c r="X1616" s="131"/>
      <c r="Y1616" s="131"/>
      <c r="Z1616" s="131"/>
    </row>
    <row r="1617" hidden="1">
      <c r="A1617" s="105" t="str">
        <f>hyperlink("https://issues.sierrawireless.com/browse/OEMPRI-8004", "OEMPRI-8004")</f>
        <v>OEMPRI-8004</v>
      </c>
      <c r="B1617" s="5" t="s">
        <v>7041</v>
      </c>
      <c r="C1617" s="5" t="s">
        <v>139</v>
      </c>
      <c r="D1617" s="106">
        <v>43318.0</v>
      </c>
      <c r="E1617" s="107">
        <v>43320.0</v>
      </c>
      <c r="F1617" s="5" t="s">
        <v>160</v>
      </c>
      <c r="G1617" s="5" t="s">
        <v>1380</v>
      </c>
      <c r="H1617" s="5" t="s">
        <v>141</v>
      </c>
      <c r="I1617" s="41">
        <v>43318.0</v>
      </c>
      <c r="J1617" s="41">
        <v>43322.0</v>
      </c>
      <c r="K1617" s="131"/>
      <c r="L1617" s="131"/>
      <c r="M1617" s="131"/>
      <c r="N1617" s="131"/>
      <c r="O1617" s="131"/>
      <c r="P1617" s="131"/>
      <c r="Q1617" s="131"/>
      <c r="R1617" s="131"/>
      <c r="S1617" s="131"/>
      <c r="T1617" s="131"/>
      <c r="U1617" s="131"/>
      <c r="V1617" s="131"/>
      <c r="W1617" s="131"/>
      <c r="X1617" s="131"/>
      <c r="Y1617" s="131"/>
      <c r="Z1617" s="131"/>
    </row>
    <row r="1618" hidden="1">
      <c r="A1618" s="105" t="str">
        <f>hyperlink("https://issues.sierrawireless.com/browse/OEMPRI-8005", "OEMPRI-8005")</f>
        <v>OEMPRI-8005</v>
      </c>
      <c r="B1618" s="5" t="s">
        <v>6964</v>
      </c>
      <c r="C1618" s="5" t="s">
        <v>139</v>
      </c>
      <c r="D1618" s="106">
        <v>43319.0</v>
      </c>
      <c r="E1618" s="107">
        <v>43297.0</v>
      </c>
      <c r="F1618" s="5" t="s">
        <v>160</v>
      </c>
      <c r="G1618" s="5" t="s">
        <v>141</v>
      </c>
      <c r="H1618" s="5" t="s">
        <v>141</v>
      </c>
      <c r="I1618" s="41">
        <v>43318.0</v>
      </c>
      <c r="J1618" s="41">
        <v>43322.0</v>
      </c>
      <c r="K1618" s="131"/>
      <c r="L1618" s="131"/>
      <c r="M1618" s="131"/>
      <c r="N1618" s="131"/>
      <c r="O1618" s="131"/>
      <c r="P1618" s="131"/>
      <c r="Q1618" s="131"/>
      <c r="R1618" s="131"/>
      <c r="S1618" s="131"/>
      <c r="T1618" s="131"/>
      <c r="U1618" s="131"/>
      <c r="V1618" s="131"/>
      <c r="W1618" s="131"/>
      <c r="X1618" s="131"/>
      <c r="Y1618" s="131"/>
      <c r="Z1618" s="131"/>
    </row>
    <row r="1619">
      <c r="A1619" s="110" t="str">
        <f>hyperlink("https://issues.sierrawireless.com/browse/OEMPRI-8009", "OEMPRI-8009")</f>
        <v>OEMPRI-8009</v>
      </c>
      <c r="B1619" s="49" t="s">
        <v>7044</v>
      </c>
      <c r="C1619" s="49" t="s">
        <v>86</v>
      </c>
      <c r="D1619" s="50">
        <v>43319.0</v>
      </c>
      <c r="E1619" s="54" t="s">
        <v>92</v>
      </c>
      <c r="F1619" s="49" t="s">
        <v>160</v>
      </c>
      <c r="G1619" s="49" t="s">
        <v>140</v>
      </c>
      <c r="H1619" s="49" t="s">
        <v>140</v>
      </c>
      <c r="I1619" s="32">
        <v>43332.0</v>
      </c>
      <c r="J1619" s="32">
        <v>43336.0</v>
      </c>
    </row>
    <row r="1620">
      <c r="A1620" s="185" t="str">
        <f>hyperlink("https://issues.sierrawireless.com/browse/OEMPRI-8023", "OEMPRI-8023")</f>
        <v>OEMPRI-8023</v>
      </c>
      <c r="B1620" s="5" t="s">
        <v>7045</v>
      </c>
      <c r="C1620" s="5" t="s">
        <v>469</v>
      </c>
      <c r="D1620" s="106">
        <v>43320.0</v>
      </c>
      <c r="E1620" s="107" t="s">
        <v>92</v>
      </c>
      <c r="F1620" s="5" t="s">
        <v>160</v>
      </c>
      <c r="G1620" s="5" t="s">
        <v>155</v>
      </c>
      <c r="H1620" s="5" t="s">
        <v>155</v>
      </c>
      <c r="I1620" s="41">
        <v>43332.0</v>
      </c>
      <c r="J1620" s="41">
        <v>43336.0</v>
      </c>
      <c r="K1620" s="131"/>
      <c r="L1620" s="131"/>
      <c r="M1620" s="131"/>
      <c r="N1620" s="131"/>
      <c r="O1620" s="131"/>
      <c r="P1620" s="131"/>
      <c r="Q1620" s="131"/>
      <c r="R1620" s="131"/>
      <c r="S1620" s="131"/>
      <c r="T1620" s="131"/>
      <c r="U1620" s="131"/>
      <c r="V1620" s="131"/>
      <c r="W1620" s="131"/>
      <c r="X1620" s="131"/>
      <c r="Y1620" s="131"/>
      <c r="Z1620" s="131"/>
    </row>
    <row r="1621">
      <c r="A1621" s="115" t="str">
        <f>hyperlink("https://issues.sierrawireless.com/browse/OEMPRI-8024", "OEMPRI-8024")</f>
        <v>OEMPRI-8024</v>
      </c>
      <c r="B1621" s="116" t="s">
        <v>7046</v>
      </c>
      <c r="C1621" s="116" t="s">
        <v>225</v>
      </c>
      <c r="D1621" s="117">
        <v>43320.0</v>
      </c>
      <c r="E1621" s="118">
        <v>43329.0</v>
      </c>
      <c r="F1621" s="116" t="s">
        <v>176</v>
      </c>
      <c r="G1621" s="116" t="s">
        <v>120</v>
      </c>
      <c r="H1621" s="116" t="s">
        <v>177</v>
      </c>
      <c r="I1621" s="95">
        <v>43332.0</v>
      </c>
      <c r="J1621" s="95">
        <v>43329.0</v>
      </c>
      <c r="K1621" s="179"/>
      <c r="L1621" s="179"/>
      <c r="M1621" s="179"/>
      <c r="N1621" s="179"/>
      <c r="O1621" s="179"/>
      <c r="P1621" s="179"/>
      <c r="Q1621" s="179"/>
      <c r="R1621" s="179"/>
      <c r="S1621" s="179"/>
      <c r="T1621" s="179"/>
      <c r="U1621" s="179"/>
      <c r="V1621" s="179"/>
      <c r="W1621" s="179"/>
      <c r="X1621" s="179"/>
      <c r="Y1621" s="179"/>
      <c r="Z1621" s="179"/>
    </row>
    <row r="1622">
      <c r="A1622" s="115" t="str">
        <f>hyperlink("https://issues.sierrawireless.com/browse/OEMPRI-8029", "OEMPRI-8029")</f>
        <v>OEMPRI-8029</v>
      </c>
      <c r="B1622" s="116" t="s">
        <v>7050</v>
      </c>
      <c r="C1622" s="116" t="s">
        <v>277</v>
      </c>
      <c r="D1622" s="117">
        <v>43320.0</v>
      </c>
      <c r="E1622" s="118">
        <v>43329.0</v>
      </c>
      <c r="F1622" s="116" t="s">
        <v>176</v>
      </c>
      <c r="G1622" s="116" t="s">
        <v>120</v>
      </c>
      <c r="H1622" s="116" t="s">
        <v>177</v>
      </c>
      <c r="I1622" s="95">
        <v>43332.0</v>
      </c>
      <c r="J1622" s="95">
        <v>43329.0</v>
      </c>
      <c r="K1622" s="179"/>
      <c r="L1622" s="179"/>
      <c r="M1622" s="179"/>
      <c r="N1622" s="179"/>
      <c r="O1622" s="179"/>
      <c r="P1622" s="179"/>
      <c r="Q1622" s="179"/>
      <c r="R1622" s="179"/>
      <c r="S1622" s="179"/>
      <c r="T1622" s="179"/>
      <c r="U1622" s="179"/>
      <c r="V1622" s="179"/>
      <c r="W1622" s="179"/>
      <c r="X1622" s="179"/>
      <c r="Y1622" s="179"/>
      <c r="Z1622" s="179"/>
    </row>
    <row r="1623">
      <c r="A1623" s="105" t="str">
        <f>hyperlink("https://issues.sierrawireless.com/browse/OEMPRI-8046", "OEMPRI-8046")</f>
        <v>OEMPRI-8046</v>
      </c>
      <c r="B1623" s="5" t="s">
        <v>7051</v>
      </c>
      <c r="C1623" s="5" t="s">
        <v>175</v>
      </c>
      <c r="D1623" s="106">
        <v>43321.0</v>
      </c>
      <c r="E1623" s="107" t="s">
        <v>92</v>
      </c>
      <c r="F1623" s="5" t="s">
        <v>723</v>
      </c>
      <c r="G1623" s="5" t="s">
        <v>148</v>
      </c>
      <c r="H1623" s="5" t="s">
        <v>148</v>
      </c>
      <c r="I1623" s="41">
        <v>43325.0</v>
      </c>
      <c r="J1623" s="41">
        <v>43329.0</v>
      </c>
      <c r="K1623" s="131"/>
      <c r="L1623" s="131"/>
      <c r="M1623" s="131"/>
      <c r="N1623" s="131"/>
      <c r="O1623" s="131"/>
      <c r="P1623" s="131"/>
      <c r="Q1623" s="131"/>
      <c r="R1623" s="131"/>
      <c r="S1623" s="131"/>
      <c r="T1623" s="131"/>
      <c r="U1623" s="131"/>
      <c r="V1623" s="131"/>
      <c r="W1623" s="131"/>
      <c r="X1623" s="131"/>
      <c r="Y1623" s="131"/>
      <c r="Z1623" s="131"/>
    </row>
    <row r="1624">
      <c r="A1624" s="115" t="str">
        <f>hyperlink("https://issues.sierrawireless.com/browse/OEMPRI-8062", "OEMPRI-8062")</f>
        <v>OEMPRI-8062</v>
      </c>
      <c r="B1624" s="116" t="s">
        <v>7054</v>
      </c>
      <c r="C1624" s="116" t="s">
        <v>225</v>
      </c>
      <c r="D1624" s="117">
        <v>43322.0</v>
      </c>
      <c r="E1624" s="118">
        <v>43322.0</v>
      </c>
      <c r="F1624" s="116" t="s">
        <v>176</v>
      </c>
      <c r="G1624" s="116" t="s">
        <v>148</v>
      </c>
      <c r="H1624" s="116" t="s">
        <v>155</v>
      </c>
      <c r="I1624" s="95">
        <v>43332.0</v>
      </c>
      <c r="J1624" s="95">
        <v>43329.0</v>
      </c>
      <c r="K1624" s="179"/>
      <c r="L1624" s="179"/>
      <c r="M1624" s="179"/>
      <c r="N1624" s="179"/>
      <c r="O1624" s="179"/>
      <c r="P1624" s="179"/>
      <c r="Q1624" s="179"/>
      <c r="R1624" s="179"/>
      <c r="S1624" s="179"/>
      <c r="T1624" s="179"/>
      <c r="U1624" s="179"/>
      <c r="V1624" s="179"/>
      <c r="W1624" s="179"/>
      <c r="X1624" s="179"/>
      <c r="Y1624" s="179"/>
      <c r="Z1624" s="179"/>
    </row>
    <row r="1625">
      <c r="A1625" s="185" t="str">
        <f>hyperlink("https://issues.sierrawireless.com/browse/OEMPRI-8063", "OEMPRI-8063")</f>
        <v>OEMPRI-8063</v>
      </c>
      <c r="B1625" s="5" t="s">
        <v>7055</v>
      </c>
      <c r="C1625" s="5" t="s">
        <v>469</v>
      </c>
      <c r="D1625" s="106">
        <v>43322.0</v>
      </c>
      <c r="E1625" s="107">
        <v>43328.0</v>
      </c>
      <c r="F1625" s="5" t="s">
        <v>160</v>
      </c>
      <c r="G1625" s="5" t="s">
        <v>329</v>
      </c>
      <c r="H1625" s="5" t="s">
        <v>141</v>
      </c>
      <c r="I1625" s="41">
        <v>43325.0</v>
      </c>
      <c r="J1625" s="41">
        <v>43328.0</v>
      </c>
      <c r="K1625" s="131"/>
      <c r="L1625" s="131"/>
      <c r="M1625" s="131"/>
      <c r="N1625" s="131"/>
      <c r="O1625" s="131"/>
      <c r="P1625" s="131"/>
      <c r="Q1625" s="131"/>
      <c r="R1625" s="131"/>
      <c r="S1625" s="131"/>
      <c r="T1625" s="131"/>
      <c r="U1625" s="131"/>
      <c r="V1625" s="131"/>
      <c r="W1625" s="131"/>
      <c r="X1625" s="131"/>
      <c r="Y1625" s="131"/>
      <c r="Z1625" s="131"/>
    </row>
    <row r="1626">
      <c r="A1626" s="185" t="str">
        <f>hyperlink("https://issues.sierrawireless.com/browse/OEMPRI-8079", "OEMPRI-8079")</f>
        <v>OEMPRI-8079</v>
      </c>
      <c r="B1626" s="5" t="s">
        <v>7057</v>
      </c>
      <c r="C1626" s="5" t="s">
        <v>175</v>
      </c>
      <c r="D1626" s="106">
        <v>43322.0</v>
      </c>
      <c r="E1626" s="107">
        <v>43325.0</v>
      </c>
      <c r="F1626" s="5" t="s">
        <v>119</v>
      </c>
      <c r="G1626" s="5" t="s">
        <v>148</v>
      </c>
      <c r="H1626" s="5" t="s">
        <v>609</v>
      </c>
      <c r="I1626" s="41">
        <v>43325.0</v>
      </c>
      <c r="J1626" s="41">
        <v>43329.0</v>
      </c>
      <c r="K1626" s="131"/>
      <c r="L1626" s="131"/>
      <c r="M1626" s="131"/>
      <c r="N1626" s="131"/>
      <c r="O1626" s="131"/>
      <c r="P1626" s="131"/>
      <c r="Q1626" s="131"/>
      <c r="R1626" s="131"/>
      <c r="S1626" s="131"/>
      <c r="T1626" s="131"/>
      <c r="U1626" s="131"/>
      <c r="V1626" s="131"/>
      <c r="W1626" s="131"/>
      <c r="X1626" s="131"/>
      <c r="Y1626" s="131"/>
      <c r="Z1626" s="131"/>
    </row>
    <row r="1627">
      <c r="A1627" s="185" t="str">
        <f>hyperlink("https://issues.sierrawireless.com/browse/OEMPRI-8103", "OEMPRI-8103")</f>
        <v>OEMPRI-8103</v>
      </c>
      <c r="B1627" s="5" t="s">
        <v>7061</v>
      </c>
      <c r="C1627" s="5" t="s">
        <v>225</v>
      </c>
      <c r="D1627" s="106">
        <v>43325.0</v>
      </c>
      <c r="E1627" s="107">
        <v>43327.0</v>
      </c>
      <c r="F1627" s="5" t="s">
        <v>176</v>
      </c>
      <c r="G1627" s="5" t="s">
        <v>155</v>
      </c>
      <c r="H1627" s="5" t="s">
        <v>155</v>
      </c>
      <c r="I1627" s="41">
        <v>43325.0</v>
      </c>
      <c r="J1627" s="41">
        <v>43329.0</v>
      </c>
      <c r="K1627" s="131"/>
      <c r="L1627" s="131"/>
      <c r="M1627" s="131"/>
      <c r="N1627" s="131"/>
      <c r="O1627" s="131"/>
      <c r="P1627" s="131"/>
      <c r="Q1627" s="131"/>
      <c r="R1627" s="131"/>
      <c r="S1627" s="131"/>
      <c r="T1627" s="131"/>
      <c r="U1627" s="131"/>
      <c r="V1627" s="131"/>
      <c r="W1627" s="131"/>
      <c r="X1627" s="131"/>
      <c r="Y1627" s="131"/>
      <c r="Z1627" s="131"/>
    </row>
    <row r="1628">
      <c r="A1628" s="110" t="str">
        <f>hyperlink("https://issues.sierrawireless.com/browse/OEMPRI-8104", "OEMPRI-8104")</f>
        <v>OEMPRI-8104</v>
      </c>
      <c r="B1628" s="49" t="s">
        <v>7062</v>
      </c>
      <c r="C1628" s="49" t="s">
        <v>86</v>
      </c>
      <c r="D1628" s="50">
        <v>43325.0</v>
      </c>
      <c r="E1628" s="54" t="s">
        <v>92</v>
      </c>
      <c r="F1628" s="49" t="s">
        <v>723</v>
      </c>
      <c r="G1628" s="49" t="s">
        <v>148</v>
      </c>
      <c r="H1628" s="49" t="s">
        <v>609</v>
      </c>
      <c r="I1628" s="32">
        <v>43332.0</v>
      </c>
      <c r="J1628" s="32">
        <v>43336.0</v>
      </c>
    </row>
    <row r="1629">
      <c r="A1629" s="193" t="str">
        <f>hyperlink("https://issues.sierrawireless.com/browse/OEMPRI-8115", "OEMPRI-8115")</f>
        <v>OEMPRI-8115</v>
      </c>
      <c r="B1629" s="116" t="s">
        <v>7068</v>
      </c>
      <c r="C1629" s="116" t="s">
        <v>277</v>
      </c>
      <c r="D1629" s="117">
        <v>43326.0</v>
      </c>
      <c r="E1629" s="118" t="s">
        <v>92</v>
      </c>
      <c r="F1629" s="116" t="s">
        <v>160</v>
      </c>
      <c r="G1629" s="116" t="s">
        <v>155</v>
      </c>
      <c r="H1629" s="116" t="s">
        <v>155</v>
      </c>
      <c r="I1629" s="95">
        <v>43332.0</v>
      </c>
      <c r="J1629" s="95">
        <v>43336.0</v>
      </c>
      <c r="K1629" s="179"/>
      <c r="L1629" s="179"/>
      <c r="M1629" s="179"/>
      <c r="N1629" s="179"/>
      <c r="O1629" s="179"/>
      <c r="P1629" s="179"/>
      <c r="Q1629" s="179"/>
      <c r="R1629" s="179"/>
      <c r="S1629" s="179"/>
      <c r="T1629" s="179"/>
      <c r="U1629" s="179"/>
      <c r="V1629" s="179"/>
      <c r="W1629" s="179"/>
      <c r="X1629" s="179"/>
      <c r="Y1629" s="179"/>
      <c r="Z1629" s="179"/>
    </row>
    <row r="1630">
      <c r="A1630" s="110" t="str">
        <f>hyperlink("https://issues.sierrawireless.com/browse/OEMPRI-8119", "OEMPRI-8119")</f>
        <v>OEMPRI-8119</v>
      </c>
      <c r="B1630" s="49" t="s">
        <v>7071</v>
      </c>
      <c r="C1630" s="49" t="s">
        <v>86</v>
      </c>
      <c r="D1630" s="50">
        <v>43326.0</v>
      </c>
      <c r="E1630" s="54" t="s">
        <v>92</v>
      </c>
      <c r="F1630" s="49" t="s">
        <v>160</v>
      </c>
      <c r="G1630" s="49" t="s">
        <v>140</v>
      </c>
      <c r="H1630" s="49" t="s">
        <v>153</v>
      </c>
      <c r="I1630" s="32">
        <v>43332.0</v>
      </c>
      <c r="J1630" s="32">
        <v>43336.0</v>
      </c>
    </row>
    <row r="1631">
      <c r="A1631" s="193" t="str">
        <f>hyperlink("https://issues.sierrawireless.com/browse/OEMPRI-8147", "OEMPRI-8147")</f>
        <v>OEMPRI-8147</v>
      </c>
      <c r="B1631" s="116" t="s">
        <v>7075</v>
      </c>
      <c r="C1631" s="116" t="s">
        <v>225</v>
      </c>
      <c r="D1631" s="117">
        <v>43329.0</v>
      </c>
      <c r="E1631" s="118">
        <v>43333.0</v>
      </c>
      <c r="F1631" s="116" t="s">
        <v>160</v>
      </c>
      <c r="G1631" s="116" t="s">
        <v>120</v>
      </c>
      <c r="H1631" s="116" t="s">
        <v>141</v>
      </c>
      <c r="I1631" s="95">
        <v>43332.0</v>
      </c>
      <c r="J1631" s="95">
        <v>43336.0</v>
      </c>
      <c r="K1631" s="179"/>
      <c r="L1631" s="179"/>
      <c r="M1631" s="179"/>
      <c r="N1631" s="179"/>
      <c r="O1631" s="179"/>
      <c r="P1631" s="179"/>
      <c r="Q1631" s="179"/>
      <c r="R1631" s="179"/>
      <c r="S1631" s="179"/>
      <c r="T1631" s="179"/>
      <c r="U1631" s="179"/>
      <c r="V1631" s="179"/>
      <c r="W1631" s="179"/>
      <c r="X1631" s="179"/>
      <c r="Y1631" s="179"/>
      <c r="Z1631" s="179"/>
    </row>
    <row r="1632">
      <c r="A1632" s="193" t="str">
        <f>hyperlink("https://issues.sierrawireless.com/browse/OEMPRI-8171", "OEMPRI-8171")</f>
        <v>OEMPRI-8171</v>
      </c>
      <c r="B1632" s="116" t="s">
        <v>7077</v>
      </c>
      <c r="C1632" s="116" t="s">
        <v>277</v>
      </c>
      <c r="D1632" s="117">
        <v>43332.0</v>
      </c>
      <c r="E1632" s="118">
        <v>43335.0</v>
      </c>
      <c r="F1632" s="116" t="s">
        <v>160</v>
      </c>
      <c r="G1632" s="116" t="s">
        <v>148</v>
      </c>
      <c r="H1632" s="116" t="s">
        <v>141</v>
      </c>
      <c r="I1632" s="95">
        <v>43332.0</v>
      </c>
      <c r="J1632" s="95">
        <v>43334.0</v>
      </c>
      <c r="K1632" s="179"/>
      <c r="L1632" s="179"/>
      <c r="M1632" s="179"/>
      <c r="N1632" s="179"/>
      <c r="O1632" s="179"/>
      <c r="P1632" s="179"/>
      <c r="Q1632" s="179"/>
      <c r="R1632" s="179"/>
      <c r="S1632" s="179"/>
      <c r="T1632" s="179"/>
      <c r="U1632" s="179"/>
      <c r="V1632" s="179"/>
      <c r="W1632" s="179"/>
      <c r="X1632" s="179"/>
      <c r="Y1632" s="179"/>
      <c r="Z1632" s="179"/>
    </row>
  </sheetData>
  <autoFilter ref="$A$2:$Z$1632">
    <filterColumn colId="8">
      <filters>
        <filter val="2018/8/13"/>
        <filter val="2018/8/20"/>
      </filters>
    </filterColumn>
  </autoFilter>
  <mergeCells count="1">
    <mergeCell ref="I642:J642"/>
  </mergeCells>
  <conditionalFormatting sqref="A1:A1632">
    <cfRule type="colorScale" priority="1">
      <colorScale>
        <cfvo type="min"/>
        <cfvo type="max"/>
        <color rgb="FF57BB8A"/>
        <color rgb="FFFFFFFF"/>
      </colorScale>
    </cfRule>
  </conditionalFormatting>
  <hyperlinks>
    <hyperlink r:id="rId2" ref="A196"/>
    <hyperlink r:id="rId3" ref="A208"/>
    <hyperlink r:id="rId4" ref="A220"/>
    <hyperlink r:id="rId5" ref="A235"/>
    <hyperlink r:id="rId6" ref="A236"/>
    <hyperlink r:id="rId7" ref="A246"/>
    <hyperlink r:id="rId8" ref="A247"/>
    <hyperlink r:id="rId9" ref="A248"/>
    <hyperlink r:id="rId10" ref="A249"/>
    <hyperlink r:id="rId11" ref="A250"/>
    <hyperlink r:id="rId12" ref="A252"/>
    <hyperlink r:id="rId13" ref="A254"/>
    <hyperlink r:id="rId14" ref="A255"/>
    <hyperlink r:id="rId15" ref="A310"/>
    <hyperlink r:id="rId16" ref="A335"/>
    <hyperlink r:id="rId17" ref="A340"/>
    <hyperlink r:id="rId18" ref="A341"/>
    <hyperlink r:id="rId19" ref="A342"/>
    <hyperlink r:id="rId20" ref="A343"/>
    <hyperlink r:id="rId21" ref="A344"/>
    <hyperlink r:id="rId22" ref="A345"/>
    <hyperlink r:id="rId23" ref="A346"/>
    <hyperlink r:id="rId24" ref="A347"/>
    <hyperlink r:id="rId25" ref="A348"/>
    <hyperlink r:id="rId26" ref="A349"/>
    <hyperlink r:id="rId27" ref="A350"/>
    <hyperlink r:id="rId28" ref="A351"/>
    <hyperlink r:id="rId29" ref="A352"/>
    <hyperlink r:id="rId30" ref="A353"/>
    <hyperlink r:id="rId31" ref="A354"/>
    <hyperlink r:id="rId32" ref="A355"/>
    <hyperlink r:id="rId33" ref="A356"/>
    <hyperlink r:id="rId34" ref="A357"/>
    <hyperlink r:id="rId35" ref="A358"/>
    <hyperlink r:id="rId36" ref="A359"/>
    <hyperlink r:id="rId37" ref="A360"/>
    <hyperlink r:id="rId38" ref="A361"/>
    <hyperlink r:id="rId39" ref="A362"/>
    <hyperlink r:id="rId40" ref="A363"/>
    <hyperlink r:id="rId41" ref="A364"/>
    <hyperlink r:id="rId42" ref="A365"/>
    <hyperlink r:id="rId43" ref="A366"/>
    <hyperlink r:id="rId44" ref="A367"/>
    <hyperlink r:id="rId45" ref="A368"/>
    <hyperlink r:id="rId46" ref="A369"/>
    <hyperlink r:id="rId47" ref="A370"/>
    <hyperlink r:id="rId48" ref="A371"/>
    <hyperlink r:id="rId49" ref="A372"/>
    <hyperlink r:id="rId50" ref="A373"/>
    <hyperlink r:id="rId51" ref="A374"/>
    <hyperlink r:id="rId52" ref="A375"/>
    <hyperlink r:id="rId53" ref="A376"/>
    <hyperlink r:id="rId54" ref="A377"/>
    <hyperlink r:id="rId55" ref="A378"/>
    <hyperlink r:id="rId56" ref="A379"/>
    <hyperlink r:id="rId57" ref="A380"/>
    <hyperlink r:id="rId58" ref="A381"/>
    <hyperlink r:id="rId59" ref="A382"/>
    <hyperlink r:id="rId60" ref="A383"/>
    <hyperlink r:id="rId61" ref="A384"/>
    <hyperlink r:id="rId62" ref="A385"/>
    <hyperlink r:id="rId63" ref="A386"/>
    <hyperlink r:id="rId64" ref="A387"/>
    <hyperlink r:id="rId65" ref="A388"/>
    <hyperlink r:id="rId66" ref="A389"/>
    <hyperlink r:id="rId67" ref="A390"/>
    <hyperlink r:id="rId68" ref="A391"/>
    <hyperlink r:id="rId69" ref="A392"/>
    <hyperlink r:id="rId70" ref="A393"/>
    <hyperlink r:id="rId71" ref="A394"/>
    <hyperlink r:id="rId72" ref="A395"/>
    <hyperlink r:id="rId73" ref="A396"/>
    <hyperlink r:id="rId74" ref="A397"/>
    <hyperlink r:id="rId75" ref="A398"/>
    <hyperlink r:id="rId76" ref="A399"/>
    <hyperlink r:id="rId77" ref="A400"/>
    <hyperlink r:id="rId78" ref="A401"/>
    <hyperlink r:id="rId79" ref="A402"/>
    <hyperlink r:id="rId80" ref="A403"/>
    <hyperlink r:id="rId81" ref="A404"/>
    <hyperlink r:id="rId82" ref="A405"/>
    <hyperlink r:id="rId83" ref="A406"/>
    <hyperlink r:id="rId84" ref="A407"/>
    <hyperlink r:id="rId85" ref="A408"/>
    <hyperlink r:id="rId86" ref="A409"/>
    <hyperlink r:id="rId87" ref="A410"/>
    <hyperlink r:id="rId88" ref="A411"/>
    <hyperlink r:id="rId89" ref="A412"/>
    <hyperlink r:id="rId90" ref="A413"/>
    <hyperlink r:id="rId91" ref="A414"/>
    <hyperlink r:id="rId92" ref="A415"/>
    <hyperlink r:id="rId93" ref="A416"/>
    <hyperlink r:id="rId94" ref="A417"/>
    <hyperlink r:id="rId95" ref="A418"/>
    <hyperlink r:id="rId96" ref="A419"/>
    <hyperlink r:id="rId97" ref="A420"/>
    <hyperlink r:id="rId98" ref="A421"/>
    <hyperlink r:id="rId99" ref="A422"/>
    <hyperlink r:id="rId100" ref="A423"/>
    <hyperlink r:id="rId101" ref="A424"/>
    <hyperlink r:id="rId102" ref="A425"/>
    <hyperlink r:id="rId103" ref="A426"/>
    <hyperlink r:id="rId104" ref="A427"/>
    <hyperlink r:id="rId105" ref="A428"/>
    <hyperlink r:id="rId106" ref="A429"/>
    <hyperlink r:id="rId107" ref="A430"/>
    <hyperlink r:id="rId108" ref="A431"/>
    <hyperlink r:id="rId109" ref="A432"/>
    <hyperlink r:id="rId110" ref="A433"/>
    <hyperlink r:id="rId111" ref="A434"/>
    <hyperlink r:id="rId112" ref="A435"/>
    <hyperlink r:id="rId113" ref="A436"/>
    <hyperlink r:id="rId114" ref="A437"/>
    <hyperlink r:id="rId115" ref="A438"/>
    <hyperlink r:id="rId116" ref="A439"/>
    <hyperlink r:id="rId117" ref="A440"/>
    <hyperlink r:id="rId118" ref="A441"/>
    <hyperlink r:id="rId119" ref="A442"/>
    <hyperlink r:id="rId120" ref="A443"/>
    <hyperlink r:id="rId121" ref="A444"/>
    <hyperlink r:id="rId122" ref="A445"/>
    <hyperlink r:id="rId123" ref="A446"/>
    <hyperlink r:id="rId124" ref="A447"/>
    <hyperlink r:id="rId125" ref="A448"/>
    <hyperlink r:id="rId126" ref="A449"/>
    <hyperlink r:id="rId127" ref="A450"/>
    <hyperlink r:id="rId128" ref="A451"/>
    <hyperlink r:id="rId129" ref="A452"/>
    <hyperlink r:id="rId130" ref="A453"/>
    <hyperlink r:id="rId131" ref="A454"/>
    <hyperlink r:id="rId132" ref="A455"/>
    <hyperlink r:id="rId133" ref="A456"/>
    <hyperlink r:id="rId134" ref="A457"/>
    <hyperlink r:id="rId135" ref="A458"/>
    <hyperlink r:id="rId136" ref="A459"/>
    <hyperlink r:id="rId137" ref="A460"/>
    <hyperlink r:id="rId138" ref="A461"/>
    <hyperlink r:id="rId139" ref="A462"/>
    <hyperlink r:id="rId140" ref="A463"/>
    <hyperlink r:id="rId141" ref="A464"/>
    <hyperlink r:id="rId142" ref="A465"/>
    <hyperlink r:id="rId143" ref="A466"/>
    <hyperlink r:id="rId144" ref="A467"/>
    <hyperlink r:id="rId145" ref="A468"/>
    <hyperlink r:id="rId146" ref="A469"/>
    <hyperlink r:id="rId147" ref="A470"/>
    <hyperlink r:id="rId148" ref="A471"/>
    <hyperlink r:id="rId149" ref="A472"/>
    <hyperlink r:id="rId150" ref="A473"/>
    <hyperlink r:id="rId151" ref="A474"/>
    <hyperlink r:id="rId152" ref="A475"/>
    <hyperlink r:id="rId153" ref="A476"/>
    <hyperlink r:id="rId154" ref="A477"/>
    <hyperlink r:id="rId155" ref="A478"/>
    <hyperlink r:id="rId156" ref="A479"/>
    <hyperlink r:id="rId157" ref="A480"/>
    <hyperlink r:id="rId158" ref="A481"/>
    <hyperlink r:id="rId159" ref="A482"/>
    <hyperlink r:id="rId160" ref="A483"/>
    <hyperlink r:id="rId161" ref="A484"/>
    <hyperlink r:id="rId162" ref="A485"/>
    <hyperlink r:id="rId163" ref="A486"/>
    <hyperlink r:id="rId164" ref="A487"/>
    <hyperlink r:id="rId165" ref="A488"/>
    <hyperlink r:id="rId166" ref="A489"/>
    <hyperlink r:id="rId167" ref="A490"/>
    <hyperlink r:id="rId168" ref="A491"/>
    <hyperlink r:id="rId169" ref="A492"/>
    <hyperlink r:id="rId170" ref="A493"/>
    <hyperlink r:id="rId171" ref="A494"/>
    <hyperlink r:id="rId172" ref="A495"/>
    <hyperlink r:id="rId173" ref="A496"/>
    <hyperlink r:id="rId174" ref="A497"/>
    <hyperlink r:id="rId175" ref="A498"/>
    <hyperlink r:id="rId176" ref="A499"/>
    <hyperlink r:id="rId177" ref="A500"/>
    <hyperlink r:id="rId178" ref="A501"/>
    <hyperlink r:id="rId179" ref="A502"/>
    <hyperlink r:id="rId180" ref="A503"/>
    <hyperlink r:id="rId181" ref="A504"/>
    <hyperlink r:id="rId182" ref="A505"/>
    <hyperlink r:id="rId183" ref="A506"/>
    <hyperlink r:id="rId184" ref="A507"/>
    <hyperlink r:id="rId185" ref="A508"/>
    <hyperlink r:id="rId186" ref="A509"/>
    <hyperlink r:id="rId187" ref="A510"/>
    <hyperlink r:id="rId188" ref="A511"/>
    <hyperlink r:id="rId189" ref="A512"/>
    <hyperlink r:id="rId190" ref="A513"/>
    <hyperlink r:id="rId191" ref="A514"/>
    <hyperlink r:id="rId192" ref="A515"/>
    <hyperlink r:id="rId193" ref="A516"/>
    <hyperlink r:id="rId194" ref="A517"/>
    <hyperlink r:id="rId195" ref="A518"/>
    <hyperlink r:id="rId196" ref="A519"/>
    <hyperlink r:id="rId197" ref="A520"/>
    <hyperlink r:id="rId198" ref="A521"/>
    <hyperlink r:id="rId199" ref="A522"/>
    <hyperlink r:id="rId200" ref="A523"/>
    <hyperlink r:id="rId201" ref="A524"/>
    <hyperlink r:id="rId202" ref="A525"/>
    <hyperlink r:id="rId203" ref="A526"/>
    <hyperlink r:id="rId204" ref="A527"/>
    <hyperlink r:id="rId205" ref="A528"/>
    <hyperlink r:id="rId206" ref="A529"/>
    <hyperlink r:id="rId207" ref="A530"/>
    <hyperlink r:id="rId208" ref="A531"/>
    <hyperlink r:id="rId209" ref="A532"/>
    <hyperlink r:id="rId210" ref="A533"/>
    <hyperlink r:id="rId211" ref="A534"/>
    <hyperlink r:id="rId212" ref="A535"/>
    <hyperlink r:id="rId213" ref="A536"/>
    <hyperlink r:id="rId214" ref="A537"/>
    <hyperlink r:id="rId215" ref="A538"/>
    <hyperlink r:id="rId216" ref="A539"/>
    <hyperlink r:id="rId217" ref="A540"/>
    <hyperlink r:id="rId218" ref="A541"/>
    <hyperlink r:id="rId219" ref="A542"/>
    <hyperlink r:id="rId220" ref="A543"/>
    <hyperlink r:id="rId221" ref="A544"/>
    <hyperlink r:id="rId222" ref="A545"/>
    <hyperlink r:id="rId223" ref="A546"/>
    <hyperlink r:id="rId224" ref="A547"/>
    <hyperlink r:id="rId225" ref="A548"/>
    <hyperlink r:id="rId226" ref="A549"/>
    <hyperlink r:id="rId227" ref="A550"/>
    <hyperlink r:id="rId228" ref="A551"/>
    <hyperlink r:id="rId229" ref="A552"/>
    <hyperlink r:id="rId230" ref="A553"/>
    <hyperlink r:id="rId231" ref="A554"/>
    <hyperlink r:id="rId232" ref="A555"/>
    <hyperlink r:id="rId233" ref="A556"/>
    <hyperlink r:id="rId234" ref="A557"/>
    <hyperlink r:id="rId235" ref="A558"/>
    <hyperlink r:id="rId236" ref="A559"/>
    <hyperlink r:id="rId237" ref="A560"/>
    <hyperlink r:id="rId238" ref="A561"/>
    <hyperlink r:id="rId239" ref="A562"/>
    <hyperlink r:id="rId240" ref="A563"/>
    <hyperlink r:id="rId241" ref="A564"/>
    <hyperlink r:id="rId242" ref="A565"/>
    <hyperlink r:id="rId243" ref="A566"/>
    <hyperlink r:id="rId244" ref="A567"/>
    <hyperlink r:id="rId245" ref="A568"/>
    <hyperlink r:id="rId246" ref="A569"/>
    <hyperlink r:id="rId247" ref="A570"/>
    <hyperlink r:id="rId248" ref="A571"/>
    <hyperlink r:id="rId249" ref="A572"/>
    <hyperlink r:id="rId250" ref="A573"/>
    <hyperlink r:id="rId251" ref="A574"/>
    <hyperlink r:id="rId252" ref="A575"/>
    <hyperlink r:id="rId253" ref="A576"/>
    <hyperlink r:id="rId254" ref="A577"/>
    <hyperlink r:id="rId255" ref="A578"/>
    <hyperlink r:id="rId256" ref="A579"/>
    <hyperlink r:id="rId257" ref="A580"/>
    <hyperlink r:id="rId258" ref="A581"/>
    <hyperlink r:id="rId259" ref="A582"/>
    <hyperlink r:id="rId260" ref="A583"/>
    <hyperlink r:id="rId261" ref="A584"/>
    <hyperlink r:id="rId262" ref="A585"/>
    <hyperlink r:id="rId263" ref="A586"/>
    <hyperlink r:id="rId264" ref="A587"/>
    <hyperlink r:id="rId265" ref="A588"/>
    <hyperlink r:id="rId266" ref="A589"/>
    <hyperlink r:id="rId267" ref="A590"/>
    <hyperlink r:id="rId268" ref="A591"/>
    <hyperlink r:id="rId269" ref="A592"/>
    <hyperlink r:id="rId270" ref="A593"/>
    <hyperlink r:id="rId271" ref="A594"/>
    <hyperlink r:id="rId272" ref="A595"/>
    <hyperlink r:id="rId273" ref="A596"/>
    <hyperlink r:id="rId274" ref="A597"/>
    <hyperlink r:id="rId275" ref="A598"/>
    <hyperlink r:id="rId276" ref="A599"/>
    <hyperlink r:id="rId277" ref="A600"/>
    <hyperlink r:id="rId278" ref="A601"/>
    <hyperlink r:id="rId279" ref="A602"/>
    <hyperlink r:id="rId280" ref="A603"/>
    <hyperlink r:id="rId281" ref="A604"/>
    <hyperlink r:id="rId282" ref="A605"/>
    <hyperlink r:id="rId283" ref="A606"/>
    <hyperlink r:id="rId284" ref="A607"/>
    <hyperlink r:id="rId285" ref="A608"/>
    <hyperlink r:id="rId286" ref="A609"/>
    <hyperlink r:id="rId287" ref="A610"/>
    <hyperlink r:id="rId288" ref="A611"/>
    <hyperlink r:id="rId289" ref="A612"/>
    <hyperlink r:id="rId290" ref="A613"/>
    <hyperlink r:id="rId291" ref="A614"/>
    <hyperlink r:id="rId292" ref="A615"/>
    <hyperlink r:id="rId293" ref="A616"/>
    <hyperlink r:id="rId294" ref="A617"/>
    <hyperlink r:id="rId295" ref="A618"/>
    <hyperlink r:id="rId296" ref="A619"/>
    <hyperlink r:id="rId297" ref="A620"/>
    <hyperlink r:id="rId298" ref="A621"/>
    <hyperlink r:id="rId299" ref="A622"/>
    <hyperlink r:id="rId300" ref="A623"/>
    <hyperlink r:id="rId301" ref="A624"/>
    <hyperlink r:id="rId302" ref="A625"/>
    <hyperlink r:id="rId303" ref="A626"/>
    <hyperlink r:id="rId304" ref="A627"/>
    <hyperlink r:id="rId305" ref="A628"/>
    <hyperlink r:id="rId306" ref="A629"/>
    <hyperlink r:id="rId307" ref="A630"/>
    <hyperlink r:id="rId308" ref="A631"/>
    <hyperlink r:id="rId309" ref="A632"/>
    <hyperlink r:id="rId310" ref="A633"/>
    <hyperlink r:id="rId311" ref="A634"/>
    <hyperlink r:id="rId312" ref="A635"/>
    <hyperlink r:id="rId313" ref="A636"/>
    <hyperlink r:id="rId314" ref="A637"/>
    <hyperlink r:id="rId315" ref="A638"/>
    <hyperlink r:id="rId316" ref="A639"/>
    <hyperlink r:id="rId317" ref="A640"/>
    <hyperlink r:id="rId318" ref="A641"/>
    <hyperlink r:id="rId319" ref="A642"/>
    <hyperlink r:id="rId320" ref="A643"/>
    <hyperlink r:id="rId321" ref="A644"/>
    <hyperlink r:id="rId322" ref="A645"/>
    <hyperlink r:id="rId323" ref="A646"/>
    <hyperlink r:id="rId324" ref="A647"/>
    <hyperlink r:id="rId325" ref="A648"/>
    <hyperlink r:id="rId326" ref="A649"/>
    <hyperlink r:id="rId327" ref="A650"/>
    <hyperlink r:id="rId328" ref="A651"/>
    <hyperlink r:id="rId329" ref="A652"/>
    <hyperlink r:id="rId330" ref="A653"/>
    <hyperlink r:id="rId331" ref="A654"/>
    <hyperlink r:id="rId332" ref="A655"/>
    <hyperlink r:id="rId333" ref="A656"/>
    <hyperlink r:id="rId334" ref="A657"/>
    <hyperlink r:id="rId335" ref="A658"/>
    <hyperlink r:id="rId336" ref="A659"/>
    <hyperlink r:id="rId337" ref="A660"/>
    <hyperlink r:id="rId338" ref="A661"/>
    <hyperlink r:id="rId339" ref="A662"/>
    <hyperlink r:id="rId340" ref="A663"/>
    <hyperlink r:id="rId341" ref="A664"/>
    <hyperlink r:id="rId342" ref="A665"/>
    <hyperlink r:id="rId343" ref="A666"/>
    <hyperlink r:id="rId344" ref="A667"/>
    <hyperlink r:id="rId345" ref="A668"/>
    <hyperlink r:id="rId346" ref="A669"/>
    <hyperlink r:id="rId347" ref="A670"/>
    <hyperlink r:id="rId348" ref="A671"/>
    <hyperlink r:id="rId349" ref="A672"/>
    <hyperlink r:id="rId350" ref="A673"/>
    <hyperlink r:id="rId351" ref="A674"/>
    <hyperlink r:id="rId352" ref="A675"/>
    <hyperlink r:id="rId353" ref="A676"/>
    <hyperlink r:id="rId354" ref="A677"/>
    <hyperlink r:id="rId355" ref="A678"/>
    <hyperlink r:id="rId356" ref="A679"/>
    <hyperlink r:id="rId357" ref="A680"/>
    <hyperlink r:id="rId358" ref="A681"/>
    <hyperlink r:id="rId359" ref="A682"/>
    <hyperlink r:id="rId360" ref="A683"/>
    <hyperlink r:id="rId361" ref="A684"/>
    <hyperlink r:id="rId362" ref="A685"/>
    <hyperlink r:id="rId363" ref="A686"/>
    <hyperlink r:id="rId364" ref="A687"/>
    <hyperlink r:id="rId365" ref="A688"/>
    <hyperlink r:id="rId366" ref="A689"/>
    <hyperlink r:id="rId367" ref="A690"/>
    <hyperlink r:id="rId368" ref="A691"/>
    <hyperlink r:id="rId369" ref="A692"/>
    <hyperlink r:id="rId370" ref="A693"/>
    <hyperlink r:id="rId371" ref="A694"/>
    <hyperlink r:id="rId372" ref="A695"/>
    <hyperlink r:id="rId373" ref="A696"/>
    <hyperlink r:id="rId374" ref="A697"/>
    <hyperlink r:id="rId375" ref="A698"/>
    <hyperlink r:id="rId376" ref="A699"/>
    <hyperlink r:id="rId377" ref="A700"/>
    <hyperlink r:id="rId378" ref="A701"/>
    <hyperlink r:id="rId379" ref="A702"/>
    <hyperlink r:id="rId380" ref="A703"/>
    <hyperlink r:id="rId381" ref="A704"/>
    <hyperlink r:id="rId382" ref="A705"/>
    <hyperlink r:id="rId383" ref="A706"/>
    <hyperlink r:id="rId384" ref="A707"/>
    <hyperlink r:id="rId385" ref="A708"/>
    <hyperlink r:id="rId386" ref="A709"/>
    <hyperlink r:id="rId387" ref="A710"/>
    <hyperlink r:id="rId388" ref="A711"/>
    <hyperlink r:id="rId389" ref="A712"/>
    <hyperlink r:id="rId390" ref="A713"/>
    <hyperlink r:id="rId391" ref="A714"/>
    <hyperlink r:id="rId392" ref="A715"/>
    <hyperlink r:id="rId393" ref="A716"/>
    <hyperlink r:id="rId394" ref="A717"/>
    <hyperlink r:id="rId395" ref="A718"/>
    <hyperlink r:id="rId396" ref="A719"/>
    <hyperlink r:id="rId397" ref="A720"/>
    <hyperlink r:id="rId398" ref="A721"/>
    <hyperlink r:id="rId399" ref="A722"/>
    <hyperlink r:id="rId400" ref="A723"/>
    <hyperlink r:id="rId401" ref="A724"/>
    <hyperlink r:id="rId402" ref="A725"/>
    <hyperlink r:id="rId403" ref="A726"/>
    <hyperlink r:id="rId404" ref="A727"/>
    <hyperlink r:id="rId405" ref="A728"/>
    <hyperlink r:id="rId406" ref="A729"/>
    <hyperlink r:id="rId407" ref="A730"/>
    <hyperlink r:id="rId408" ref="A731"/>
    <hyperlink r:id="rId409" ref="A732"/>
    <hyperlink r:id="rId410" ref="A733"/>
    <hyperlink r:id="rId411" ref="A734"/>
    <hyperlink r:id="rId412" ref="A735"/>
    <hyperlink r:id="rId413" ref="A736"/>
    <hyperlink r:id="rId414" ref="A737"/>
    <hyperlink r:id="rId415" ref="A738"/>
    <hyperlink r:id="rId416" ref="A739"/>
    <hyperlink r:id="rId417" ref="A740"/>
    <hyperlink r:id="rId418" ref="A741"/>
    <hyperlink r:id="rId419" ref="A742"/>
    <hyperlink r:id="rId420" ref="A743"/>
    <hyperlink r:id="rId421" ref="A744"/>
    <hyperlink r:id="rId422" ref="A745"/>
    <hyperlink r:id="rId423" ref="A746"/>
    <hyperlink r:id="rId424" ref="A747"/>
    <hyperlink r:id="rId425" ref="A748"/>
    <hyperlink r:id="rId426" ref="A749"/>
    <hyperlink r:id="rId427" ref="A750"/>
    <hyperlink r:id="rId428" ref="A751"/>
    <hyperlink r:id="rId429" ref="A752"/>
    <hyperlink r:id="rId430" ref="A753"/>
    <hyperlink r:id="rId431" ref="A754"/>
    <hyperlink r:id="rId432" ref="A755"/>
    <hyperlink r:id="rId433" ref="A756"/>
    <hyperlink r:id="rId434" ref="A757"/>
    <hyperlink r:id="rId435" ref="A758"/>
    <hyperlink r:id="rId436" ref="A759"/>
    <hyperlink r:id="rId437" ref="A760"/>
    <hyperlink r:id="rId438" ref="A761"/>
    <hyperlink r:id="rId439" ref="A762"/>
    <hyperlink r:id="rId440" ref="A763"/>
    <hyperlink r:id="rId441" ref="A764"/>
    <hyperlink r:id="rId442" ref="A765"/>
    <hyperlink r:id="rId443" ref="A766"/>
    <hyperlink r:id="rId444" ref="A767"/>
    <hyperlink r:id="rId445" ref="A768"/>
    <hyperlink r:id="rId446" ref="A769"/>
    <hyperlink r:id="rId447" ref="A770"/>
    <hyperlink r:id="rId448" ref="A771"/>
    <hyperlink r:id="rId449" ref="A772"/>
    <hyperlink r:id="rId450" ref="A773"/>
    <hyperlink r:id="rId451" ref="A774"/>
    <hyperlink r:id="rId452" ref="A775"/>
    <hyperlink r:id="rId453" ref="A776"/>
    <hyperlink r:id="rId454" ref="A777"/>
    <hyperlink r:id="rId455" ref="A778"/>
    <hyperlink r:id="rId456" ref="A779"/>
    <hyperlink r:id="rId457" ref="A780"/>
    <hyperlink r:id="rId458" ref="A781"/>
    <hyperlink r:id="rId459" ref="A782"/>
    <hyperlink r:id="rId460" ref="A783"/>
    <hyperlink r:id="rId461" ref="A784"/>
    <hyperlink r:id="rId462" ref="A785"/>
    <hyperlink r:id="rId463" ref="A786"/>
    <hyperlink r:id="rId464" ref="A787"/>
    <hyperlink r:id="rId465" ref="A788"/>
    <hyperlink r:id="rId466" ref="A789"/>
    <hyperlink r:id="rId467" ref="A790"/>
    <hyperlink r:id="rId468" ref="A791"/>
    <hyperlink r:id="rId469" ref="A792"/>
    <hyperlink r:id="rId470" ref="A793"/>
    <hyperlink r:id="rId471" ref="A794"/>
    <hyperlink r:id="rId472" ref="A795"/>
    <hyperlink r:id="rId473" ref="A796"/>
    <hyperlink r:id="rId474" ref="A797"/>
    <hyperlink r:id="rId475" ref="A798"/>
    <hyperlink r:id="rId476" ref="A799"/>
    <hyperlink r:id="rId477" ref="A800"/>
    <hyperlink r:id="rId478" ref="A801"/>
    <hyperlink r:id="rId479" ref="A802"/>
    <hyperlink r:id="rId480" ref="A803"/>
    <hyperlink r:id="rId481" ref="A804"/>
    <hyperlink r:id="rId482" ref="A805"/>
    <hyperlink r:id="rId483" ref="A806"/>
    <hyperlink r:id="rId484" ref="A807"/>
    <hyperlink r:id="rId485" ref="A808"/>
    <hyperlink r:id="rId486" ref="A809"/>
    <hyperlink r:id="rId487" ref="A810"/>
    <hyperlink r:id="rId488" ref="A811"/>
    <hyperlink r:id="rId489" ref="A812"/>
    <hyperlink r:id="rId490" ref="A813"/>
    <hyperlink r:id="rId491" ref="A814"/>
    <hyperlink r:id="rId492" ref="A815"/>
    <hyperlink r:id="rId493" ref="A816"/>
    <hyperlink r:id="rId494" ref="A817"/>
    <hyperlink r:id="rId495" ref="A818"/>
    <hyperlink r:id="rId496" ref="A819"/>
    <hyperlink r:id="rId497" ref="A820"/>
    <hyperlink r:id="rId498" ref="A821"/>
    <hyperlink r:id="rId499" ref="A822"/>
    <hyperlink r:id="rId500" ref="A823"/>
    <hyperlink r:id="rId501" ref="A824"/>
    <hyperlink r:id="rId502" ref="A825"/>
    <hyperlink r:id="rId503" ref="A826"/>
    <hyperlink r:id="rId504" ref="A827"/>
    <hyperlink r:id="rId505" ref="A828"/>
    <hyperlink r:id="rId506" ref="A829"/>
    <hyperlink r:id="rId507" ref="A830"/>
    <hyperlink r:id="rId508" ref="A831"/>
    <hyperlink r:id="rId509" ref="A832"/>
    <hyperlink r:id="rId510" ref="A833"/>
    <hyperlink r:id="rId511" ref="A834"/>
    <hyperlink r:id="rId512" ref="A835"/>
    <hyperlink r:id="rId513" ref="A836"/>
    <hyperlink r:id="rId514" ref="A837"/>
    <hyperlink r:id="rId515" ref="A838"/>
    <hyperlink r:id="rId516" ref="A839"/>
    <hyperlink r:id="rId517" ref="A840"/>
    <hyperlink r:id="rId518" ref="A841"/>
    <hyperlink r:id="rId519" ref="A842"/>
    <hyperlink r:id="rId520" ref="A843"/>
    <hyperlink r:id="rId521" ref="A844"/>
    <hyperlink r:id="rId522" ref="A845"/>
    <hyperlink r:id="rId523" ref="A846"/>
    <hyperlink r:id="rId524" ref="A847"/>
    <hyperlink r:id="rId525" ref="A848"/>
    <hyperlink r:id="rId526" ref="A849"/>
    <hyperlink r:id="rId527" ref="A850"/>
    <hyperlink r:id="rId528" ref="A851"/>
    <hyperlink r:id="rId529" ref="A852"/>
    <hyperlink r:id="rId530" ref="A853"/>
    <hyperlink r:id="rId531" ref="A854"/>
    <hyperlink r:id="rId532" ref="A855"/>
    <hyperlink r:id="rId533" ref="A856"/>
    <hyperlink r:id="rId534" ref="A857"/>
    <hyperlink r:id="rId535" ref="A858"/>
    <hyperlink r:id="rId536" ref="A859"/>
    <hyperlink r:id="rId537" ref="A860"/>
    <hyperlink r:id="rId538" ref="A861"/>
    <hyperlink r:id="rId539" ref="A862"/>
    <hyperlink r:id="rId540" ref="A863"/>
    <hyperlink r:id="rId541" ref="A864"/>
    <hyperlink r:id="rId542" ref="A865"/>
    <hyperlink r:id="rId543" ref="A866"/>
    <hyperlink r:id="rId544" ref="A867"/>
    <hyperlink r:id="rId545" ref="A868"/>
    <hyperlink r:id="rId546" ref="A869"/>
    <hyperlink r:id="rId547" ref="A870"/>
    <hyperlink r:id="rId548" ref="A871"/>
    <hyperlink r:id="rId549" ref="A872"/>
    <hyperlink r:id="rId550" ref="A873"/>
    <hyperlink r:id="rId551" ref="A874"/>
    <hyperlink r:id="rId552" ref="A875"/>
    <hyperlink r:id="rId553" ref="A876"/>
    <hyperlink r:id="rId554" ref="A877"/>
    <hyperlink r:id="rId555" ref="A878"/>
    <hyperlink r:id="rId556" ref="A879"/>
    <hyperlink r:id="rId557" ref="A880"/>
    <hyperlink r:id="rId558" ref="A881"/>
    <hyperlink r:id="rId559" ref="A882"/>
    <hyperlink r:id="rId560" ref="A883"/>
    <hyperlink r:id="rId561" ref="A884"/>
    <hyperlink r:id="rId562" ref="A885"/>
    <hyperlink r:id="rId563" ref="A886"/>
    <hyperlink r:id="rId564" ref="A887"/>
    <hyperlink r:id="rId565" ref="A888"/>
    <hyperlink r:id="rId566" ref="A889"/>
    <hyperlink r:id="rId567" ref="A890"/>
    <hyperlink r:id="rId568" ref="A891"/>
    <hyperlink r:id="rId569" ref="A892"/>
    <hyperlink r:id="rId570" ref="A893"/>
    <hyperlink r:id="rId571" ref="A894"/>
    <hyperlink r:id="rId572" ref="A895"/>
    <hyperlink r:id="rId573" ref="A896"/>
    <hyperlink r:id="rId574" ref="A897"/>
    <hyperlink r:id="rId575" ref="A898"/>
    <hyperlink r:id="rId576" ref="A899"/>
    <hyperlink r:id="rId577" ref="A900"/>
    <hyperlink r:id="rId578" ref="A901"/>
    <hyperlink r:id="rId579" ref="A902"/>
    <hyperlink r:id="rId580" ref="A903"/>
    <hyperlink r:id="rId581" ref="A904"/>
    <hyperlink r:id="rId582" ref="A905"/>
    <hyperlink r:id="rId583" ref="A906"/>
    <hyperlink r:id="rId584" ref="A907"/>
    <hyperlink r:id="rId585" ref="A908"/>
    <hyperlink r:id="rId586" ref="A909"/>
    <hyperlink r:id="rId587" ref="A910"/>
    <hyperlink r:id="rId588" ref="A911"/>
    <hyperlink r:id="rId589" ref="A912"/>
    <hyperlink r:id="rId590" ref="A913"/>
    <hyperlink r:id="rId591" ref="A914"/>
    <hyperlink r:id="rId592" ref="A915"/>
    <hyperlink r:id="rId593" ref="A916"/>
    <hyperlink r:id="rId594" ref="A917"/>
    <hyperlink r:id="rId595" ref="A918"/>
    <hyperlink r:id="rId596" ref="A919"/>
    <hyperlink r:id="rId597" ref="A920"/>
    <hyperlink r:id="rId598" ref="A921"/>
    <hyperlink r:id="rId599" ref="A922"/>
    <hyperlink r:id="rId600" ref="A923"/>
    <hyperlink r:id="rId601" ref="A924"/>
    <hyperlink r:id="rId602" ref="A925"/>
    <hyperlink r:id="rId603" ref="A926"/>
    <hyperlink r:id="rId604" ref="A927"/>
    <hyperlink r:id="rId605" ref="A928"/>
    <hyperlink r:id="rId606" ref="A929"/>
    <hyperlink r:id="rId607" ref="A930"/>
    <hyperlink r:id="rId608" ref="A931"/>
    <hyperlink r:id="rId609" ref="A932"/>
    <hyperlink r:id="rId610" ref="A933"/>
    <hyperlink r:id="rId611" ref="A934"/>
    <hyperlink r:id="rId612" ref="A935"/>
    <hyperlink r:id="rId613" ref="A936"/>
    <hyperlink r:id="rId614" ref="A937"/>
    <hyperlink r:id="rId615" ref="A938"/>
    <hyperlink r:id="rId616" ref="A939"/>
    <hyperlink r:id="rId617" ref="A940"/>
    <hyperlink r:id="rId618" ref="A941"/>
    <hyperlink r:id="rId619" ref="A942"/>
    <hyperlink r:id="rId620" ref="A943"/>
    <hyperlink r:id="rId621" ref="A944"/>
    <hyperlink r:id="rId622" ref="A945"/>
    <hyperlink r:id="rId623" ref="A946"/>
    <hyperlink r:id="rId624" ref="A947"/>
    <hyperlink r:id="rId625" ref="A948"/>
    <hyperlink r:id="rId626" ref="A949"/>
    <hyperlink r:id="rId627" ref="A950"/>
    <hyperlink r:id="rId628" ref="A951"/>
    <hyperlink r:id="rId629" ref="A952"/>
    <hyperlink r:id="rId630" ref="A953"/>
    <hyperlink r:id="rId631" ref="A954"/>
    <hyperlink r:id="rId632" ref="A955"/>
    <hyperlink r:id="rId633" ref="A956"/>
    <hyperlink r:id="rId634" ref="A957"/>
    <hyperlink r:id="rId635" ref="A958"/>
    <hyperlink r:id="rId636" ref="A959"/>
    <hyperlink r:id="rId637" ref="A960"/>
    <hyperlink r:id="rId638" ref="A961"/>
    <hyperlink r:id="rId639" ref="A962"/>
    <hyperlink r:id="rId640" ref="A963"/>
    <hyperlink r:id="rId641" ref="A964"/>
    <hyperlink r:id="rId642" ref="A965"/>
    <hyperlink r:id="rId643" ref="A966"/>
    <hyperlink r:id="rId644" ref="A967"/>
    <hyperlink r:id="rId645" ref="A968"/>
    <hyperlink r:id="rId646" ref="A969"/>
    <hyperlink r:id="rId647" ref="A970"/>
    <hyperlink r:id="rId648" ref="A971"/>
    <hyperlink r:id="rId649" ref="A972"/>
    <hyperlink r:id="rId650" ref="A973"/>
    <hyperlink r:id="rId651" ref="A974"/>
    <hyperlink r:id="rId652" ref="A975"/>
    <hyperlink r:id="rId653" ref="A976"/>
    <hyperlink r:id="rId654" ref="A977"/>
    <hyperlink r:id="rId655" ref="A978"/>
    <hyperlink r:id="rId656" ref="A979"/>
    <hyperlink r:id="rId657" ref="A980"/>
    <hyperlink r:id="rId658" ref="A981"/>
    <hyperlink r:id="rId659" ref="A982"/>
    <hyperlink r:id="rId660" ref="A983"/>
    <hyperlink r:id="rId661" ref="A984"/>
    <hyperlink r:id="rId662" ref="A985"/>
    <hyperlink r:id="rId663" ref="A986"/>
    <hyperlink r:id="rId664" ref="A987"/>
    <hyperlink r:id="rId665" ref="A988"/>
    <hyperlink r:id="rId666" ref="A989"/>
    <hyperlink r:id="rId667" ref="A990"/>
    <hyperlink r:id="rId668" ref="A991"/>
    <hyperlink r:id="rId669" ref="A992"/>
    <hyperlink r:id="rId670" ref="A993"/>
    <hyperlink r:id="rId671" ref="A994"/>
    <hyperlink r:id="rId672" ref="A995"/>
    <hyperlink r:id="rId673" ref="A996"/>
    <hyperlink r:id="rId674" ref="A997"/>
    <hyperlink r:id="rId675" ref="A998"/>
    <hyperlink r:id="rId676" ref="A999"/>
    <hyperlink r:id="rId677" ref="A1000"/>
    <hyperlink r:id="rId678" ref="A1001"/>
    <hyperlink r:id="rId679" ref="A1002"/>
    <hyperlink r:id="rId680" ref="A1003"/>
    <hyperlink r:id="rId681" ref="A1004"/>
    <hyperlink r:id="rId682" ref="A1005"/>
    <hyperlink r:id="rId683" ref="A1006"/>
    <hyperlink r:id="rId684" ref="A1007"/>
    <hyperlink r:id="rId685" ref="A1008"/>
    <hyperlink r:id="rId686" ref="A1009"/>
    <hyperlink r:id="rId687" ref="A1010"/>
    <hyperlink r:id="rId688" ref="A1011"/>
    <hyperlink r:id="rId689" ref="A1012"/>
    <hyperlink r:id="rId690" ref="A1013"/>
    <hyperlink r:id="rId691" ref="A1014"/>
    <hyperlink r:id="rId692" ref="A1015"/>
    <hyperlink r:id="rId693" ref="A1016"/>
    <hyperlink r:id="rId694" ref="A1017"/>
    <hyperlink r:id="rId695" ref="A1018"/>
    <hyperlink r:id="rId696" ref="A1019"/>
    <hyperlink r:id="rId697" ref="A1020"/>
    <hyperlink r:id="rId698" ref="A1021"/>
    <hyperlink r:id="rId699" ref="A1022"/>
    <hyperlink r:id="rId700" ref="A1023"/>
    <hyperlink r:id="rId701" ref="A1024"/>
    <hyperlink r:id="rId702" ref="A1025"/>
    <hyperlink r:id="rId703" ref="A1026"/>
    <hyperlink r:id="rId704" ref="A1027"/>
    <hyperlink r:id="rId705" ref="A1028"/>
    <hyperlink r:id="rId706" ref="A1029"/>
    <hyperlink r:id="rId707" ref="A1030"/>
    <hyperlink r:id="rId708" ref="A1031"/>
    <hyperlink r:id="rId709" ref="A1032"/>
    <hyperlink r:id="rId710" ref="A1033"/>
    <hyperlink r:id="rId711" ref="A1034"/>
    <hyperlink r:id="rId712" ref="A1035"/>
    <hyperlink r:id="rId713" ref="A1036"/>
    <hyperlink r:id="rId714" ref="A1037"/>
    <hyperlink r:id="rId715" ref="A1038"/>
    <hyperlink r:id="rId716" ref="A1039"/>
    <hyperlink r:id="rId717" ref="A1040"/>
    <hyperlink r:id="rId718" ref="A1041"/>
    <hyperlink r:id="rId719" ref="A1042"/>
    <hyperlink r:id="rId720" ref="A1043"/>
    <hyperlink r:id="rId721" ref="A1044"/>
    <hyperlink r:id="rId722" ref="A1045"/>
    <hyperlink r:id="rId723" ref="A1046"/>
    <hyperlink r:id="rId724" ref="A1047"/>
    <hyperlink r:id="rId725" ref="A1048"/>
    <hyperlink r:id="rId726" ref="A1049"/>
    <hyperlink r:id="rId727" ref="A1050"/>
    <hyperlink r:id="rId728" ref="A1051"/>
    <hyperlink r:id="rId729" ref="A1052"/>
    <hyperlink r:id="rId730" ref="A1053"/>
    <hyperlink r:id="rId731" ref="A1054"/>
    <hyperlink r:id="rId732" ref="A1055"/>
    <hyperlink r:id="rId733" ref="A1056"/>
    <hyperlink r:id="rId734" ref="A1057"/>
    <hyperlink r:id="rId735" ref="A1058"/>
    <hyperlink r:id="rId736" ref="A1059"/>
    <hyperlink r:id="rId737" ref="A1060"/>
    <hyperlink r:id="rId738" ref="A1061"/>
    <hyperlink r:id="rId739" ref="A1062"/>
    <hyperlink r:id="rId740" ref="A1063"/>
    <hyperlink r:id="rId741" ref="A1064"/>
    <hyperlink r:id="rId742" ref="A1065"/>
    <hyperlink r:id="rId743" ref="A1066"/>
    <hyperlink r:id="rId744" ref="A1067"/>
    <hyperlink r:id="rId745" ref="A1068"/>
    <hyperlink r:id="rId746" ref="A1069"/>
    <hyperlink r:id="rId747" ref="A1070"/>
    <hyperlink r:id="rId748" ref="A1071"/>
    <hyperlink r:id="rId749" ref="A1072"/>
    <hyperlink r:id="rId750" ref="A1073"/>
    <hyperlink r:id="rId751" ref="A1074"/>
    <hyperlink r:id="rId752" ref="A1075"/>
    <hyperlink r:id="rId753" ref="A1076"/>
    <hyperlink r:id="rId754" ref="A1077"/>
    <hyperlink r:id="rId755" ref="A1078"/>
    <hyperlink r:id="rId756" ref="A1079"/>
    <hyperlink r:id="rId757" ref="A1080"/>
    <hyperlink r:id="rId758" ref="A1081"/>
    <hyperlink r:id="rId759" ref="A1082"/>
    <hyperlink r:id="rId760" ref="A1083"/>
    <hyperlink r:id="rId761" ref="A1084"/>
    <hyperlink r:id="rId762" ref="A1085"/>
    <hyperlink r:id="rId763" ref="A1086"/>
    <hyperlink r:id="rId764" ref="A1087"/>
    <hyperlink r:id="rId765" ref="A1088"/>
    <hyperlink r:id="rId766" ref="A1089"/>
    <hyperlink r:id="rId767" ref="A1090"/>
    <hyperlink r:id="rId768" ref="A1091"/>
    <hyperlink r:id="rId769" ref="A1092"/>
    <hyperlink r:id="rId770" ref="A1093"/>
    <hyperlink r:id="rId771" ref="A1094"/>
    <hyperlink r:id="rId772" ref="A1095"/>
    <hyperlink r:id="rId773" ref="A1096"/>
    <hyperlink r:id="rId774" ref="A1097"/>
    <hyperlink r:id="rId775" ref="A1098"/>
    <hyperlink r:id="rId776" ref="A1099"/>
    <hyperlink r:id="rId777" ref="A1100"/>
    <hyperlink r:id="rId778" ref="A1101"/>
    <hyperlink r:id="rId779" ref="A1102"/>
    <hyperlink r:id="rId780" ref="A1103"/>
    <hyperlink r:id="rId781" ref="A1104"/>
    <hyperlink r:id="rId782" ref="A1105"/>
    <hyperlink r:id="rId783" ref="A1106"/>
    <hyperlink r:id="rId784" ref="A1107"/>
    <hyperlink r:id="rId785" ref="A1108"/>
    <hyperlink r:id="rId786" ref="A1109"/>
    <hyperlink r:id="rId787" ref="A1110"/>
    <hyperlink r:id="rId788" ref="A1111"/>
    <hyperlink r:id="rId789" ref="A1112"/>
    <hyperlink r:id="rId790" ref="A1113"/>
    <hyperlink r:id="rId791" ref="A1114"/>
    <hyperlink r:id="rId792" ref="A1115"/>
    <hyperlink r:id="rId793" ref="A1116"/>
    <hyperlink r:id="rId794" ref="A1117"/>
    <hyperlink r:id="rId795" ref="A1118"/>
    <hyperlink r:id="rId796" ref="A1119"/>
    <hyperlink r:id="rId797" ref="A1120"/>
    <hyperlink r:id="rId798" ref="A1121"/>
    <hyperlink r:id="rId799" ref="A1122"/>
    <hyperlink r:id="rId800" ref="A1123"/>
    <hyperlink r:id="rId801" ref="A1124"/>
    <hyperlink r:id="rId802" ref="A1125"/>
    <hyperlink r:id="rId803" ref="A1126"/>
    <hyperlink r:id="rId804" ref="A1127"/>
    <hyperlink r:id="rId805" ref="A1128"/>
    <hyperlink r:id="rId806" ref="A1129"/>
    <hyperlink r:id="rId807" ref="A1130"/>
    <hyperlink r:id="rId808" ref="A1131"/>
    <hyperlink r:id="rId809" ref="A1132"/>
    <hyperlink r:id="rId810" ref="A1133"/>
    <hyperlink r:id="rId811" ref="A1134"/>
    <hyperlink r:id="rId812" ref="A1135"/>
    <hyperlink r:id="rId813" ref="A1136"/>
    <hyperlink r:id="rId814" ref="A1137"/>
    <hyperlink r:id="rId815" ref="A1138"/>
    <hyperlink r:id="rId816" ref="A1139"/>
    <hyperlink r:id="rId817" ref="A1140"/>
    <hyperlink r:id="rId818" ref="A1141"/>
    <hyperlink r:id="rId819" ref="A1142"/>
    <hyperlink r:id="rId820" ref="A1143"/>
    <hyperlink r:id="rId821" ref="A1144"/>
    <hyperlink r:id="rId822" ref="A1145"/>
    <hyperlink r:id="rId823" ref="A1146"/>
    <hyperlink r:id="rId824" ref="A1147"/>
    <hyperlink r:id="rId825" ref="A1148"/>
    <hyperlink r:id="rId826" ref="A1149"/>
    <hyperlink r:id="rId827" ref="A1150"/>
    <hyperlink r:id="rId828" ref="A1151"/>
    <hyperlink r:id="rId829" ref="A1152"/>
    <hyperlink r:id="rId830" ref="A1153"/>
    <hyperlink r:id="rId831" ref="A1154"/>
    <hyperlink r:id="rId832" ref="A1155"/>
    <hyperlink r:id="rId833" ref="A1156"/>
    <hyperlink r:id="rId834" ref="A1157"/>
    <hyperlink r:id="rId835" ref="A1158"/>
    <hyperlink r:id="rId836" ref="A1159"/>
    <hyperlink r:id="rId837" ref="A1160"/>
    <hyperlink r:id="rId838" ref="A1161"/>
    <hyperlink r:id="rId839" ref="A1162"/>
    <hyperlink r:id="rId840" ref="A1163"/>
    <hyperlink r:id="rId841" ref="A1164"/>
    <hyperlink r:id="rId842" ref="A1165"/>
    <hyperlink r:id="rId843" ref="A1166"/>
    <hyperlink r:id="rId844" ref="A1167"/>
    <hyperlink r:id="rId845" ref="A1168"/>
    <hyperlink r:id="rId846" ref="A1169"/>
    <hyperlink r:id="rId847" ref="A1170"/>
    <hyperlink r:id="rId848" ref="A1171"/>
    <hyperlink r:id="rId849" ref="A1172"/>
    <hyperlink r:id="rId850" ref="A1173"/>
    <hyperlink r:id="rId851" ref="A1174"/>
    <hyperlink r:id="rId852" ref="A1175"/>
    <hyperlink r:id="rId853" ref="A1176"/>
    <hyperlink r:id="rId854" ref="A1177"/>
    <hyperlink r:id="rId855" ref="A1178"/>
    <hyperlink r:id="rId856" ref="A1179"/>
    <hyperlink r:id="rId857" ref="A1180"/>
    <hyperlink r:id="rId858" ref="A1181"/>
    <hyperlink r:id="rId859" ref="A1182"/>
    <hyperlink r:id="rId860" ref="A1183"/>
    <hyperlink r:id="rId861" ref="A1184"/>
    <hyperlink r:id="rId862" ref="A1185"/>
    <hyperlink r:id="rId863" ref="A1186"/>
    <hyperlink r:id="rId864" ref="A1187"/>
    <hyperlink r:id="rId865" ref="A1188"/>
    <hyperlink r:id="rId866" ref="A1189"/>
    <hyperlink r:id="rId867" ref="A1190"/>
    <hyperlink r:id="rId868" ref="A1191"/>
    <hyperlink r:id="rId869" ref="A1192"/>
    <hyperlink r:id="rId870" ref="A1193"/>
    <hyperlink r:id="rId871" ref="A1194"/>
    <hyperlink r:id="rId872" ref="A1195"/>
    <hyperlink r:id="rId873" ref="A1196"/>
    <hyperlink r:id="rId874" ref="A1197"/>
    <hyperlink r:id="rId875" ref="A1198"/>
    <hyperlink r:id="rId876" ref="A1199"/>
    <hyperlink r:id="rId877" ref="A1200"/>
    <hyperlink r:id="rId878" ref="A1201"/>
    <hyperlink r:id="rId879" ref="A1202"/>
    <hyperlink r:id="rId880" ref="A1203"/>
    <hyperlink r:id="rId881" ref="A1204"/>
    <hyperlink r:id="rId882" ref="A1205"/>
    <hyperlink r:id="rId883" ref="A1206"/>
    <hyperlink r:id="rId884" ref="A1207"/>
    <hyperlink r:id="rId885" ref="A1208"/>
    <hyperlink r:id="rId886" ref="A1209"/>
    <hyperlink r:id="rId887" ref="A1210"/>
    <hyperlink r:id="rId888" ref="A1211"/>
    <hyperlink r:id="rId889" ref="A1212"/>
    <hyperlink r:id="rId890" ref="A1213"/>
    <hyperlink r:id="rId891" ref="A1214"/>
    <hyperlink r:id="rId892" ref="A1215"/>
    <hyperlink r:id="rId893" ref="A1216"/>
    <hyperlink r:id="rId894" ref="A1217"/>
    <hyperlink r:id="rId895" ref="A1218"/>
    <hyperlink r:id="rId896" ref="A1219"/>
    <hyperlink r:id="rId897" ref="A1220"/>
    <hyperlink r:id="rId898" ref="A1221"/>
    <hyperlink r:id="rId899" ref="A1222"/>
    <hyperlink r:id="rId900" ref="A1223"/>
    <hyperlink r:id="rId901" ref="A1224"/>
    <hyperlink r:id="rId902" ref="A1225"/>
    <hyperlink r:id="rId903" ref="A1226"/>
    <hyperlink r:id="rId904" ref="A1227"/>
    <hyperlink r:id="rId905" ref="A1228"/>
    <hyperlink r:id="rId906" ref="A1229"/>
    <hyperlink r:id="rId907" ref="A1230"/>
    <hyperlink r:id="rId908" ref="A1231"/>
    <hyperlink r:id="rId909" ref="A1232"/>
    <hyperlink r:id="rId910" ref="A1233"/>
    <hyperlink r:id="rId911" ref="A1234"/>
    <hyperlink r:id="rId912" ref="A1235"/>
    <hyperlink r:id="rId913" ref="A1236"/>
    <hyperlink r:id="rId914" ref="A1237"/>
    <hyperlink r:id="rId915" ref="A1238"/>
    <hyperlink r:id="rId916" ref="A1239"/>
    <hyperlink r:id="rId917" ref="A1240"/>
    <hyperlink r:id="rId918" ref="A1241"/>
    <hyperlink r:id="rId919" ref="A1242"/>
    <hyperlink r:id="rId920" ref="A1243"/>
    <hyperlink r:id="rId921" ref="A1244"/>
    <hyperlink r:id="rId922" ref="A1245"/>
    <hyperlink r:id="rId923" ref="A1246"/>
    <hyperlink r:id="rId924" ref="A1247"/>
    <hyperlink r:id="rId925" ref="A1248"/>
    <hyperlink r:id="rId926" ref="A1249"/>
    <hyperlink r:id="rId927" ref="A1250"/>
    <hyperlink r:id="rId928" ref="A1251"/>
    <hyperlink r:id="rId929" ref="A1252"/>
    <hyperlink r:id="rId930" ref="A1253"/>
    <hyperlink r:id="rId931" ref="A1254"/>
    <hyperlink r:id="rId932" ref="A1255"/>
    <hyperlink r:id="rId933" ref="A1256"/>
    <hyperlink r:id="rId934" ref="A1257"/>
    <hyperlink r:id="rId935" ref="A1258"/>
    <hyperlink r:id="rId936" ref="A1259"/>
    <hyperlink r:id="rId937" ref="A1260"/>
    <hyperlink r:id="rId938" ref="A1261"/>
    <hyperlink r:id="rId939" ref="A1262"/>
    <hyperlink r:id="rId940" ref="A1263"/>
    <hyperlink r:id="rId941" ref="A1264"/>
    <hyperlink r:id="rId942" ref="A1265"/>
    <hyperlink r:id="rId943" ref="A1266"/>
    <hyperlink r:id="rId944" ref="A1267"/>
    <hyperlink r:id="rId945" ref="A1268"/>
    <hyperlink r:id="rId946" ref="A1269"/>
    <hyperlink r:id="rId947" ref="A1270"/>
    <hyperlink r:id="rId948" ref="A1271"/>
    <hyperlink r:id="rId949" ref="A1272"/>
    <hyperlink r:id="rId950" ref="A1273"/>
    <hyperlink r:id="rId951" ref="A1274"/>
    <hyperlink r:id="rId952" ref="A1275"/>
    <hyperlink r:id="rId953" ref="A1276"/>
    <hyperlink r:id="rId954" ref="A1277"/>
    <hyperlink r:id="rId955" ref="A1278"/>
    <hyperlink r:id="rId956" ref="A1279"/>
    <hyperlink r:id="rId957" ref="A1280"/>
    <hyperlink r:id="rId958" ref="A1281"/>
    <hyperlink r:id="rId959" ref="A1282"/>
    <hyperlink r:id="rId960" ref="A1283"/>
    <hyperlink r:id="rId961" ref="A1284"/>
    <hyperlink r:id="rId962" ref="A1285"/>
    <hyperlink r:id="rId963" ref="A1286"/>
    <hyperlink r:id="rId964" ref="A1287"/>
    <hyperlink r:id="rId965" ref="A1288"/>
    <hyperlink r:id="rId966" ref="A1289"/>
    <hyperlink r:id="rId967" ref="A1290"/>
    <hyperlink r:id="rId968" ref="A1291"/>
    <hyperlink r:id="rId969" ref="A1292"/>
    <hyperlink r:id="rId970" ref="A1293"/>
    <hyperlink r:id="rId971" ref="A1294"/>
    <hyperlink r:id="rId972" ref="A1295"/>
    <hyperlink r:id="rId973" ref="A1296"/>
    <hyperlink r:id="rId974" ref="A1297"/>
    <hyperlink r:id="rId975" ref="A1298"/>
    <hyperlink r:id="rId976" ref="A1299"/>
    <hyperlink r:id="rId977" ref="A1300"/>
    <hyperlink r:id="rId978" ref="A1301"/>
    <hyperlink r:id="rId979" ref="A1302"/>
    <hyperlink r:id="rId980" ref="A1303"/>
    <hyperlink r:id="rId981" ref="A1304"/>
    <hyperlink r:id="rId982" ref="A1305"/>
    <hyperlink r:id="rId983" ref="A1306"/>
    <hyperlink r:id="rId984" ref="A1307"/>
    <hyperlink r:id="rId985" ref="A1308"/>
    <hyperlink r:id="rId986" ref="A1309"/>
    <hyperlink r:id="rId987" ref="A1310"/>
    <hyperlink r:id="rId988" ref="A1311"/>
    <hyperlink r:id="rId989" ref="A1312"/>
    <hyperlink r:id="rId990" ref="A1313"/>
    <hyperlink r:id="rId991" ref="A1314"/>
    <hyperlink r:id="rId992" ref="A1315"/>
    <hyperlink r:id="rId993" ref="A1316"/>
    <hyperlink r:id="rId994" ref="A1317"/>
    <hyperlink r:id="rId995" ref="A1318"/>
    <hyperlink r:id="rId996" ref="A1319"/>
    <hyperlink r:id="rId997" ref="A1320"/>
    <hyperlink r:id="rId998" ref="A1321"/>
    <hyperlink r:id="rId999" ref="A1322"/>
    <hyperlink r:id="rId1000" ref="A1323"/>
    <hyperlink r:id="rId1001" ref="A1324"/>
    <hyperlink r:id="rId1002" ref="A1325"/>
    <hyperlink r:id="rId1003" ref="A1326"/>
    <hyperlink r:id="rId1004" ref="A1327"/>
    <hyperlink r:id="rId1005" ref="A1328"/>
    <hyperlink r:id="rId1006" ref="A1329"/>
    <hyperlink r:id="rId1007" ref="A1330"/>
    <hyperlink r:id="rId1008" ref="A1331"/>
    <hyperlink r:id="rId1009" ref="A1332"/>
    <hyperlink r:id="rId1010" ref="A1333"/>
    <hyperlink r:id="rId1011" ref="A1334"/>
    <hyperlink r:id="rId1012" ref="A1335"/>
    <hyperlink r:id="rId1013" ref="A1336"/>
    <hyperlink r:id="rId1014" ref="A1337"/>
    <hyperlink r:id="rId1015" ref="A1338"/>
    <hyperlink r:id="rId1016" ref="A1339"/>
    <hyperlink r:id="rId1017" ref="A1340"/>
    <hyperlink r:id="rId1018" ref="A1341"/>
    <hyperlink r:id="rId1019" ref="A1342"/>
    <hyperlink r:id="rId1020" ref="A1343"/>
    <hyperlink r:id="rId1021" ref="A1344"/>
    <hyperlink r:id="rId1022" ref="A1345"/>
    <hyperlink r:id="rId1023" ref="A1346"/>
    <hyperlink r:id="rId1024" ref="A1347"/>
    <hyperlink r:id="rId1025" ref="A1348"/>
    <hyperlink r:id="rId1026" ref="A1349"/>
    <hyperlink r:id="rId1027" ref="A1350"/>
    <hyperlink r:id="rId1028" ref="A1351"/>
    <hyperlink r:id="rId1029" ref="A1352"/>
    <hyperlink r:id="rId1030" ref="A1353"/>
    <hyperlink r:id="rId1031" ref="A1354"/>
    <hyperlink r:id="rId1032" ref="A1355"/>
    <hyperlink r:id="rId1033" ref="A1356"/>
    <hyperlink r:id="rId1034" ref="A1357"/>
    <hyperlink r:id="rId1035" ref="A1358"/>
    <hyperlink r:id="rId1036" ref="A1359"/>
    <hyperlink r:id="rId1037" ref="A1360"/>
    <hyperlink r:id="rId1038" ref="A1361"/>
    <hyperlink r:id="rId1039" ref="A1362"/>
    <hyperlink r:id="rId1040" ref="A1363"/>
    <hyperlink r:id="rId1041" ref="A1364"/>
    <hyperlink r:id="rId1042" ref="A1365"/>
    <hyperlink r:id="rId1043" ref="A1366"/>
    <hyperlink r:id="rId1044" ref="A1367"/>
    <hyperlink r:id="rId1045" ref="A1368"/>
    <hyperlink r:id="rId1046" ref="A1369"/>
    <hyperlink r:id="rId1047" ref="A1370"/>
    <hyperlink r:id="rId1048" ref="A1371"/>
    <hyperlink r:id="rId1049" ref="A1372"/>
    <hyperlink r:id="rId1050" ref="A1373"/>
    <hyperlink r:id="rId1051" ref="A1374"/>
    <hyperlink r:id="rId1052" ref="A1375"/>
    <hyperlink r:id="rId1053" ref="A1376"/>
    <hyperlink r:id="rId1054" ref="A1377"/>
    <hyperlink r:id="rId1055" ref="A1378"/>
    <hyperlink r:id="rId1056" ref="A1379"/>
    <hyperlink r:id="rId1057" ref="A1380"/>
    <hyperlink r:id="rId1058" ref="A1381"/>
    <hyperlink r:id="rId1059" ref="A1382"/>
    <hyperlink r:id="rId1060" ref="A1383"/>
    <hyperlink r:id="rId1061" ref="A1384"/>
    <hyperlink r:id="rId1062" ref="A1385"/>
    <hyperlink r:id="rId1063" ref="A1386"/>
    <hyperlink r:id="rId1064" ref="A1387"/>
    <hyperlink r:id="rId1065" ref="A1388"/>
    <hyperlink r:id="rId1066" ref="A1389"/>
    <hyperlink r:id="rId1067" ref="A1390"/>
    <hyperlink r:id="rId1068" ref="A1391"/>
    <hyperlink r:id="rId1069" ref="A1392"/>
    <hyperlink r:id="rId1070" ref="A1393"/>
    <hyperlink r:id="rId1071" ref="A1394"/>
    <hyperlink r:id="rId1072" ref="A1395"/>
    <hyperlink r:id="rId1073" ref="A1396"/>
    <hyperlink r:id="rId1074" ref="A1397"/>
    <hyperlink r:id="rId1075" ref="A1398"/>
    <hyperlink r:id="rId1076" ref="A1399"/>
    <hyperlink r:id="rId1077" ref="A1400"/>
    <hyperlink r:id="rId1078" ref="A1401"/>
    <hyperlink r:id="rId1079" ref="A1402"/>
    <hyperlink r:id="rId1080" ref="A1403"/>
    <hyperlink r:id="rId1081" ref="A1404"/>
    <hyperlink r:id="rId1082" ref="A1405"/>
    <hyperlink r:id="rId1083" ref="A1406"/>
    <hyperlink r:id="rId1084" ref="A1407"/>
    <hyperlink r:id="rId1085" ref="A1408"/>
    <hyperlink r:id="rId1086" ref="A1409"/>
    <hyperlink r:id="rId1087" ref="A1410"/>
    <hyperlink r:id="rId1088" ref="A1411"/>
    <hyperlink r:id="rId1089" ref="A1412"/>
    <hyperlink r:id="rId1090" ref="A1413"/>
    <hyperlink r:id="rId1091" ref="A1414"/>
    <hyperlink r:id="rId1092" ref="A1415"/>
    <hyperlink r:id="rId1093" ref="A1416"/>
    <hyperlink r:id="rId1094" ref="A1417"/>
    <hyperlink r:id="rId1095" ref="A1418"/>
    <hyperlink r:id="rId1096" ref="A1419"/>
    <hyperlink r:id="rId1097" ref="A1420"/>
    <hyperlink r:id="rId1098" ref="A1421"/>
    <hyperlink r:id="rId1099" ref="A1422"/>
    <hyperlink r:id="rId1100" ref="A1423"/>
    <hyperlink r:id="rId1101" ref="A1424"/>
    <hyperlink r:id="rId1102" ref="A1425"/>
    <hyperlink r:id="rId1103" ref="A1426"/>
    <hyperlink r:id="rId1104" ref="A1427"/>
    <hyperlink r:id="rId1105" ref="A1428"/>
    <hyperlink r:id="rId1106" ref="A1429"/>
    <hyperlink r:id="rId1107" ref="A1430"/>
    <hyperlink r:id="rId1108" ref="A1431"/>
    <hyperlink r:id="rId1109" ref="A1432"/>
    <hyperlink r:id="rId1110" ref="A1433"/>
    <hyperlink r:id="rId1111" ref="A1434"/>
    <hyperlink r:id="rId1112" ref="A1435"/>
    <hyperlink r:id="rId1113" ref="A1436"/>
    <hyperlink r:id="rId1114" ref="A1437"/>
    <hyperlink r:id="rId1115" ref="A1438"/>
    <hyperlink r:id="rId1116" ref="A1439"/>
    <hyperlink r:id="rId1117" ref="A1440"/>
    <hyperlink r:id="rId1118" ref="A1441"/>
    <hyperlink r:id="rId1119" ref="A1442"/>
    <hyperlink r:id="rId1120" ref="A1443"/>
    <hyperlink r:id="rId1121" ref="A1444"/>
    <hyperlink r:id="rId1122" ref="A1445"/>
    <hyperlink r:id="rId1123" ref="A1446"/>
    <hyperlink r:id="rId1124" ref="A1447"/>
    <hyperlink r:id="rId1125" ref="A1448"/>
    <hyperlink r:id="rId1126" ref="A1449"/>
    <hyperlink r:id="rId1127" ref="A1450"/>
    <hyperlink r:id="rId1128" ref="A1451"/>
    <hyperlink r:id="rId1129" ref="A1452"/>
    <hyperlink r:id="rId1130" ref="A1453"/>
    <hyperlink r:id="rId1131" ref="A1454"/>
    <hyperlink r:id="rId1132" ref="A1455"/>
    <hyperlink r:id="rId1133" ref="A1456"/>
    <hyperlink r:id="rId1134" ref="A1457"/>
    <hyperlink r:id="rId1135" ref="A1458"/>
    <hyperlink r:id="rId1136" ref="A1459"/>
    <hyperlink r:id="rId1137" ref="A1460"/>
    <hyperlink r:id="rId1138" ref="A1461"/>
    <hyperlink r:id="rId1139" ref="A1462"/>
    <hyperlink r:id="rId1140" ref="A1463"/>
    <hyperlink r:id="rId1141" ref="A1464"/>
    <hyperlink r:id="rId1142" ref="A1465"/>
    <hyperlink r:id="rId1143" ref="A1466"/>
    <hyperlink r:id="rId1144" ref="A1467"/>
    <hyperlink r:id="rId1145" ref="A1468"/>
    <hyperlink r:id="rId1146" ref="A1469"/>
    <hyperlink r:id="rId1147" ref="A1470"/>
    <hyperlink r:id="rId1148" ref="A1471"/>
    <hyperlink r:id="rId1149" ref="A1472"/>
    <hyperlink r:id="rId1150" ref="A1473"/>
    <hyperlink r:id="rId1151" ref="A1474"/>
    <hyperlink r:id="rId1152" ref="A1475"/>
    <hyperlink r:id="rId1153" ref="A1476"/>
    <hyperlink r:id="rId1154" ref="A1477"/>
    <hyperlink r:id="rId1155" ref="A1478"/>
    <hyperlink r:id="rId1156" ref="A1479"/>
    <hyperlink r:id="rId1157" ref="A1480"/>
    <hyperlink r:id="rId1158" ref="A1481"/>
    <hyperlink r:id="rId1159" ref="A1482"/>
    <hyperlink r:id="rId1160" ref="A1483"/>
    <hyperlink r:id="rId1161" ref="A1484"/>
    <hyperlink r:id="rId1162" ref="A1485"/>
    <hyperlink r:id="rId1163" ref="A1486"/>
    <hyperlink r:id="rId1164" ref="A1487"/>
    <hyperlink r:id="rId1165" ref="A1488"/>
    <hyperlink r:id="rId1166" ref="A1489"/>
    <hyperlink r:id="rId1167" ref="A1490"/>
    <hyperlink r:id="rId1168" ref="A1491"/>
    <hyperlink r:id="rId1169" ref="A1492"/>
    <hyperlink r:id="rId1170" ref="A1493"/>
    <hyperlink r:id="rId1171" ref="A1494"/>
    <hyperlink r:id="rId1172" ref="A1495"/>
    <hyperlink r:id="rId1173" ref="A1496"/>
    <hyperlink r:id="rId1174" ref="A1497"/>
    <hyperlink r:id="rId1175" ref="A1498"/>
    <hyperlink r:id="rId1176" ref="A1499"/>
    <hyperlink r:id="rId1177" ref="A1500"/>
    <hyperlink r:id="rId1178" ref="A1501"/>
    <hyperlink r:id="rId1179" ref="A1502"/>
    <hyperlink r:id="rId1180" ref="A1503"/>
    <hyperlink r:id="rId1181" ref="A1504"/>
    <hyperlink r:id="rId1182" ref="A1505"/>
    <hyperlink r:id="rId1183" ref="A1506"/>
    <hyperlink r:id="rId1184" ref="A1507"/>
    <hyperlink r:id="rId1185" ref="A1508"/>
    <hyperlink r:id="rId1186" ref="A1509"/>
    <hyperlink r:id="rId1187" ref="A1510"/>
    <hyperlink r:id="rId1188" ref="A1511"/>
    <hyperlink r:id="rId1189" ref="A1512"/>
    <hyperlink r:id="rId1190" ref="A1513"/>
    <hyperlink r:id="rId1191" ref="A1514"/>
    <hyperlink r:id="rId1192" ref="A1515"/>
    <hyperlink r:id="rId1193" ref="A1516"/>
    <hyperlink r:id="rId1194" ref="A1517"/>
    <hyperlink r:id="rId1195" ref="A1518"/>
    <hyperlink r:id="rId1196" ref="A1519"/>
    <hyperlink r:id="rId1197" ref="A1520"/>
    <hyperlink r:id="rId1198" ref="A1521"/>
    <hyperlink r:id="rId1199" ref="A1522"/>
    <hyperlink r:id="rId1200" ref="A1523"/>
    <hyperlink r:id="rId1201" ref="A1524"/>
    <hyperlink r:id="rId1202" ref="A1525"/>
    <hyperlink r:id="rId1203" ref="A1526"/>
    <hyperlink r:id="rId1204" ref="A1527"/>
    <hyperlink r:id="rId1205" ref="A1528"/>
    <hyperlink r:id="rId1206" ref="A1529"/>
    <hyperlink r:id="rId1207" ref="A1530"/>
    <hyperlink r:id="rId1208" ref="A1531"/>
    <hyperlink r:id="rId1209" ref="A1532"/>
    <hyperlink r:id="rId1210" ref="A1533"/>
    <hyperlink r:id="rId1211" ref="A1534"/>
    <hyperlink r:id="rId1212" ref="A1535"/>
    <hyperlink r:id="rId1213" ref="A1536"/>
    <hyperlink r:id="rId1214" ref="A1537"/>
    <hyperlink r:id="rId1215" ref="A1538"/>
    <hyperlink r:id="rId1216" ref="A1539"/>
    <hyperlink r:id="rId1217" ref="A1540"/>
    <hyperlink r:id="rId1218" ref="A1541"/>
    <hyperlink r:id="rId1219" ref="A1542"/>
    <hyperlink r:id="rId1220" ref="A1543"/>
    <hyperlink r:id="rId1221" ref="A1544"/>
    <hyperlink r:id="rId1222" ref="A1545"/>
    <hyperlink r:id="rId1223" ref="A1546"/>
    <hyperlink r:id="rId1224" ref="A1547"/>
    <hyperlink r:id="rId1225" ref="A1548"/>
    <hyperlink r:id="rId1226" ref="A1549"/>
    <hyperlink r:id="rId1227" ref="A1550"/>
    <hyperlink r:id="rId1228" ref="A1551"/>
    <hyperlink r:id="rId1229" ref="A1552"/>
    <hyperlink r:id="rId1230" ref="A1553"/>
    <hyperlink r:id="rId1231" ref="A1554"/>
    <hyperlink r:id="rId1232" ref="A1555"/>
  </hyperlinks>
  <drawing r:id="rId1233"/>
  <legacyDrawing r:id="rId1234"/>
  <tableParts count="1">
    <tablePart r:id="rId1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29"/>
    <col customWidth="1" min="2" max="2" width="9.86"/>
    <col customWidth="1" min="3" max="3" width="13.0"/>
    <col customWidth="1" min="4" max="4" width="12.57"/>
    <col customWidth="1" min="5" max="5" width="10.57"/>
    <col customWidth="1" min="6" max="6" width="13.86"/>
    <col customWidth="1" min="7" max="7" width="17.14"/>
    <col customWidth="1" min="8" max="8" width="16.43"/>
    <col customWidth="1" min="9" max="9" width="16.86"/>
    <col customWidth="1" min="10" max="10" width="15.57"/>
    <col customWidth="1" min="11" max="11" width="14.71"/>
    <col customWidth="1" min="12" max="12" width="18.0"/>
    <col customWidth="1" min="13" max="13" width="18.43"/>
    <col customWidth="1" min="14" max="14" width="17.29"/>
    <col customWidth="1" min="15" max="15" width="16.86"/>
    <col customWidth="1" min="16" max="16" width="15.86"/>
    <col customWidth="1" min="17" max="17" width="13.0"/>
  </cols>
  <sheetData>
    <row r="1">
      <c r="A1" s="6" t="s">
        <v>57</v>
      </c>
      <c r="B1" s="5" t="s">
        <v>58</v>
      </c>
      <c r="C1" s="6"/>
      <c r="D1" s="6"/>
      <c r="E1" s="6"/>
      <c r="F1" s="14"/>
      <c r="G1" s="6"/>
      <c r="H1" s="16" t="s">
        <v>62</v>
      </c>
      <c r="I1" s="15" t="s">
        <v>3</v>
      </c>
      <c r="J1" s="16" t="s">
        <v>75</v>
      </c>
      <c r="K1" s="15" t="s">
        <v>79</v>
      </c>
      <c r="L1" s="22">
        <v>43333.73826388889</v>
      </c>
      <c r="M1" s="24"/>
      <c r="N1" s="25"/>
      <c r="P1" s="26"/>
      <c r="Q1" s="9"/>
      <c r="R1" s="9"/>
      <c r="S1" s="9"/>
      <c r="T1" s="9"/>
      <c r="U1" s="9"/>
      <c r="V1" s="9"/>
      <c r="W1" s="9"/>
      <c r="X1" s="9"/>
      <c r="Y1" s="9"/>
      <c r="Z1" s="9"/>
      <c r="AA1" s="9"/>
      <c r="AB1" s="9"/>
    </row>
    <row r="2">
      <c r="A2" s="28" t="s">
        <v>18</v>
      </c>
      <c r="B2" s="28" t="s">
        <v>126</v>
      </c>
      <c r="C2" s="28" t="s">
        <v>50</v>
      </c>
      <c r="D2" s="28" t="s">
        <v>51</v>
      </c>
      <c r="E2" s="28" t="s">
        <v>46</v>
      </c>
      <c r="F2" s="29" t="s">
        <v>127</v>
      </c>
      <c r="G2" s="28" t="s">
        <v>128</v>
      </c>
      <c r="H2" s="28" t="s">
        <v>129</v>
      </c>
      <c r="I2" s="28" t="s">
        <v>130</v>
      </c>
      <c r="J2" s="28" t="s">
        <v>131</v>
      </c>
      <c r="K2" s="28" t="s">
        <v>132</v>
      </c>
      <c r="L2" s="28" t="s">
        <v>133</v>
      </c>
      <c r="M2" s="28" t="s">
        <v>134</v>
      </c>
      <c r="N2" s="31" t="s">
        <v>135</v>
      </c>
      <c r="O2" s="31" t="s">
        <v>136</v>
      </c>
      <c r="P2" s="31" t="s">
        <v>137</v>
      </c>
      <c r="Q2" s="28" t="s">
        <v>138</v>
      </c>
      <c r="R2" s="9"/>
      <c r="S2" s="9"/>
      <c r="T2" s="9"/>
      <c r="U2" s="9"/>
      <c r="V2" s="9"/>
      <c r="W2" s="9"/>
      <c r="X2" s="9"/>
      <c r="Y2" s="9"/>
      <c r="Z2" s="9"/>
      <c r="AA2" s="9"/>
      <c r="AB2" s="9"/>
    </row>
    <row r="3" hidden="1">
      <c r="A3" s="33" t="str">
        <f>hyperlink("https://issues.sierrawireless.com/browse/OEMPRI-6486", "OEMPRI-6486")</f>
        <v>OEMPRI-6486</v>
      </c>
      <c r="B3" s="30" t="s">
        <v>139</v>
      </c>
      <c r="C3" s="30" t="s">
        <v>140</v>
      </c>
      <c r="D3" s="30" t="s">
        <v>141</v>
      </c>
      <c r="E3" s="35">
        <v>43175.0</v>
      </c>
      <c r="F3" s="37" t="s">
        <v>143</v>
      </c>
      <c r="G3" s="30" t="s">
        <v>144</v>
      </c>
      <c r="H3" s="30" t="s">
        <v>145</v>
      </c>
      <c r="I3" s="30" t="s">
        <v>145</v>
      </c>
      <c r="J3" s="30" t="s">
        <v>145</v>
      </c>
      <c r="K3" s="30" t="s">
        <v>145</v>
      </c>
      <c r="L3" s="30" t="s">
        <v>145</v>
      </c>
      <c r="M3" s="30" t="s">
        <v>145</v>
      </c>
      <c r="N3" s="30" t="s">
        <v>145</v>
      </c>
      <c r="O3" s="30" t="s">
        <v>145</v>
      </c>
      <c r="P3" s="30" t="s">
        <v>145</v>
      </c>
      <c r="Q3" s="30" t="s">
        <v>146</v>
      </c>
    </row>
    <row r="4" hidden="1">
      <c r="A4" s="33" t="str">
        <f>hyperlink("https://issues.sierrawireless.com/browse/OEMPRI-6489", "OEMPRI-6489")</f>
        <v>OEMPRI-6489</v>
      </c>
      <c r="B4" s="30" t="s">
        <v>139</v>
      </c>
      <c r="C4" s="30" t="s">
        <v>148</v>
      </c>
      <c r="D4" s="30" t="s">
        <v>122</v>
      </c>
      <c r="E4" s="35">
        <v>43175.0</v>
      </c>
      <c r="F4" s="37" t="s">
        <v>150</v>
      </c>
      <c r="G4" s="30" t="s">
        <v>151</v>
      </c>
      <c r="H4" s="30" t="s">
        <v>145</v>
      </c>
      <c r="I4" s="30" t="s">
        <v>145</v>
      </c>
      <c r="J4" s="30" t="s">
        <v>145</v>
      </c>
      <c r="K4" s="30" t="s">
        <v>145</v>
      </c>
      <c r="L4" s="30" t="s">
        <v>145</v>
      </c>
      <c r="M4" s="30" t="s">
        <v>145</v>
      </c>
      <c r="N4" s="30" t="s">
        <v>145</v>
      </c>
      <c r="O4" s="30" t="s">
        <v>145</v>
      </c>
      <c r="P4" s="30" t="s">
        <v>145</v>
      </c>
      <c r="Q4" s="30" t="s">
        <v>152</v>
      </c>
    </row>
    <row r="5" hidden="1">
      <c r="A5" s="33" t="str">
        <f>hyperlink("https://issues.sierrawireless.com/browse/OEMPRI-6459", "OEMPRI-6459")</f>
        <v>OEMPRI-6459</v>
      </c>
      <c r="B5" s="30" t="s">
        <v>139</v>
      </c>
      <c r="C5" s="30" t="s">
        <v>148</v>
      </c>
      <c r="D5" s="30" t="s">
        <v>153</v>
      </c>
      <c r="E5" s="35">
        <v>43173.0</v>
      </c>
      <c r="F5" s="37" t="s">
        <v>154</v>
      </c>
      <c r="G5" s="30" t="s">
        <v>152</v>
      </c>
      <c r="H5" s="30" t="s">
        <v>145</v>
      </c>
      <c r="I5" s="30" t="s">
        <v>145</v>
      </c>
      <c r="J5" s="30" t="s">
        <v>145</v>
      </c>
      <c r="K5" s="30" t="s">
        <v>145</v>
      </c>
      <c r="L5" s="30" t="s">
        <v>145</v>
      </c>
      <c r="M5" s="30" t="s">
        <v>145</v>
      </c>
      <c r="N5" s="30" t="s">
        <v>145</v>
      </c>
      <c r="O5" s="30" t="s">
        <v>145</v>
      </c>
      <c r="P5" s="30" t="s">
        <v>145</v>
      </c>
      <c r="Q5" s="30" t="s">
        <v>152</v>
      </c>
    </row>
    <row r="6" hidden="1">
      <c r="A6" s="33" t="str">
        <f>hyperlink("https://issues.sierrawireless.com/browse/OEMPRI-6817", "OEMPRI-6817")</f>
        <v>OEMPRI-6817</v>
      </c>
      <c r="B6" s="30" t="s">
        <v>139</v>
      </c>
      <c r="C6" s="30" t="s">
        <v>155</v>
      </c>
      <c r="D6" s="30" t="s">
        <v>155</v>
      </c>
      <c r="E6" s="35">
        <v>43208.0</v>
      </c>
      <c r="F6" s="37" t="s">
        <v>150</v>
      </c>
      <c r="G6" s="30" t="s">
        <v>156</v>
      </c>
      <c r="H6" s="30" t="s">
        <v>152</v>
      </c>
      <c r="I6" s="30" t="s">
        <v>146</v>
      </c>
      <c r="J6" s="30" t="s">
        <v>158</v>
      </c>
      <c r="K6" s="30" t="s">
        <v>159</v>
      </c>
      <c r="L6" s="30" t="s">
        <v>145</v>
      </c>
      <c r="M6" s="30" t="s">
        <v>145</v>
      </c>
      <c r="N6" s="30" t="s">
        <v>145</v>
      </c>
      <c r="O6" s="30" t="s">
        <v>145</v>
      </c>
      <c r="P6" s="30" t="s">
        <v>145</v>
      </c>
      <c r="Q6" s="30" t="s">
        <v>158</v>
      </c>
    </row>
    <row r="7" hidden="1">
      <c r="A7" s="33" t="str">
        <f>hyperlink("https://issues.sierrawireless.com/browse/COUGAR-2575", "COUGAR-2575")</f>
        <v>COUGAR-2575</v>
      </c>
      <c r="B7" s="30" t="s">
        <v>139</v>
      </c>
      <c r="C7" s="30" t="s">
        <v>140</v>
      </c>
      <c r="D7" s="30" t="s">
        <v>140</v>
      </c>
      <c r="E7" s="43">
        <v>43095.0</v>
      </c>
      <c r="F7" s="44" t="s">
        <v>162</v>
      </c>
      <c r="G7" s="30" t="s">
        <v>163</v>
      </c>
      <c r="H7" s="30" t="s">
        <v>145</v>
      </c>
      <c r="I7" s="30" t="s">
        <v>145</v>
      </c>
      <c r="J7" s="30" t="s">
        <v>145</v>
      </c>
      <c r="K7" s="30" t="s">
        <v>145</v>
      </c>
      <c r="L7" s="30" t="s">
        <v>145</v>
      </c>
      <c r="M7" s="30" t="s">
        <v>145</v>
      </c>
      <c r="N7" s="30" t="s">
        <v>145</v>
      </c>
      <c r="O7" s="30" t="s">
        <v>145</v>
      </c>
      <c r="P7" s="30" t="s">
        <v>145</v>
      </c>
      <c r="Q7" s="30" t="s">
        <v>146</v>
      </c>
    </row>
    <row r="8" hidden="1">
      <c r="A8" s="33" t="str">
        <f>hyperlink("https://issues.sierrawireless.com/browse/COUGAR-2617", "COUGAR-2617")</f>
        <v>COUGAR-2617</v>
      </c>
      <c r="B8" s="2" t="s">
        <v>139</v>
      </c>
      <c r="C8" s="30" t="s">
        <v>148</v>
      </c>
      <c r="D8" s="30" t="s">
        <v>164</v>
      </c>
      <c r="E8" s="35">
        <v>43110.0</v>
      </c>
      <c r="F8" s="37" t="s">
        <v>165</v>
      </c>
      <c r="G8" s="30" t="s">
        <v>148</v>
      </c>
      <c r="H8" s="30" t="s">
        <v>166</v>
      </c>
      <c r="I8" s="30" t="s">
        <v>166</v>
      </c>
      <c r="J8" s="30" t="s">
        <v>166</v>
      </c>
      <c r="K8" s="30" t="s">
        <v>166</v>
      </c>
      <c r="L8" s="30" t="s">
        <v>166</v>
      </c>
      <c r="M8" s="30" t="s">
        <v>166</v>
      </c>
      <c r="N8" s="30" t="s">
        <v>145</v>
      </c>
      <c r="O8" s="30" t="s">
        <v>145</v>
      </c>
      <c r="P8" s="30" t="s">
        <v>145</v>
      </c>
      <c r="Q8" s="30" t="s">
        <v>166</v>
      </c>
    </row>
    <row r="9" hidden="1">
      <c r="A9" s="33" t="str">
        <f>hyperlink("https://issues.sierrawireless.com/browse/OEMPRI-7633", "OEMPRI-7633")</f>
        <v>OEMPRI-7633</v>
      </c>
      <c r="B9" s="30" t="s">
        <v>139</v>
      </c>
      <c r="C9" s="30" t="s">
        <v>170</v>
      </c>
      <c r="D9" s="30" t="s">
        <v>170</v>
      </c>
      <c r="E9" s="35">
        <v>43287.0</v>
      </c>
      <c r="F9" s="37" t="s">
        <v>150</v>
      </c>
      <c r="G9" s="30" t="s">
        <v>171</v>
      </c>
      <c r="H9" s="30" t="s">
        <v>145</v>
      </c>
      <c r="I9" s="30" t="s">
        <v>146</v>
      </c>
      <c r="J9" s="30" t="s">
        <v>152</v>
      </c>
      <c r="K9" s="30" t="s">
        <v>152</v>
      </c>
      <c r="L9" s="30" t="s">
        <v>152</v>
      </c>
      <c r="M9" s="30" t="s">
        <v>172</v>
      </c>
      <c r="N9" s="30" t="s">
        <v>145</v>
      </c>
      <c r="O9" s="30" t="s">
        <v>145</v>
      </c>
      <c r="P9" s="30" t="s">
        <v>145</v>
      </c>
      <c r="Q9" s="30" t="s">
        <v>173</v>
      </c>
    </row>
    <row r="10" hidden="1">
      <c r="A10" s="33" t="str">
        <f>hyperlink("https://issues.sierrawireless.com/browse/OEMPRI-6438", "OEMPRI-6438")</f>
        <v>OEMPRI-6438</v>
      </c>
      <c r="B10" s="30" t="s">
        <v>139</v>
      </c>
      <c r="C10" s="30" t="s">
        <v>140</v>
      </c>
      <c r="D10" s="30" t="s">
        <v>153</v>
      </c>
      <c r="E10" s="35">
        <v>43172.0</v>
      </c>
      <c r="F10" s="37" t="s">
        <v>154</v>
      </c>
      <c r="G10" s="30" t="s">
        <v>163</v>
      </c>
      <c r="H10" s="30" t="s">
        <v>145</v>
      </c>
      <c r="I10" s="30" t="s">
        <v>145</v>
      </c>
      <c r="J10" s="30" t="s">
        <v>145</v>
      </c>
      <c r="K10" s="30" t="s">
        <v>145</v>
      </c>
      <c r="L10" s="30" t="s">
        <v>145</v>
      </c>
      <c r="M10" s="30" t="s">
        <v>145</v>
      </c>
      <c r="N10" s="30" t="s">
        <v>145</v>
      </c>
      <c r="O10" s="30" t="s">
        <v>145</v>
      </c>
      <c r="P10" s="30" t="s">
        <v>145</v>
      </c>
      <c r="Q10" s="30" t="s">
        <v>146</v>
      </c>
    </row>
    <row r="11" hidden="1">
      <c r="A11" s="33" t="str">
        <f>hyperlink("https://issues.sierrawireless.com/browse/OEMPRI-6597", "OEMPRI-6597")</f>
        <v>OEMPRI-6597</v>
      </c>
      <c r="B11" s="30" t="s">
        <v>139</v>
      </c>
      <c r="C11" s="30" t="s">
        <v>141</v>
      </c>
      <c r="D11" s="30" t="s">
        <v>141</v>
      </c>
      <c r="E11" s="35">
        <v>43182.0</v>
      </c>
      <c r="F11" s="37" t="s">
        <v>150</v>
      </c>
      <c r="G11" s="30" t="s">
        <v>141</v>
      </c>
      <c r="H11" s="30" t="s">
        <v>146</v>
      </c>
      <c r="I11" s="30" t="s">
        <v>146</v>
      </c>
      <c r="J11" s="30" t="s">
        <v>179</v>
      </c>
      <c r="K11" s="30" t="s">
        <v>145</v>
      </c>
      <c r="L11" s="30" t="s">
        <v>145</v>
      </c>
      <c r="M11" s="30" t="s">
        <v>145</v>
      </c>
      <c r="N11" s="30" t="s">
        <v>145</v>
      </c>
      <c r="O11" s="30" t="s">
        <v>145</v>
      </c>
      <c r="P11" s="30" t="s">
        <v>145</v>
      </c>
      <c r="Q11" s="30" t="s">
        <v>180</v>
      </c>
    </row>
    <row r="12" hidden="1">
      <c r="A12" s="33" t="str">
        <f>hyperlink("https://issues.sierrawireless.com/browse/OEMPRI-6594", "OEMPRI-6594")</f>
        <v>OEMPRI-6594</v>
      </c>
      <c r="B12" s="30" t="s">
        <v>139</v>
      </c>
      <c r="C12" s="30" t="s">
        <v>140</v>
      </c>
      <c r="D12" s="30" t="s">
        <v>140</v>
      </c>
      <c r="E12" s="35">
        <v>43182.0</v>
      </c>
      <c r="F12" s="37" t="s">
        <v>184</v>
      </c>
      <c r="G12" s="30" t="s">
        <v>185</v>
      </c>
      <c r="H12" s="30" t="s">
        <v>145</v>
      </c>
      <c r="I12" s="30" t="s">
        <v>146</v>
      </c>
      <c r="J12" s="30" t="s">
        <v>146</v>
      </c>
      <c r="K12" s="30" t="s">
        <v>146</v>
      </c>
      <c r="L12" s="30" t="s">
        <v>146</v>
      </c>
      <c r="M12" s="30" t="s">
        <v>145</v>
      </c>
      <c r="N12" s="30" t="s">
        <v>145</v>
      </c>
      <c r="O12" s="30" t="s">
        <v>145</v>
      </c>
      <c r="P12" s="30" t="s">
        <v>145</v>
      </c>
      <c r="Q12" s="30" t="s">
        <v>146</v>
      </c>
    </row>
    <row r="13" hidden="1">
      <c r="A13" s="33" t="str">
        <f>hyperlink("https://issues.sierrawireless.com/browse/OEMPRI-6793", "OEMPRI-6793")</f>
        <v>OEMPRI-6793</v>
      </c>
      <c r="B13" s="30" t="s">
        <v>139</v>
      </c>
      <c r="C13" s="30" t="s">
        <v>155</v>
      </c>
      <c r="D13" s="30" t="s">
        <v>155</v>
      </c>
      <c r="E13" s="35">
        <v>43206.0</v>
      </c>
      <c r="F13" s="37" t="s">
        <v>150</v>
      </c>
      <c r="G13" s="30" t="s">
        <v>159</v>
      </c>
      <c r="H13" s="30" t="s">
        <v>158</v>
      </c>
      <c r="I13" s="30" t="s">
        <v>146</v>
      </c>
      <c r="J13" s="30" t="s">
        <v>189</v>
      </c>
      <c r="K13" s="30" t="s">
        <v>152</v>
      </c>
      <c r="L13" s="30" t="s">
        <v>152</v>
      </c>
      <c r="M13" s="30" t="s">
        <v>191</v>
      </c>
      <c r="N13" s="30" t="s">
        <v>145</v>
      </c>
      <c r="O13" s="30" t="s">
        <v>145</v>
      </c>
      <c r="P13" s="30" t="s">
        <v>145</v>
      </c>
      <c r="Q13" s="30" t="s">
        <v>158</v>
      </c>
    </row>
    <row r="14" hidden="1">
      <c r="A14" s="33" t="str">
        <f>hyperlink("https://issues.sierrawireless.com/browse/QTI9X40-2920", "QTI9X40-2920")</f>
        <v>QTI9X40-2920</v>
      </c>
      <c r="B14" s="30" t="s">
        <v>196</v>
      </c>
      <c r="C14" s="30" t="s">
        <v>148</v>
      </c>
      <c r="D14" s="30" t="s">
        <v>148</v>
      </c>
      <c r="E14" s="35">
        <v>43102.0</v>
      </c>
      <c r="F14" s="37" t="s">
        <v>162</v>
      </c>
      <c r="G14" s="30" t="s">
        <v>152</v>
      </c>
      <c r="H14" s="30" t="s">
        <v>152</v>
      </c>
      <c r="I14" s="30" t="s">
        <v>197</v>
      </c>
      <c r="J14" s="30" t="s">
        <v>145</v>
      </c>
      <c r="K14" s="30" t="s">
        <v>145</v>
      </c>
      <c r="L14" s="30" t="s">
        <v>145</v>
      </c>
      <c r="M14" s="30" t="s">
        <v>145</v>
      </c>
      <c r="N14" s="30" t="s">
        <v>145</v>
      </c>
      <c r="O14" s="30" t="s">
        <v>145</v>
      </c>
      <c r="P14" s="30" t="s">
        <v>145</v>
      </c>
      <c r="Q14" s="30" t="s">
        <v>152</v>
      </c>
    </row>
    <row r="15" hidden="1">
      <c r="A15" s="33" t="str">
        <f>hyperlink("https://issues.sierrawireless.com/browse/QTI9X28-2833", "QTI9X28-2833")</f>
        <v>QTI9X28-2833</v>
      </c>
      <c r="B15" s="30" t="s">
        <v>196</v>
      </c>
      <c r="C15" s="30" t="s">
        <v>148</v>
      </c>
      <c r="D15" s="30" t="s">
        <v>140</v>
      </c>
      <c r="E15" s="35">
        <v>43102.0</v>
      </c>
      <c r="F15" s="37" t="s">
        <v>162</v>
      </c>
      <c r="G15" s="30" t="s">
        <v>199</v>
      </c>
      <c r="H15" s="30" t="s">
        <v>145</v>
      </c>
      <c r="I15" s="30" t="s">
        <v>145</v>
      </c>
      <c r="J15" s="30" t="s">
        <v>145</v>
      </c>
      <c r="K15" s="30" t="s">
        <v>145</v>
      </c>
      <c r="L15" s="30" t="s">
        <v>145</v>
      </c>
      <c r="M15" s="30" t="s">
        <v>145</v>
      </c>
      <c r="N15" s="30" t="s">
        <v>145</v>
      </c>
      <c r="O15" s="30" t="s">
        <v>145</v>
      </c>
      <c r="P15" s="30" t="s">
        <v>145</v>
      </c>
      <c r="Q15" s="30" t="s">
        <v>152</v>
      </c>
    </row>
    <row r="16" hidden="1">
      <c r="A16" s="33" t="str">
        <f>hyperlink("https://issues.sierrawireless.com/browse/OEMPRI-6446", "OEMPRI-6446")</f>
        <v>OEMPRI-6446</v>
      </c>
      <c r="B16" s="30" t="s">
        <v>139</v>
      </c>
      <c r="C16" s="30" t="s">
        <v>140</v>
      </c>
      <c r="D16" s="30" t="s">
        <v>148</v>
      </c>
      <c r="E16" s="35">
        <v>43172.0</v>
      </c>
      <c r="F16" s="37" t="s">
        <v>154</v>
      </c>
      <c r="G16" s="30" t="s">
        <v>163</v>
      </c>
      <c r="H16" s="30" t="s">
        <v>145</v>
      </c>
      <c r="I16" s="30" t="s">
        <v>145</v>
      </c>
      <c r="J16" s="30" t="s">
        <v>145</v>
      </c>
      <c r="K16" s="30" t="s">
        <v>145</v>
      </c>
      <c r="L16" s="30" t="s">
        <v>145</v>
      </c>
      <c r="M16" s="30" t="s">
        <v>145</v>
      </c>
      <c r="N16" s="30" t="s">
        <v>145</v>
      </c>
      <c r="O16" s="30" t="s">
        <v>145</v>
      </c>
      <c r="P16" s="30" t="s">
        <v>145</v>
      </c>
      <c r="Q16" s="30" t="s">
        <v>146</v>
      </c>
    </row>
    <row r="17" hidden="1">
      <c r="A17" s="33" t="str">
        <f>hyperlink("https://issues.sierrawireless.com/browse/QTI9X40-2917", "QTI9X40-2917")</f>
        <v>QTI9X40-2917</v>
      </c>
      <c r="B17" s="30" t="s">
        <v>139</v>
      </c>
      <c r="C17" s="30" t="s">
        <v>206</v>
      </c>
      <c r="D17" s="30" t="s">
        <v>206</v>
      </c>
      <c r="E17" s="35">
        <v>43098.0</v>
      </c>
      <c r="F17" s="37" t="s">
        <v>207</v>
      </c>
      <c r="G17" s="30" t="s">
        <v>208</v>
      </c>
      <c r="H17" s="30" t="s">
        <v>145</v>
      </c>
      <c r="I17" s="30" t="s">
        <v>145</v>
      </c>
      <c r="J17" s="30" t="s">
        <v>145</v>
      </c>
      <c r="K17" s="30" t="s">
        <v>145</v>
      </c>
      <c r="L17" s="30" t="s">
        <v>145</v>
      </c>
      <c r="M17" s="30" t="s">
        <v>145</v>
      </c>
      <c r="N17" s="30" t="s">
        <v>145</v>
      </c>
      <c r="O17" s="30" t="s">
        <v>145</v>
      </c>
      <c r="P17" s="30" t="s">
        <v>145</v>
      </c>
      <c r="Q17" s="30" t="s">
        <v>209</v>
      </c>
    </row>
    <row r="18" hidden="1">
      <c r="A18" s="33" t="str">
        <f>hyperlink("https://issues.sierrawireless.com/browse/OEMPRI-6606", "OEMPRI-6606")</f>
        <v>OEMPRI-6606</v>
      </c>
      <c r="B18" s="30" t="s">
        <v>139</v>
      </c>
      <c r="C18" s="30" t="s">
        <v>120</v>
      </c>
      <c r="D18" s="30" t="s">
        <v>122</v>
      </c>
      <c r="E18" s="35">
        <v>43182.0</v>
      </c>
      <c r="F18" s="37" t="s">
        <v>150</v>
      </c>
      <c r="G18" s="30" t="s">
        <v>210</v>
      </c>
      <c r="H18" s="30" t="s">
        <v>145</v>
      </c>
      <c r="I18" s="30" t="s">
        <v>145</v>
      </c>
      <c r="J18" s="30" t="s">
        <v>145</v>
      </c>
      <c r="K18" s="30" t="s">
        <v>145</v>
      </c>
      <c r="L18" s="30" t="s">
        <v>145</v>
      </c>
      <c r="M18" s="30" t="s">
        <v>145</v>
      </c>
      <c r="N18" s="30" t="s">
        <v>145</v>
      </c>
      <c r="O18" s="30" t="s">
        <v>145</v>
      </c>
      <c r="P18" s="30" t="s">
        <v>145</v>
      </c>
      <c r="Q18" s="30" t="s">
        <v>212</v>
      </c>
    </row>
    <row r="19" hidden="1">
      <c r="A19" s="33" t="str">
        <f>hyperlink("https://issues.sierrawireless.com/browse/OEMPRI-6428", "OEMPRI-6428")</f>
        <v>OEMPRI-6428</v>
      </c>
      <c r="B19" s="30" t="s">
        <v>139</v>
      </c>
      <c r="C19" s="30" t="s">
        <v>148</v>
      </c>
      <c r="D19" s="30" t="s">
        <v>153</v>
      </c>
      <c r="E19" s="35">
        <v>43171.0</v>
      </c>
      <c r="F19" s="37" t="s">
        <v>154</v>
      </c>
      <c r="G19" s="30" t="s">
        <v>213</v>
      </c>
      <c r="H19" s="30" t="s">
        <v>145</v>
      </c>
      <c r="I19" s="30" t="s">
        <v>145</v>
      </c>
      <c r="J19" s="30" t="s">
        <v>145</v>
      </c>
      <c r="K19" s="30" t="s">
        <v>145</v>
      </c>
      <c r="L19" s="30" t="s">
        <v>145</v>
      </c>
      <c r="M19" s="30" t="s">
        <v>145</v>
      </c>
      <c r="N19" s="30" t="s">
        <v>145</v>
      </c>
      <c r="O19" s="30" t="s">
        <v>145</v>
      </c>
      <c r="P19" s="30" t="s">
        <v>145</v>
      </c>
      <c r="Q19" s="30" t="s">
        <v>152</v>
      </c>
    </row>
    <row r="20" hidden="1">
      <c r="A20" s="33" t="str">
        <f>hyperlink("https://issues.sierrawireless.com/browse/OEMPRI-7394", "OEMPRI-7394")</f>
        <v>OEMPRI-7394</v>
      </c>
      <c r="B20" s="30" t="s">
        <v>139</v>
      </c>
      <c r="C20" s="30" t="s">
        <v>148</v>
      </c>
      <c r="D20" s="30" t="s">
        <v>170</v>
      </c>
      <c r="E20" s="35">
        <v>43262.0</v>
      </c>
      <c r="F20" s="37" t="s">
        <v>150</v>
      </c>
      <c r="G20" s="30" t="s">
        <v>222</v>
      </c>
      <c r="H20" s="30" t="s">
        <v>223</v>
      </c>
      <c r="I20" s="30" t="s">
        <v>185</v>
      </c>
      <c r="J20" s="30" t="s">
        <v>228</v>
      </c>
      <c r="K20" s="30" t="s">
        <v>152</v>
      </c>
      <c r="L20" s="30" t="s">
        <v>152</v>
      </c>
      <c r="M20" s="30" t="s">
        <v>229</v>
      </c>
      <c r="N20" s="30" t="s">
        <v>145</v>
      </c>
      <c r="O20" s="30" t="s">
        <v>145</v>
      </c>
      <c r="P20" s="30" t="s">
        <v>145</v>
      </c>
      <c r="Q20" s="30" t="s">
        <v>232</v>
      </c>
    </row>
    <row r="21" hidden="1">
      <c r="A21" s="33" t="str">
        <f>hyperlink("https://issues.sierrawireless.com/browse/OEMPRI-7393", "OEMPRI-7393")</f>
        <v>OEMPRI-7393</v>
      </c>
      <c r="B21" s="30" t="s">
        <v>139</v>
      </c>
      <c r="C21" s="30" t="s">
        <v>148</v>
      </c>
      <c r="D21" s="30" t="s">
        <v>170</v>
      </c>
      <c r="E21" s="35">
        <v>43262.0</v>
      </c>
      <c r="F21" s="37" t="s">
        <v>150</v>
      </c>
      <c r="G21" s="30" t="s">
        <v>146</v>
      </c>
      <c r="H21" s="30" t="s">
        <v>146</v>
      </c>
      <c r="I21" s="30" t="s">
        <v>185</v>
      </c>
      <c r="J21" s="30" t="s">
        <v>239</v>
      </c>
      <c r="K21" s="30" t="s">
        <v>152</v>
      </c>
      <c r="L21" s="30" t="s">
        <v>152</v>
      </c>
      <c r="M21" s="30" t="s">
        <v>229</v>
      </c>
      <c r="N21" s="30" t="s">
        <v>145</v>
      </c>
      <c r="O21" s="30" t="s">
        <v>145</v>
      </c>
      <c r="P21" s="30" t="s">
        <v>145</v>
      </c>
      <c r="Q21" s="30" t="s">
        <v>246</v>
      </c>
    </row>
    <row r="22" hidden="1">
      <c r="A22" s="33" t="str">
        <f>hyperlink("https://issues.sierrawireless.com/browse/CORONADO-1815", "CORONADO-1815")</f>
        <v>CORONADO-1815</v>
      </c>
      <c r="B22" s="30" t="s">
        <v>252</v>
      </c>
      <c r="C22" s="30" t="s">
        <v>140</v>
      </c>
      <c r="D22" s="30" t="s">
        <v>253</v>
      </c>
      <c r="E22" s="35">
        <v>43116.0</v>
      </c>
      <c r="F22" s="37" t="s">
        <v>162</v>
      </c>
      <c r="G22" s="30" t="s">
        <v>254</v>
      </c>
      <c r="H22" s="30" t="s">
        <v>145</v>
      </c>
      <c r="I22" s="30" t="s">
        <v>145</v>
      </c>
      <c r="J22" s="30" t="s">
        <v>145</v>
      </c>
      <c r="K22" s="30" t="s">
        <v>145</v>
      </c>
      <c r="L22" s="30" t="s">
        <v>145</v>
      </c>
      <c r="M22" s="30" t="s">
        <v>145</v>
      </c>
      <c r="N22" s="30" t="s">
        <v>145</v>
      </c>
      <c r="O22" s="30" t="s">
        <v>145</v>
      </c>
      <c r="P22" s="30" t="s">
        <v>145</v>
      </c>
      <c r="Q22" s="30" t="s">
        <v>166</v>
      </c>
    </row>
    <row r="23" hidden="1">
      <c r="A23" s="33" t="str">
        <f>hyperlink("https://issues.sierrawireless.com/browse/OEMPRI-7011", "OEMPRI-7011")</f>
        <v>OEMPRI-7011</v>
      </c>
      <c r="B23" s="30" t="s">
        <v>139</v>
      </c>
      <c r="C23" s="30" t="s">
        <v>140</v>
      </c>
      <c r="D23" s="30" t="s">
        <v>141</v>
      </c>
      <c r="E23" s="35">
        <v>43224.0</v>
      </c>
      <c r="F23" s="37" t="s">
        <v>150</v>
      </c>
      <c r="G23" s="30" t="s">
        <v>171</v>
      </c>
      <c r="H23" s="30" t="s">
        <v>146</v>
      </c>
      <c r="I23" s="30" t="s">
        <v>185</v>
      </c>
      <c r="J23" s="30" t="s">
        <v>145</v>
      </c>
      <c r="K23" s="30" t="s">
        <v>145</v>
      </c>
      <c r="L23" s="30" t="s">
        <v>145</v>
      </c>
      <c r="M23" s="30" t="s">
        <v>145</v>
      </c>
      <c r="N23" s="30" t="s">
        <v>145</v>
      </c>
      <c r="O23" s="30" t="s">
        <v>145</v>
      </c>
      <c r="P23" s="30" t="s">
        <v>145</v>
      </c>
      <c r="Q23" s="30" t="s">
        <v>146</v>
      </c>
    </row>
    <row r="24" hidden="1">
      <c r="A24" s="33" t="str">
        <f>hyperlink("https://issues.sierrawireless.com/browse/OEMPRI-6409", "OEMPRI-6409")</f>
        <v>OEMPRI-6409</v>
      </c>
      <c r="B24" s="30" t="s">
        <v>139</v>
      </c>
      <c r="C24" s="30" t="s">
        <v>140</v>
      </c>
      <c r="D24" s="30" t="s">
        <v>140</v>
      </c>
      <c r="E24" s="35">
        <v>43168.0</v>
      </c>
      <c r="F24" s="37" t="s">
        <v>143</v>
      </c>
      <c r="G24" s="30" t="s">
        <v>264</v>
      </c>
      <c r="H24" s="30" t="s">
        <v>145</v>
      </c>
      <c r="I24" s="30" t="s">
        <v>145</v>
      </c>
      <c r="J24" s="30" t="s">
        <v>145</v>
      </c>
      <c r="K24" s="30" t="s">
        <v>145</v>
      </c>
      <c r="L24" s="30" t="s">
        <v>145</v>
      </c>
      <c r="M24" s="30" t="s">
        <v>145</v>
      </c>
      <c r="N24" s="30" t="s">
        <v>145</v>
      </c>
      <c r="O24" s="30" t="s">
        <v>145</v>
      </c>
      <c r="P24" s="30" t="s">
        <v>145</v>
      </c>
      <c r="Q24" s="30" t="s">
        <v>146</v>
      </c>
    </row>
    <row r="25" hidden="1">
      <c r="A25" s="33" t="str">
        <f>hyperlink("https://issues.sierrawireless.com/browse/OEMPRI-6797", "OEMPRI-6797")</f>
        <v>OEMPRI-6797</v>
      </c>
      <c r="B25" s="30" t="s">
        <v>139</v>
      </c>
      <c r="C25" s="30" t="s">
        <v>140</v>
      </c>
      <c r="D25" s="30" t="s">
        <v>140</v>
      </c>
      <c r="E25" s="35">
        <v>43206.0</v>
      </c>
      <c r="F25" s="37" t="s">
        <v>269</v>
      </c>
      <c r="G25" s="30" t="s">
        <v>185</v>
      </c>
      <c r="H25" s="30" t="s">
        <v>145</v>
      </c>
      <c r="I25" s="30" t="s">
        <v>145</v>
      </c>
      <c r="J25" s="30" t="s">
        <v>145</v>
      </c>
      <c r="K25" s="30" t="s">
        <v>145</v>
      </c>
      <c r="L25" s="30" t="s">
        <v>145</v>
      </c>
      <c r="M25" s="30" t="s">
        <v>145</v>
      </c>
      <c r="N25" s="30" t="s">
        <v>145</v>
      </c>
      <c r="O25" s="30" t="s">
        <v>145</v>
      </c>
      <c r="P25" s="30" t="s">
        <v>145</v>
      </c>
      <c r="Q25" s="30" t="s">
        <v>146</v>
      </c>
    </row>
    <row r="26" hidden="1">
      <c r="A26" s="33" t="str">
        <f>hyperlink("https://issues.sierrawireless.com/browse/OEMPRI-6798", "OEMPRI-6798")</f>
        <v>OEMPRI-6798</v>
      </c>
      <c r="B26" s="30" t="s">
        <v>139</v>
      </c>
      <c r="C26" s="30" t="s">
        <v>148</v>
      </c>
      <c r="D26" s="30" t="s">
        <v>141</v>
      </c>
      <c r="E26" s="35">
        <v>43206.0</v>
      </c>
      <c r="F26" s="37" t="s">
        <v>150</v>
      </c>
      <c r="G26" s="30" t="s">
        <v>213</v>
      </c>
      <c r="H26" s="30" t="s">
        <v>152</v>
      </c>
      <c r="I26" s="30" t="s">
        <v>146</v>
      </c>
      <c r="J26" s="30" t="s">
        <v>278</v>
      </c>
      <c r="K26" s="30" t="s">
        <v>152</v>
      </c>
      <c r="L26" s="30" t="s">
        <v>145</v>
      </c>
      <c r="M26" s="30" t="s">
        <v>145</v>
      </c>
      <c r="N26" s="30" t="s">
        <v>145</v>
      </c>
      <c r="O26" s="30" t="s">
        <v>145</v>
      </c>
      <c r="P26" s="30" t="s">
        <v>145</v>
      </c>
      <c r="Q26" s="30" t="s">
        <v>152</v>
      </c>
    </row>
    <row r="27" hidden="1">
      <c r="A27" s="33" t="str">
        <f>hyperlink("https://issues.sierrawireless.com/browse/COUGAR-2635", "COUGAR-2635")</f>
        <v>COUGAR-2635</v>
      </c>
      <c r="B27" s="30" t="s">
        <v>252</v>
      </c>
      <c r="C27" s="30" t="s">
        <v>140</v>
      </c>
      <c r="D27" s="30" t="s">
        <v>285</v>
      </c>
      <c r="E27" s="35">
        <v>43116.0</v>
      </c>
      <c r="F27" s="37" t="s">
        <v>162</v>
      </c>
      <c r="G27" s="30" t="s">
        <v>286</v>
      </c>
      <c r="H27" s="30" t="s">
        <v>145</v>
      </c>
      <c r="I27" s="30" t="s">
        <v>145</v>
      </c>
      <c r="J27" s="30" t="s">
        <v>145</v>
      </c>
      <c r="K27" s="30" t="s">
        <v>145</v>
      </c>
      <c r="L27" s="30" t="s">
        <v>145</v>
      </c>
      <c r="M27" s="30" t="s">
        <v>145</v>
      </c>
      <c r="N27" s="30" t="s">
        <v>145</v>
      </c>
      <c r="O27" s="30" t="s">
        <v>145</v>
      </c>
      <c r="P27" s="30" t="s">
        <v>145</v>
      </c>
      <c r="Q27" s="30" t="s">
        <v>166</v>
      </c>
    </row>
    <row r="28" hidden="1">
      <c r="A28" s="33" t="str">
        <f>hyperlink("https://issues.sierrawireless.com/browse/SZAM-138", "SZAM-138")</f>
        <v>SZAM-138</v>
      </c>
      <c r="B28" s="30" t="s">
        <v>252</v>
      </c>
      <c r="C28" s="30" t="s">
        <v>148</v>
      </c>
      <c r="D28" s="30" t="s">
        <v>233</v>
      </c>
      <c r="E28" s="35">
        <v>43112.0</v>
      </c>
      <c r="F28" s="37" t="s">
        <v>162</v>
      </c>
      <c r="G28" s="30" t="s">
        <v>292</v>
      </c>
      <c r="H28" s="30" t="s">
        <v>145</v>
      </c>
      <c r="I28" s="30" t="s">
        <v>145</v>
      </c>
      <c r="J28" s="30" t="s">
        <v>145</v>
      </c>
      <c r="K28" s="30" t="s">
        <v>145</v>
      </c>
      <c r="L28" s="30" t="s">
        <v>145</v>
      </c>
      <c r="M28" s="30" t="s">
        <v>145</v>
      </c>
      <c r="N28" s="30" t="s">
        <v>145</v>
      </c>
      <c r="O28" s="30" t="s">
        <v>145</v>
      </c>
      <c r="P28" s="30" t="s">
        <v>145</v>
      </c>
      <c r="Q28" s="30" t="s">
        <v>166</v>
      </c>
    </row>
    <row r="29" hidden="1">
      <c r="A29" s="33" t="str">
        <f>hyperlink("https://issues.sierrawireless.com/browse/OEMPRI-7288", "OEMPRI-7288")</f>
        <v>OEMPRI-7288</v>
      </c>
      <c r="B29" s="30" t="s">
        <v>139</v>
      </c>
      <c r="C29" s="30" t="s">
        <v>140</v>
      </c>
      <c r="D29" s="30" t="s">
        <v>216</v>
      </c>
      <c r="E29" s="35">
        <v>43251.0</v>
      </c>
      <c r="F29" s="37" t="s">
        <v>143</v>
      </c>
      <c r="G29" s="30" t="s">
        <v>163</v>
      </c>
      <c r="H29" s="30" t="s">
        <v>145</v>
      </c>
      <c r="I29" s="30" t="s">
        <v>145</v>
      </c>
      <c r="J29" s="30" t="s">
        <v>145</v>
      </c>
      <c r="K29" s="30" t="s">
        <v>145</v>
      </c>
      <c r="L29" s="30" t="s">
        <v>145</v>
      </c>
      <c r="M29" s="30" t="s">
        <v>145</v>
      </c>
      <c r="N29" s="30" t="s">
        <v>145</v>
      </c>
      <c r="O29" s="30" t="s">
        <v>145</v>
      </c>
      <c r="P29" s="30" t="s">
        <v>145</v>
      </c>
      <c r="Q29" s="30" t="s">
        <v>146</v>
      </c>
    </row>
    <row r="30" hidden="1">
      <c r="A30" s="33" t="str">
        <f>hyperlink("https://issues.sierrawireless.com/browse/OEMPRI-6359", "OEMPRI-6359")</f>
        <v>OEMPRI-6359</v>
      </c>
      <c r="B30" s="30" t="s">
        <v>139</v>
      </c>
      <c r="C30" s="30" t="s">
        <v>140</v>
      </c>
      <c r="D30" s="30" t="s">
        <v>153</v>
      </c>
      <c r="E30" s="35">
        <v>43164.0</v>
      </c>
      <c r="F30" s="37" t="s">
        <v>154</v>
      </c>
      <c r="G30" s="30" t="s">
        <v>146</v>
      </c>
      <c r="H30" s="30" t="s">
        <v>145</v>
      </c>
      <c r="I30" s="30" t="s">
        <v>145</v>
      </c>
      <c r="J30" s="30" t="s">
        <v>145</v>
      </c>
      <c r="K30" s="30" t="s">
        <v>145</v>
      </c>
      <c r="L30" s="30" t="s">
        <v>145</v>
      </c>
      <c r="M30" s="30" t="s">
        <v>145</v>
      </c>
      <c r="N30" s="30" t="s">
        <v>145</v>
      </c>
      <c r="O30" s="30" t="s">
        <v>145</v>
      </c>
      <c r="P30" s="30" t="s">
        <v>145</v>
      </c>
      <c r="Q30" s="30" t="s">
        <v>146</v>
      </c>
    </row>
    <row r="31" hidden="1">
      <c r="A31" s="33" t="str">
        <f>hyperlink("https://issues.sierrawireless.com/browse/OEMPRI-6360", "OEMPRI-6360")</f>
        <v>OEMPRI-6360</v>
      </c>
      <c r="B31" s="30" t="s">
        <v>139</v>
      </c>
      <c r="C31" s="30" t="s">
        <v>310</v>
      </c>
      <c r="D31" s="30" t="s">
        <v>310</v>
      </c>
      <c r="E31" s="35">
        <v>43164.0</v>
      </c>
      <c r="F31" s="37" t="s">
        <v>154</v>
      </c>
      <c r="G31" s="30" t="s">
        <v>314</v>
      </c>
      <c r="H31" s="30" t="s">
        <v>145</v>
      </c>
      <c r="I31" s="30" t="s">
        <v>145</v>
      </c>
      <c r="J31" s="30" t="s">
        <v>145</v>
      </c>
      <c r="K31" s="30" t="s">
        <v>145</v>
      </c>
      <c r="L31" s="30" t="s">
        <v>145</v>
      </c>
      <c r="M31" s="30" t="s">
        <v>145</v>
      </c>
      <c r="N31" s="30" t="s">
        <v>145</v>
      </c>
      <c r="O31" s="30" t="s">
        <v>145</v>
      </c>
      <c r="P31" s="30" t="s">
        <v>145</v>
      </c>
      <c r="Q31" s="30" t="s">
        <v>314</v>
      </c>
    </row>
    <row r="32" hidden="1">
      <c r="A32" s="33" t="str">
        <f>hyperlink("https://issues.sierrawireless.com/browse/OEMPRI-6976", "OEMPRI-6976")</f>
        <v>OEMPRI-6976</v>
      </c>
      <c r="B32" s="30" t="s">
        <v>139</v>
      </c>
      <c r="C32" s="30" t="s">
        <v>320</v>
      </c>
      <c r="D32" s="30" t="s">
        <v>141</v>
      </c>
      <c r="E32" s="35">
        <v>43223.0</v>
      </c>
      <c r="F32" s="37" t="s">
        <v>150</v>
      </c>
      <c r="G32" s="30" t="s">
        <v>146</v>
      </c>
      <c r="H32" s="30" t="s">
        <v>145</v>
      </c>
      <c r="I32" s="30" t="s">
        <v>146</v>
      </c>
      <c r="J32" s="30" t="s">
        <v>146</v>
      </c>
      <c r="K32" s="30" t="s">
        <v>152</v>
      </c>
      <c r="L32" s="30" t="s">
        <v>152</v>
      </c>
      <c r="M32" s="30" t="s">
        <v>323</v>
      </c>
      <c r="N32" s="30" t="s">
        <v>145</v>
      </c>
      <c r="O32" s="30" t="s">
        <v>145</v>
      </c>
      <c r="P32" s="30" t="s">
        <v>145</v>
      </c>
      <c r="Q32" s="30" t="s">
        <v>324</v>
      </c>
    </row>
    <row r="33" hidden="1">
      <c r="A33" s="33" t="str">
        <f>hyperlink("https://issues.sierrawireless.com/browse/QTI9X40-2966", "QTI9X40-2966")</f>
        <v>QTI9X40-2966</v>
      </c>
      <c r="B33" s="30" t="s">
        <v>139</v>
      </c>
      <c r="C33" s="30" t="s">
        <v>328</v>
      </c>
      <c r="D33" s="30" t="s">
        <v>329</v>
      </c>
      <c r="E33" s="35">
        <v>43108.0</v>
      </c>
      <c r="F33" s="37" t="s">
        <v>207</v>
      </c>
      <c r="G33" s="30" t="s">
        <v>146</v>
      </c>
      <c r="H33" s="30" t="s">
        <v>145</v>
      </c>
      <c r="I33" s="30" t="s">
        <v>145</v>
      </c>
      <c r="J33" s="30" t="s">
        <v>145</v>
      </c>
      <c r="K33" s="30" t="s">
        <v>145</v>
      </c>
      <c r="L33" s="30" t="s">
        <v>146</v>
      </c>
      <c r="M33" s="30" t="s">
        <v>332</v>
      </c>
      <c r="N33" s="30" t="s">
        <v>145</v>
      </c>
      <c r="O33" s="30" t="s">
        <v>145</v>
      </c>
      <c r="P33" s="30" t="s">
        <v>145</v>
      </c>
      <c r="Q33" s="30" t="s">
        <v>333</v>
      </c>
    </row>
    <row r="34" hidden="1">
      <c r="A34" s="33" t="str">
        <f>hyperlink("https://issues.sierrawireless.com/browse/OEMPRI-6333", "OEMPRI-6333")</f>
        <v>OEMPRI-6333</v>
      </c>
      <c r="B34" s="30" t="s">
        <v>139</v>
      </c>
      <c r="C34" s="30" t="s">
        <v>148</v>
      </c>
      <c r="D34" s="30" t="s">
        <v>337</v>
      </c>
      <c r="E34" s="35">
        <v>43161.0</v>
      </c>
      <c r="F34" s="37" t="s">
        <v>150</v>
      </c>
      <c r="G34" s="30" t="s">
        <v>340</v>
      </c>
      <c r="H34" s="30" t="s">
        <v>152</v>
      </c>
      <c r="I34" s="30" t="s">
        <v>152</v>
      </c>
      <c r="J34" s="30" t="s">
        <v>152</v>
      </c>
      <c r="K34" s="30" t="s">
        <v>145</v>
      </c>
      <c r="L34" s="30" t="s">
        <v>145</v>
      </c>
      <c r="M34" s="30" t="s">
        <v>145</v>
      </c>
      <c r="N34" s="30" t="s">
        <v>145</v>
      </c>
      <c r="O34" s="30" t="s">
        <v>145</v>
      </c>
      <c r="P34" s="30" t="s">
        <v>145</v>
      </c>
      <c r="Q34" s="30" t="s">
        <v>152</v>
      </c>
    </row>
    <row r="35" hidden="1">
      <c r="A35" s="33" t="str">
        <f>hyperlink("https://issues.sierrawireless.com/browse/OEMPRI-6441", "OEMPRI-6441")</f>
        <v>OEMPRI-6441</v>
      </c>
      <c r="B35" s="30" t="s">
        <v>139</v>
      </c>
      <c r="C35" s="30" t="s">
        <v>155</v>
      </c>
      <c r="D35" s="30" t="s">
        <v>155</v>
      </c>
      <c r="E35" s="35">
        <v>43172.0</v>
      </c>
      <c r="F35" s="37" t="s">
        <v>150</v>
      </c>
      <c r="G35" s="30" t="s">
        <v>155</v>
      </c>
      <c r="H35" s="30" t="s">
        <v>146</v>
      </c>
      <c r="I35" s="30" t="s">
        <v>158</v>
      </c>
      <c r="J35" s="30" t="s">
        <v>158</v>
      </c>
      <c r="K35" s="30" t="s">
        <v>158</v>
      </c>
      <c r="L35" s="30" t="s">
        <v>158</v>
      </c>
      <c r="M35" s="30" t="s">
        <v>345</v>
      </c>
      <c r="N35" s="30" t="s">
        <v>145</v>
      </c>
      <c r="O35" s="30" t="s">
        <v>145</v>
      </c>
      <c r="P35" s="30" t="s">
        <v>145</v>
      </c>
      <c r="Q35" s="30" t="s">
        <v>159</v>
      </c>
    </row>
    <row r="36" hidden="1">
      <c r="A36" s="33" t="str">
        <f>hyperlink("https://issues.sierrawireless.com/browse/OEMPRI-6314", "OEMPRI-6314")</f>
        <v>OEMPRI-6314</v>
      </c>
      <c r="B36" s="30" t="s">
        <v>139</v>
      </c>
      <c r="C36" s="30" t="s">
        <v>140</v>
      </c>
      <c r="D36" s="30" t="s">
        <v>140</v>
      </c>
      <c r="E36" s="35">
        <v>43160.0</v>
      </c>
      <c r="F36" s="37" t="s">
        <v>269</v>
      </c>
      <c r="G36" s="30" t="s">
        <v>352</v>
      </c>
      <c r="H36" s="30" t="s">
        <v>145</v>
      </c>
      <c r="I36" s="30" t="s">
        <v>145</v>
      </c>
      <c r="J36" s="30" t="s">
        <v>145</v>
      </c>
      <c r="K36" s="30" t="s">
        <v>145</v>
      </c>
      <c r="L36" s="30" t="s">
        <v>145</v>
      </c>
      <c r="M36" s="30" t="s">
        <v>145</v>
      </c>
      <c r="N36" s="30" t="s">
        <v>145</v>
      </c>
      <c r="O36" s="30" t="s">
        <v>145</v>
      </c>
      <c r="P36" s="30" t="s">
        <v>145</v>
      </c>
      <c r="Q36" s="30" t="s">
        <v>146</v>
      </c>
    </row>
    <row r="37" hidden="1">
      <c r="A37" s="33" t="str">
        <f>hyperlink("https://issues.sierrawireless.com/browse/OEMPRI-6504", "OEMPRI-6504")</f>
        <v>OEMPRI-6504</v>
      </c>
      <c r="B37" s="30" t="s">
        <v>139</v>
      </c>
      <c r="C37" s="30" t="s">
        <v>155</v>
      </c>
      <c r="D37" s="30" t="s">
        <v>155</v>
      </c>
      <c r="E37" s="35">
        <v>43178.0</v>
      </c>
      <c r="F37" s="37" t="s">
        <v>150</v>
      </c>
      <c r="G37" s="30" t="s">
        <v>358</v>
      </c>
      <c r="H37" s="30" t="s">
        <v>223</v>
      </c>
      <c r="I37" s="30" t="s">
        <v>146</v>
      </c>
      <c r="J37" s="30" t="s">
        <v>189</v>
      </c>
      <c r="K37" s="30" t="s">
        <v>152</v>
      </c>
      <c r="L37" s="30" t="s">
        <v>152</v>
      </c>
      <c r="M37" s="30" t="s">
        <v>361</v>
      </c>
      <c r="N37" s="30" t="s">
        <v>145</v>
      </c>
      <c r="O37" s="30" t="s">
        <v>145</v>
      </c>
      <c r="P37" s="30" t="s">
        <v>145</v>
      </c>
      <c r="Q37" s="30" t="s">
        <v>158</v>
      </c>
    </row>
    <row r="38" hidden="1">
      <c r="A38" s="33" t="str">
        <f>hyperlink("https://issues.sierrawireless.com/browse/OEMPRI-6325", "OEMPRI-6325")</f>
        <v>OEMPRI-6325</v>
      </c>
      <c r="B38" s="30" t="s">
        <v>139</v>
      </c>
      <c r="C38" s="30" t="s">
        <v>148</v>
      </c>
      <c r="D38" s="30" t="s">
        <v>244</v>
      </c>
      <c r="E38" s="35">
        <v>43160.0</v>
      </c>
      <c r="F38" s="37" t="s">
        <v>150</v>
      </c>
      <c r="G38" s="30" t="s">
        <v>152</v>
      </c>
      <c r="H38" s="30" t="s">
        <v>152</v>
      </c>
      <c r="I38" s="30" t="s">
        <v>152</v>
      </c>
      <c r="J38" s="30" t="s">
        <v>189</v>
      </c>
      <c r="K38" s="30" t="s">
        <v>152</v>
      </c>
      <c r="L38" s="30" t="s">
        <v>152</v>
      </c>
      <c r="M38" s="30" t="s">
        <v>367</v>
      </c>
      <c r="N38" s="30" t="s">
        <v>152</v>
      </c>
      <c r="O38" s="30" t="s">
        <v>368</v>
      </c>
      <c r="P38" s="30" t="s">
        <v>152</v>
      </c>
      <c r="Q38" s="30" t="s">
        <v>152</v>
      </c>
    </row>
    <row r="39" hidden="1">
      <c r="A39" s="33" t="str">
        <f>hyperlink("https://issues.sierrawireless.com/browse/OEMPRI-6316", "OEMPRI-6316")</f>
        <v>OEMPRI-6316</v>
      </c>
      <c r="B39" s="30" t="s">
        <v>139</v>
      </c>
      <c r="C39" s="30" t="s">
        <v>155</v>
      </c>
      <c r="D39" s="30" t="s">
        <v>155</v>
      </c>
      <c r="E39" s="35">
        <v>43160.0</v>
      </c>
      <c r="F39" s="37" t="s">
        <v>150</v>
      </c>
      <c r="G39" s="30" t="s">
        <v>373</v>
      </c>
      <c r="H39" s="30" t="s">
        <v>145</v>
      </c>
      <c r="I39" s="30" t="s">
        <v>223</v>
      </c>
      <c r="J39" s="30" t="s">
        <v>375</v>
      </c>
      <c r="K39" s="30" t="s">
        <v>375</v>
      </c>
      <c r="L39" s="30" t="s">
        <v>145</v>
      </c>
      <c r="M39" s="30" t="s">
        <v>145</v>
      </c>
      <c r="N39" s="30" t="s">
        <v>145</v>
      </c>
      <c r="O39" s="30" t="s">
        <v>145</v>
      </c>
      <c r="P39" s="30" t="s">
        <v>145</v>
      </c>
      <c r="Q39" s="30" t="s">
        <v>158</v>
      </c>
    </row>
    <row r="40" hidden="1">
      <c r="A40" s="33" t="str">
        <f>hyperlink("https://issues.sierrawireless.com/browse/QTI9X28-2813", "QTI9X28-2813")</f>
        <v>QTI9X28-2813</v>
      </c>
      <c r="B40" s="30" t="s">
        <v>196</v>
      </c>
      <c r="C40" s="30" t="s">
        <v>148</v>
      </c>
      <c r="D40" s="30" t="s">
        <v>140</v>
      </c>
      <c r="E40" s="43">
        <v>43094.0</v>
      </c>
      <c r="F40" s="44" t="s">
        <v>162</v>
      </c>
      <c r="G40" s="30" t="s">
        <v>185</v>
      </c>
      <c r="H40" s="30" t="s">
        <v>146</v>
      </c>
      <c r="I40" s="2" t="s">
        <v>232</v>
      </c>
      <c r="J40" s="30" t="s">
        <v>145</v>
      </c>
      <c r="K40" s="30" t="s">
        <v>145</v>
      </c>
      <c r="L40" s="30" t="s">
        <v>145</v>
      </c>
      <c r="M40" s="30" t="s">
        <v>145</v>
      </c>
      <c r="N40" s="30" t="s">
        <v>145</v>
      </c>
      <c r="O40" s="30" t="s">
        <v>145</v>
      </c>
      <c r="P40" s="30" t="s">
        <v>145</v>
      </c>
      <c r="Q40" s="30" t="s">
        <v>152</v>
      </c>
    </row>
    <row r="41" hidden="1">
      <c r="A41" s="33" t="str">
        <f>hyperlink("https://issues.sierrawireless.com/browse/OEMPRI-6308", "OEMPRI-6308")</f>
        <v>OEMPRI-6308</v>
      </c>
      <c r="B41" s="30" t="s">
        <v>139</v>
      </c>
      <c r="C41" s="30" t="s">
        <v>140</v>
      </c>
      <c r="D41" s="30" t="s">
        <v>153</v>
      </c>
      <c r="E41" s="35">
        <v>43159.0</v>
      </c>
      <c r="F41" s="37" t="s">
        <v>154</v>
      </c>
      <c r="G41" s="30" t="s">
        <v>146</v>
      </c>
      <c r="H41" s="30" t="s">
        <v>145</v>
      </c>
      <c r="I41" s="30" t="s">
        <v>145</v>
      </c>
      <c r="J41" s="30" t="s">
        <v>145</v>
      </c>
      <c r="K41" s="30" t="s">
        <v>145</v>
      </c>
      <c r="L41" s="30" t="s">
        <v>145</v>
      </c>
      <c r="M41" s="30" t="s">
        <v>145</v>
      </c>
      <c r="N41" s="30" t="s">
        <v>145</v>
      </c>
      <c r="O41" s="30" t="s">
        <v>145</v>
      </c>
      <c r="P41" s="30" t="s">
        <v>145</v>
      </c>
      <c r="Q41" s="30" t="s">
        <v>146</v>
      </c>
    </row>
    <row r="42" hidden="1">
      <c r="A42" s="33" t="str">
        <f>hyperlink("https://issues.sierrawireless.com/browse/OEMPRI-6767", "OEMPRI-6767")</f>
        <v>OEMPRI-6767</v>
      </c>
      <c r="B42" s="30" t="s">
        <v>139</v>
      </c>
      <c r="C42" s="30" t="s">
        <v>155</v>
      </c>
      <c r="D42" s="30" t="s">
        <v>155</v>
      </c>
      <c r="E42" s="35">
        <v>43202.0</v>
      </c>
      <c r="F42" s="37" t="s">
        <v>150</v>
      </c>
      <c r="G42" s="30" t="s">
        <v>158</v>
      </c>
      <c r="H42" s="30" t="s">
        <v>158</v>
      </c>
      <c r="I42" s="30" t="s">
        <v>158</v>
      </c>
      <c r="J42" s="30" t="s">
        <v>189</v>
      </c>
      <c r="K42" s="30" t="s">
        <v>156</v>
      </c>
      <c r="L42" s="30" t="s">
        <v>152</v>
      </c>
      <c r="M42" s="30" t="s">
        <v>391</v>
      </c>
      <c r="N42" s="30" t="s">
        <v>145</v>
      </c>
      <c r="O42" s="30" t="s">
        <v>145</v>
      </c>
      <c r="P42" s="30" t="s">
        <v>145</v>
      </c>
      <c r="Q42" s="30" t="s">
        <v>158</v>
      </c>
    </row>
    <row r="43" hidden="1">
      <c r="A43" s="33" t="str">
        <f>hyperlink("https://issues.sierrawireless.com/browse/OEMPRI-6407", "OEMPRI-6407")</f>
        <v>OEMPRI-6407</v>
      </c>
      <c r="B43" s="30" t="s">
        <v>139</v>
      </c>
      <c r="C43" s="30" t="s">
        <v>148</v>
      </c>
      <c r="D43" s="30" t="s">
        <v>141</v>
      </c>
      <c r="E43" s="35">
        <v>43168.0</v>
      </c>
      <c r="F43" s="37" t="s">
        <v>150</v>
      </c>
      <c r="G43" s="30" t="s">
        <v>397</v>
      </c>
      <c r="H43" s="30" t="s">
        <v>145</v>
      </c>
      <c r="I43" s="30" t="s">
        <v>223</v>
      </c>
      <c r="J43" s="30" t="s">
        <v>278</v>
      </c>
      <c r="K43" s="30" t="s">
        <v>152</v>
      </c>
      <c r="L43" s="30" t="s">
        <v>152</v>
      </c>
      <c r="M43" s="30" t="s">
        <v>152</v>
      </c>
      <c r="N43" s="30" t="s">
        <v>145</v>
      </c>
      <c r="O43" s="30" t="s">
        <v>145</v>
      </c>
      <c r="P43" s="30" t="s">
        <v>145</v>
      </c>
      <c r="Q43" s="30" t="s">
        <v>152</v>
      </c>
    </row>
    <row r="44" hidden="1">
      <c r="A44" s="33" t="str">
        <f>hyperlink("https://issues.sierrawireless.com/browse/OEMPRI-6494", "OEMPRI-6494")</f>
        <v>OEMPRI-6494</v>
      </c>
      <c r="B44" s="30" t="s">
        <v>139</v>
      </c>
      <c r="C44" s="30" t="s">
        <v>337</v>
      </c>
      <c r="D44" s="30" t="s">
        <v>337</v>
      </c>
      <c r="E44" s="35">
        <v>43175.0</v>
      </c>
      <c r="F44" s="37" t="s">
        <v>150</v>
      </c>
      <c r="G44" s="30" t="s">
        <v>403</v>
      </c>
      <c r="H44" s="30" t="s">
        <v>404</v>
      </c>
      <c r="I44" s="30" t="s">
        <v>146</v>
      </c>
      <c r="J44" s="30" t="s">
        <v>407</v>
      </c>
      <c r="K44" s="30" t="s">
        <v>152</v>
      </c>
      <c r="L44" s="30" t="s">
        <v>152</v>
      </c>
      <c r="M44" s="30" t="s">
        <v>408</v>
      </c>
      <c r="N44" s="30" t="s">
        <v>145</v>
      </c>
      <c r="O44" s="30" t="s">
        <v>145</v>
      </c>
      <c r="P44" s="30" t="s">
        <v>145</v>
      </c>
      <c r="Q44" s="30" t="s">
        <v>409</v>
      </c>
    </row>
    <row r="45" hidden="1">
      <c r="A45" s="33" t="str">
        <f>hyperlink("https://issues.sierrawireless.com/browse/OEMPRI-6279", "OEMPRI-6279")</f>
        <v>OEMPRI-6279</v>
      </c>
      <c r="B45" s="30" t="s">
        <v>139</v>
      </c>
      <c r="C45" s="30" t="s">
        <v>148</v>
      </c>
      <c r="D45" s="30" t="s">
        <v>148</v>
      </c>
      <c r="E45" s="35">
        <v>43155.0</v>
      </c>
      <c r="F45" s="37" t="s">
        <v>154</v>
      </c>
      <c r="G45" s="30" t="s">
        <v>152</v>
      </c>
      <c r="H45" s="30" t="s">
        <v>145</v>
      </c>
      <c r="I45" s="30" t="s">
        <v>145</v>
      </c>
      <c r="J45" s="30" t="s">
        <v>145</v>
      </c>
      <c r="K45" s="30" t="s">
        <v>145</v>
      </c>
      <c r="L45" s="30" t="s">
        <v>145</v>
      </c>
      <c r="M45" s="30" t="s">
        <v>145</v>
      </c>
      <c r="N45" s="30" t="s">
        <v>145</v>
      </c>
      <c r="O45" s="30" t="s">
        <v>145</v>
      </c>
      <c r="P45" s="30" t="s">
        <v>145</v>
      </c>
      <c r="Q45" s="30" t="s">
        <v>152</v>
      </c>
    </row>
    <row r="46" hidden="1">
      <c r="A46" s="33" t="str">
        <f>hyperlink("https://issues.sierrawireless.com/browse/QTI9X40-2976", "QTI9X40-2976")</f>
        <v>QTI9X40-2976</v>
      </c>
      <c r="B46" s="30" t="s">
        <v>417</v>
      </c>
      <c r="C46" s="30" t="s">
        <v>140</v>
      </c>
      <c r="D46" s="30" t="s">
        <v>419</v>
      </c>
      <c r="E46" s="35">
        <v>43110.0</v>
      </c>
      <c r="F46" s="37" t="s">
        <v>207</v>
      </c>
      <c r="G46" s="30" t="s">
        <v>421</v>
      </c>
      <c r="H46" s="30" t="s">
        <v>145</v>
      </c>
      <c r="I46" s="30" t="s">
        <v>145</v>
      </c>
      <c r="J46" s="30" t="s">
        <v>145</v>
      </c>
      <c r="K46" s="30" t="s">
        <v>145</v>
      </c>
      <c r="L46" s="30" t="s">
        <v>145</v>
      </c>
      <c r="M46" s="30" t="s">
        <v>145</v>
      </c>
      <c r="N46" s="30" t="s">
        <v>145</v>
      </c>
      <c r="O46" s="30" t="s">
        <v>145</v>
      </c>
      <c r="P46" s="30" t="s">
        <v>145</v>
      </c>
      <c r="Q46" s="30" t="s">
        <v>166</v>
      </c>
    </row>
    <row r="47" hidden="1">
      <c r="A47" s="33" t="str">
        <f>hyperlink("https://issues.sierrawireless.com/browse/QTI9X40-2977", "QTI9X40-2977")</f>
        <v>QTI9X40-2977</v>
      </c>
      <c r="B47" s="30" t="s">
        <v>417</v>
      </c>
      <c r="C47" s="30" t="s">
        <v>140</v>
      </c>
      <c r="D47" s="30" t="s">
        <v>419</v>
      </c>
      <c r="E47" s="35">
        <v>43110.0</v>
      </c>
      <c r="F47" s="37" t="s">
        <v>207</v>
      </c>
      <c r="G47" s="30" t="s">
        <v>421</v>
      </c>
      <c r="H47" s="30" t="s">
        <v>145</v>
      </c>
      <c r="I47" s="30" t="s">
        <v>145</v>
      </c>
      <c r="J47" s="30" t="s">
        <v>145</v>
      </c>
      <c r="K47" s="30" t="s">
        <v>145</v>
      </c>
      <c r="L47" s="30" t="s">
        <v>145</v>
      </c>
      <c r="M47" s="30" t="s">
        <v>145</v>
      </c>
      <c r="N47" s="30" t="s">
        <v>145</v>
      </c>
      <c r="O47" s="30" t="s">
        <v>145</v>
      </c>
      <c r="P47" s="30" t="s">
        <v>145</v>
      </c>
      <c r="Q47" s="30" t="s">
        <v>166</v>
      </c>
    </row>
    <row r="48" hidden="1">
      <c r="A48" s="33" t="str">
        <f>hyperlink("https://issues.sierrawireless.com/browse/CORONADO-1728", "CORONADO-1728")</f>
        <v>CORONADO-1728</v>
      </c>
      <c r="B48" s="30" t="s">
        <v>139</v>
      </c>
      <c r="C48" s="30" t="s">
        <v>140</v>
      </c>
      <c r="D48" s="30" t="s">
        <v>431</v>
      </c>
      <c r="E48" s="35">
        <v>43074.0</v>
      </c>
      <c r="F48" s="37" t="s">
        <v>162</v>
      </c>
      <c r="G48" s="30" t="s">
        <v>432</v>
      </c>
      <c r="H48" s="30" t="s">
        <v>146</v>
      </c>
      <c r="I48" s="2" t="s">
        <v>171</v>
      </c>
      <c r="J48" s="30" t="s">
        <v>145</v>
      </c>
      <c r="K48" s="30" t="s">
        <v>145</v>
      </c>
      <c r="L48" s="30" t="s">
        <v>145</v>
      </c>
      <c r="M48" s="30" t="s">
        <v>145</v>
      </c>
      <c r="N48" s="30" t="s">
        <v>145</v>
      </c>
      <c r="O48" s="30" t="s">
        <v>145</v>
      </c>
      <c r="P48" s="30" t="s">
        <v>145</v>
      </c>
      <c r="Q48" s="30" t="s">
        <v>146</v>
      </c>
    </row>
    <row r="49" hidden="1">
      <c r="A49" s="33" t="str">
        <f>hyperlink("https://issues.sierrawireless.com/browse/QTI9X28-2688", "QTI9X28-2688")</f>
        <v>QTI9X28-2688</v>
      </c>
      <c r="B49" s="30" t="s">
        <v>139</v>
      </c>
      <c r="C49" s="30" t="s">
        <v>206</v>
      </c>
      <c r="D49" s="30" t="s">
        <v>206</v>
      </c>
      <c r="E49" s="35">
        <v>43074.0</v>
      </c>
      <c r="F49" s="37" t="s">
        <v>207</v>
      </c>
      <c r="G49" s="30" t="s">
        <v>438</v>
      </c>
      <c r="H49" s="30" t="s">
        <v>145</v>
      </c>
      <c r="I49" s="30" t="s">
        <v>145</v>
      </c>
      <c r="J49" s="30" t="s">
        <v>145</v>
      </c>
      <c r="K49" s="30" t="s">
        <v>145</v>
      </c>
      <c r="L49" s="30" t="s">
        <v>146</v>
      </c>
      <c r="M49" s="2" t="s">
        <v>439</v>
      </c>
      <c r="N49" s="30" t="s">
        <v>145</v>
      </c>
      <c r="O49" s="30" t="s">
        <v>145</v>
      </c>
      <c r="P49" s="30" t="s">
        <v>145</v>
      </c>
      <c r="Q49" s="30" t="s">
        <v>209</v>
      </c>
    </row>
    <row r="50" hidden="1">
      <c r="A50" s="33" t="str">
        <f>hyperlink("https://issues.sierrawireless.com/browse/OEMPRI-6287", "OEMPRI-6287")</f>
        <v>OEMPRI-6287</v>
      </c>
      <c r="B50" s="30" t="s">
        <v>139</v>
      </c>
      <c r="C50" s="30" t="s">
        <v>148</v>
      </c>
      <c r="D50" s="30" t="s">
        <v>148</v>
      </c>
      <c r="E50" s="35">
        <v>43155.0</v>
      </c>
      <c r="F50" s="37" t="s">
        <v>154</v>
      </c>
      <c r="G50" s="30" t="s">
        <v>152</v>
      </c>
      <c r="H50" s="30" t="s">
        <v>145</v>
      </c>
      <c r="I50" s="30" t="s">
        <v>145</v>
      </c>
      <c r="J50" s="30" t="s">
        <v>145</v>
      </c>
      <c r="K50" s="30" t="s">
        <v>145</v>
      </c>
      <c r="L50" s="30" t="s">
        <v>145</v>
      </c>
      <c r="M50" s="30" t="s">
        <v>145</v>
      </c>
      <c r="N50" s="30" t="s">
        <v>145</v>
      </c>
      <c r="O50" s="30" t="s">
        <v>145</v>
      </c>
      <c r="P50" s="30" t="s">
        <v>145</v>
      </c>
      <c r="Q50" s="30" t="s">
        <v>152</v>
      </c>
    </row>
    <row r="51" hidden="1">
      <c r="A51" s="33" t="str">
        <f>hyperlink("https://issues.sierrawireless.com/browse/OEMPRI-6284", "OEMPRI-6284")</f>
        <v>OEMPRI-6284</v>
      </c>
      <c r="B51" s="30" t="s">
        <v>139</v>
      </c>
      <c r="C51" s="30" t="s">
        <v>453</v>
      </c>
      <c r="D51" s="30" t="s">
        <v>148</v>
      </c>
      <c r="E51" s="35">
        <v>43155.0</v>
      </c>
      <c r="F51" s="37" t="s">
        <v>154</v>
      </c>
      <c r="G51" s="30" t="s">
        <v>455</v>
      </c>
      <c r="H51" s="30" t="s">
        <v>145</v>
      </c>
      <c r="I51" s="30" t="s">
        <v>145</v>
      </c>
      <c r="J51" s="30" t="s">
        <v>145</v>
      </c>
      <c r="K51" s="30" t="s">
        <v>145</v>
      </c>
      <c r="L51" s="30" t="s">
        <v>145</v>
      </c>
      <c r="M51" s="30" t="s">
        <v>145</v>
      </c>
      <c r="N51" s="30" t="s">
        <v>145</v>
      </c>
      <c r="O51" s="30" t="s">
        <v>145</v>
      </c>
      <c r="P51" s="30" t="s">
        <v>145</v>
      </c>
      <c r="Q51" s="30" t="s">
        <v>457</v>
      </c>
    </row>
    <row r="52" hidden="1">
      <c r="A52" s="33" t="str">
        <f>hyperlink("https://issues.sierrawireless.com/browse/OEMPRI-6285", "OEMPRI-6285")</f>
        <v>OEMPRI-6285</v>
      </c>
      <c r="B52" s="30" t="s">
        <v>139</v>
      </c>
      <c r="C52" s="30" t="s">
        <v>148</v>
      </c>
      <c r="D52" s="30" t="s">
        <v>148</v>
      </c>
      <c r="E52" s="35">
        <v>43155.0</v>
      </c>
      <c r="F52" s="37" t="s">
        <v>154</v>
      </c>
      <c r="G52" s="30" t="s">
        <v>152</v>
      </c>
      <c r="H52" s="30" t="s">
        <v>145</v>
      </c>
      <c r="I52" s="30" t="s">
        <v>145</v>
      </c>
      <c r="J52" s="30" t="s">
        <v>145</v>
      </c>
      <c r="K52" s="30" t="s">
        <v>145</v>
      </c>
      <c r="L52" s="30" t="s">
        <v>145</v>
      </c>
      <c r="M52" s="30" t="s">
        <v>145</v>
      </c>
      <c r="N52" s="30" t="s">
        <v>145</v>
      </c>
      <c r="O52" s="30" t="s">
        <v>145</v>
      </c>
      <c r="P52" s="30" t="s">
        <v>145</v>
      </c>
      <c r="Q52" s="30" t="s">
        <v>152</v>
      </c>
    </row>
    <row r="53" hidden="1">
      <c r="A53" s="33" t="str">
        <f>hyperlink("https://issues.sierrawireless.com/browse/OEMPRI-6283", "OEMPRI-6283")</f>
        <v>OEMPRI-6283</v>
      </c>
      <c r="B53" s="30" t="s">
        <v>139</v>
      </c>
      <c r="C53" s="30" t="s">
        <v>148</v>
      </c>
      <c r="D53" s="30" t="s">
        <v>148</v>
      </c>
      <c r="E53" s="35">
        <v>43155.0</v>
      </c>
      <c r="F53" s="37" t="s">
        <v>154</v>
      </c>
      <c r="G53" s="30" t="s">
        <v>152</v>
      </c>
      <c r="H53" s="30" t="s">
        <v>145</v>
      </c>
      <c r="I53" s="30" t="s">
        <v>145</v>
      </c>
      <c r="J53" s="30" t="s">
        <v>145</v>
      </c>
      <c r="K53" s="30" t="s">
        <v>145</v>
      </c>
      <c r="L53" s="30" t="s">
        <v>145</v>
      </c>
      <c r="M53" s="30" t="s">
        <v>145</v>
      </c>
      <c r="N53" s="30" t="s">
        <v>145</v>
      </c>
      <c r="O53" s="30" t="s">
        <v>145</v>
      </c>
      <c r="P53" s="30" t="s">
        <v>145</v>
      </c>
      <c r="Q53" s="30" t="s">
        <v>152</v>
      </c>
    </row>
    <row r="54" hidden="1">
      <c r="A54" s="33" t="str">
        <f>hyperlink("https://issues.sierrawireless.com/browse/OEMPRI-6281", "OEMPRI-6281")</f>
        <v>OEMPRI-6281</v>
      </c>
      <c r="B54" s="30" t="s">
        <v>139</v>
      </c>
      <c r="C54" s="30" t="s">
        <v>148</v>
      </c>
      <c r="D54" s="30" t="s">
        <v>148</v>
      </c>
      <c r="E54" s="35">
        <v>43155.0</v>
      </c>
      <c r="F54" s="37" t="s">
        <v>154</v>
      </c>
      <c r="G54" s="30" t="s">
        <v>152</v>
      </c>
      <c r="H54" s="30" t="s">
        <v>145</v>
      </c>
      <c r="I54" s="30" t="s">
        <v>145</v>
      </c>
      <c r="J54" s="30" t="s">
        <v>145</v>
      </c>
      <c r="K54" s="30" t="s">
        <v>145</v>
      </c>
      <c r="L54" s="30" t="s">
        <v>145</v>
      </c>
      <c r="M54" s="30" t="s">
        <v>145</v>
      </c>
      <c r="N54" s="30" t="s">
        <v>145</v>
      </c>
      <c r="O54" s="30" t="s">
        <v>145</v>
      </c>
      <c r="P54" s="30" t="s">
        <v>145</v>
      </c>
      <c r="Q54" s="30" t="s">
        <v>152</v>
      </c>
    </row>
    <row r="55" hidden="1">
      <c r="A55" s="33" t="str">
        <f>hyperlink("https://issues.sierrawireless.com/browse/OEMPRI-6293", "OEMPRI-6293")</f>
        <v>OEMPRI-6293</v>
      </c>
      <c r="B55" s="30" t="s">
        <v>139</v>
      </c>
      <c r="C55" s="30" t="s">
        <v>148</v>
      </c>
      <c r="D55" s="30" t="s">
        <v>148</v>
      </c>
      <c r="E55" s="35">
        <v>43155.0</v>
      </c>
      <c r="F55" s="37" t="s">
        <v>154</v>
      </c>
      <c r="G55" s="30" t="s">
        <v>152</v>
      </c>
      <c r="H55" s="30" t="s">
        <v>145</v>
      </c>
      <c r="I55" s="30" t="s">
        <v>145</v>
      </c>
      <c r="J55" s="30" t="s">
        <v>145</v>
      </c>
      <c r="K55" s="30" t="s">
        <v>145</v>
      </c>
      <c r="L55" s="30" t="s">
        <v>145</v>
      </c>
      <c r="M55" s="30" t="s">
        <v>145</v>
      </c>
      <c r="N55" s="30" t="s">
        <v>145</v>
      </c>
      <c r="O55" s="30" t="s">
        <v>145</v>
      </c>
      <c r="P55" s="30" t="s">
        <v>145</v>
      </c>
      <c r="Q55" s="30" t="s">
        <v>152</v>
      </c>
    </row>
    <row r="56" hidden="1">
      <c r="A56" s="33" t="str">
        <f>hyperlink("https://issues.sierrawireless.com/browse/OEMPRI-6291", "OEMPRI-6291")</f>
        <v>OEMPRI-6291</v>
      </c>
      <c r="B56" s="30" t="s">
        <v>139</v>
      </c>
      <c r="C56" s="30" t="s">
        <v>148</v>
      </c>
      <c r="D56" s="30" t="s">
        <v>148</v>
      </c>
      <c r="E56" s="35">
        <v>43155.0</v>
      </c>
      <c r="F56" s="37" t="s">
        <v>154</v>
      </c>
      <c r="G56" s="30" t="s">
        <v>152</v>
      </c>
      <c r="H56" s="30" t="s">
        <v>145</v>
      </c>
      <c r="I56" s="30" t="s">
        <v>145</v>
      </c>
      <c r="J56" s="30" t="s">
        <v>145</v>
      </c>
      <c r="K56" s="30" t="s">
        <v>145</v>
      </c>
      <c r="L56" s="30" t="s">
        <v>145</v>
      </c>
      <c r="M56" s="30" t="s">
        <v>145</v>
      </c>
      <c r="N56" s="30" t="s">
        <v>145</v>
      </c>
      <c r="O56" s="30" t="s">
        <v>145</v>
      </c>
      <c r="P56" s="30" t="s">
        <v>145</v>
      </c>
      <c r="Q56" s="30" t="s">
        <v>152</v>
      </c>
    </row>
    <row r="57" hidden="1">
      <c r="A57" s="33" t="str">
        <f>hyperlink("https://issues.sierrawireless.com/browse/OEMPRI-6295", "OEMPRI-6295")</f>
        <v>OEMPRI-6295</v>
      </c>
      <c r="B57" s="30" t="s">
        <v>139</v>
      </c>
      <c r="C57" s="30" t="s">
        <v>148</v>
      </c>
      <c r="D57" s="30" t="s">
        <v>148</v>
      </c>
      <c r="E57" s="35">
        <v>43155.0</v>
      </c>
      <c r="F57" s="37" t="s">
        <v>154</v>
      </c>
      <c r="G57" s="30" t="s">
        <v>152</v>
      </c>
      <c r="H57" s="30" t="s">
        <v>145</v>
      </c>
      <c r="I57" s="30" t="s">
        <v>145</v>
      </c>
      <c r="J57" s="30" t="s">
        <v>145</v>
      </c>
      <c r="K57" s="30" t="s">
        <v>145</v>
      </c>
      <c r="L57" s="30" t="s">
        <v>145</v>
      </c>
      <c r="M57" s="30" t="s">
        <v>145</v>
      </c>
      <c r="N57" s="30" t="s">
        <v>145</v>
      </c>
      <c r="O57" s="30" t="s">
        <v>145</v>
      </c>
      <c r="P57" s="30" t="s">
        <v>145</v>
      </c>
      <c r="Q57" s="30" t="s">
        <v>152</v>
      </c>
    </row>
    <row r="58" hidden="1">
      <c r="A58" s="33" t="str">
        <f>hyperlink("https://issues.sierrawireless.com/browse/RDDEVTOOL-967", "RDDEVTOOL-967")</f>
        <v>RDDEVTOOL-967</v>
      </c>
      <c r="B58" s="30" t="s">
        <v>86</v>
      </c>
      <c r="C58" s="30" t="s">
        <v>320</v>
      </c>
      <c r="D58" s="30" t="s">
        <v>490</v>
      </c>
      <c r="E58" s="35">
        <v>43172.0</v>
      </c>
      <c r="F58" s="37" t="s">
        <v>207</v>
      </c>
      <c r="G58" s="30" t="s">
        <v>492</v>
      </c>
      <c r="H58" s="30" t="s">
        <v>145</v>
      </c>
      <c r="I58" s="30" t="s">
        <v>145</v>
      </c>
      <c r="J58" s="30" t="s">
        <v>145</v>
      </c>
      <c r="K58" s="30" t="s">
        <v>152</v>
      </c>
      <c r="L58" s="30" t="s">
        <v>152</v>
      </c>
      <c r="M58" s="30" t="s">
        <v>493</v>
      </c>
      <c r="N58" s="30" t="s">
        <v>145</v>
      </c>
      <c r="O58" s="30" t="s">
        <v>145</v>
      </c>
      <c r="P58" s="30" t="s">
        <v>145</v>
      </c>
      <c r="Q58" s="30" t="s">
        <v>166</v>
      </c>
    </row>
    <row r="59" hidden="1">
      <c r="A59" s="33" t="str">
        <f>hyperlink("https://issues.sierrawireless.com/browse/QTI9X28-2910", "QTI9X28-2910")</f>
        <v>QTI9X28-2910</v>
      </c>
      <c r="B59" s="30" t="s">
        <v>496</v>
      </c>
      <c r="C59" s="30" t="s">
        <v>337</v>
      </c>
      <c r="D59" s="30" t="s">
        <v>329</v>
      </c>
      <c r="E59" s="35">
        <v>43108.0</v>
      </c>
      <c r="F59" s="37" t="s">
        <v>207</v>
      </c>
      <c r="G59" s="30" t="s">
        <v>497</v>
      </c>
      <c r="H59" s="30" t="s">
        <v>166</v>
      </c>
      <c r="I59" s="30" t="s">
        <v>166</v>
      </c>
      <c r="J59" s="30" t="s">
        <v>166</v>
      </c>
      <c r="K59" s="30" t="s">
        <v>166</v>
      </c>
      <c r="L59" s="30" t="s">
        <v>166</v>
      </c>
      <c r="M59" s="30" t="s">
        <v>166</v>
      </c>
      <c r="N59" s="30" t="s">
        <v>166</v>
      </c>
      <c r="O59" s="30" t="s">
        <v>166</v>
      </c>
      <c r="P59" s="30" t="s">
        <v>166</v>
      </c>
      <c r="Q59" s="30" t="s">
        <v>166</v>
      </c>
    </row>
    <row r="60" hidden="1">
      <c r="A60" s="33" t="str">
        <f>hyperlink("https://issues.sierrawireless.com/browse/QTI9X28-2904", "QTI9X28-2904")</f>
        <v>QTI9X28-2904</v>
      </c>
      <c r="B60" s="30" t="s">
        <v>139</v>
      </c>
      <c r="C60" s="30" t="s">
        <v>329</v>
      </c>
      <c r="D60" s="30" t="s">
        <v>329</v>
      </c>
      <c r="E60" s="35">
        <v>43105.0</v>
      </c>
      <c r="F60" s="37" t="s">
        <v>207</v>
      </c>
      <c r="G60" s="30" t="s">
        <v>503</v>
      </c>
      <c r="H60" s="30" t="s">
        <v>145</v>
      </c>
      <c r="I60" s="30" t="s">
        <v>145</v>
      </c>
      <c r="J60" s="30" t="s">
        <v>145</v>
      </c>
      <c r="K60" s="30" t="s">
        <v>145</v>
      </c>
      <c r="L60" s="30" t="s">
        <v>146</v>
      </c>
      <c r="M60" s="30" t="s">
        <v>504</v>
      </c>
      <c r="N60" s="30" t="s">
        <v>145</v>
      </c>
      <c r="O60" s="30" t="s">
        <v>145</v>
      </c>
      <c r="P60" s="30" t="s">
        <v>145</v>
      </c>
      <c r="Q60" s="30" t="s">
        <v>506</v>
      </c>
    </row>
    <row r="61" hidden="1">
      <c r="A61" s="33" t="str">
        <f>hyperlink("https://issues.sierrawireless.com/browse/OEMPRI-6289", "OEMPRI-6289")</f>
        <v>OEMPRI-6289</v>
      </c>
      <c r="B61" s="30" t="s">
        <v>139</v>
      </c>
      <c r="C61" s="30" t="s">
        <v>148</v>
      </c>
      <c r="D61" s="30" t="s">
        <v>148</v>
      </c>
      <c r="E61" s="35">
        <v>43155.0</v>
      </c>
      <c r="F61" s="37" t="s">
        <v>154</v>
      </c>
      <c r="G61" s="30" t="s">
        <v>152</v>
      </c>
      <c r="H61" s="30" t="s">
        <v>145</v>
      </c>
      <c r="I61" s="30" t="s">
        <v>145</v>
      </c>
      <c r="J61" s="30" t="s">
        <v>145</v>
      </c>
      <c r="K61" s="30" t="s">
        <v>145</v>
      </c>
      <c r="L61" s="30" t="s">
        <v>145</v>
      </c>
      <c r="M61" s="30" t="s">
        <v>145</v>
      </c>
      <c r="N61" s="30" t="s">
        <v>145</v>
      </c>
      <c r="O61" s="30" t="s">
        <v>145</v>
      </c>
      <c r="P61" s="30" t="s">
        <v>145</v>
      </c>
      <c r="Q61" s="30" t="s">
        <v>152</v>
      </c>
    </row>
    <row r="62" hidden="1">
      <c r="A62" s="33" t="str">
        <f>hyperlink("https://issues.sierrawireless.com/browse/OEMPRI-6770", "OEMPRI-6770")</f>
        <v>OEMPRI-6770</v>
      </c>
      <c r="B62" s="30" t="s">
        <v>139</v>
      </c>
      <c r="C62" s="30" t="s">
        <v>148</v>
      </c>
      <c r="D62" s="30" t="s">
        <v>122</v>
      </c>
      <c r="E62" s="35">
        <v>43202.0</v>
      </c>
      <c r="F62" s="37" t="s">
        <v>150</v>
      </c>
      <c r="G62" s="30" t="s">
        <v>514</v>
      </c>
      <c r="H62" s="30" t="s">
        <v>145</v>
      </c>
      <c r="I62" s="30" t="s">
        <v>145</v>
      </c>
      <c r="J62" s="30" t="s">
        <v>145</v>
      </c>
      <c r="K62" s="30" t="s">
        <v>145</v>
      </c>
      <c r="L62" s="30" t="s">
        <v>145</v>
      </c>
      <c r="M62" s="30" t="s">
        <v>145</v>
      </c>
      <c r="N62" s="30" t="s">
        <v>145</v>
      </c>
      <c r="O62" s="30" t="s">
        <v>145</v>
      </c>
      <c r="P62" s="30" t="s">
        <v>145</v>
      </c>
      <c r="Q62" s="30" t="s">
        <v>152</v>
      </c>
    </row>
    <row r="63" hidden="1">
      <c r="A63" s="33" t="str">
        <f>hyperlink("https://issues.sierrawireless.com/browse/CORONADO-1714", "CORONADO-1714")</f>
        <v>CORONADO-1714</v>
      </c>
      <c r="B63" s="30" t="s">
        <v>139</v>
      </c>
      <c r="C63" s="30" t="s">
        <v>140</v>
      </c>
      <c r="D63" s="30" t="s">
        <v>253</v>
      </c>
      <c r="E63" s="43">
        <v>43069.0</v>
      </c>
      <c r="F63" s="44" t="s">
        <v>162</v>
      </c>
      <c r="G63" s="30" t="s">
        <v>521</v>
      </c>
      <c r="H63" s="30" t="s">
        <v>145</v>
      </c>
      <c r="I63" s="30" t="s">
        <v>145</v>
      </c>
      <c r="J63" s="30" t="s">
        <v>145</v>
      </c>
      <c r="K63" s="30" t="s">
        <v>145</v>
      </c>
      <c r="L63" s="30" t="s">
        <v>145</v>
      </c>
      <c r="M63" s="30" t="s">
        <v>145</v>
      </c>
      <c r="N63" s="30" t="s">
        <v>145</v>
      </c>
      <c r="O63" s="30" t="s">
        <v>145</v>
      </c>
      <c r="P63" s="30" t="s">
        <v>145</v>
      </c>
      <c r="Q63" s="30" t="s">
        <v>146</v>
      </c>
    </row>
    <row r="64" hidden="1">
      <c r="A64" s="33" t="str">
        <f>hyperlink("https://issues.sierrawireless.com/browse/OEMPRI-7399", "OEMPRI-7399")</f>
        <v>OEMPRI-7399</v>
      </c>
      <c r="B64" s="30" t="s">
        <v>139</v>
      </c>
      <c r="C64" s="30" t="s">
        <v>148</v>
      </c>
      <c r="D64" s="30" t="s">
        <v>244</v>
      </c>
      <c r="E64" s="35">
        <v>43262.0</v>
      </c>
      <c r="F64" s="37" t="s">
        <v>150</v>
      </c>
      <c r="G64" s="30" t="s">
        <v>152</v>
      </c>
      <c r="H64" s="30" t="s">
        <v>145</v>
      </c>
      <c r="I64" s="30" t="s">
        <v>145</v>
      </c>
      <c r="J64" s="30" t="s">
        <v>145</v>
      </c>
      <c r="K64" s="30" t="s">
        <v>145</v>
      </c>
      <c r="L64" s="30" t="s">
        <v>145</v>
      </c>
      <c r="M64" s="30" t="s">
        <v>145</v>
      </c>
      <c r="N64" s="30" t="s">
        <v>145</v>
      </c>
      <c r="O64" s="30" t="s">
        <v>145</v>
      </c>
      <c r="P64" s="30" t="s">
        <v>145</v>
      </c>
      <c r="Q64" s="30" t="s">
        <v>152</v>
      </c>
    </row>
    <row r="65" hidden="1">
      <c r="A65" s="33" t="str">
        <f>hyperlink("https://issues.sierrawireless.com/browse/OEMPRI-6402", "OEMPRI-6402")</f>
        <v>OEMPRI-6402</v>
      </c>
      <c r="B65" s="30" t="s">
        <v>139</v>
      </c>
      <c r="C65" s="30" t="s">
        <v>148</v>
      </c>
      <c r="D65" s="30" t="s">
        <v>155</v>
      </c>
      <c r="E65" s="35">
        <v>43167.0</v>
      </c>
      <c r="F65" s="37" t="s">
        <v>150</v>
      </c>
      <c r="G65" s="30" t="s">
        <v>163</v>
      </c>
      <c r="H65" s="30" t="s">
        <v>145</v>
      </c>
      <c r="I65" s="30" t="s">
        <v>146</v>
      </c>
      <c r="J65" s="30" t="s">
        <v>531</v>
      </c>
      <c r="K65" s="30" t="s">
        <v>152</v>
      </c>
      <c r="L65" s="30" t="s">
        <v>152</v>
      </c>
      <c r="M65" s="30" t="s">
        <v>532</v>
      </c>
      <c r="N65" s="30" t="s">
        <v>152</v>
      </c>
      <c r="O65" s="30" t="s">
        <v>152</v>
      </c>
      <c r="P65" s="30" t="s">
        <v>152</v>
      </c>
      <c r="Q65" s="30" t="s">
        <v>152</v>
      </c>
    </row>
    <row r="66" hidden="1">
      <c r="A66" s="33" t="str">
        <f>hyperlink("https://issues.sierrawireless.com/browse/OEMPRI-6534", "OEMPRI-6534")</f>
        <v>OEMPRI-6534</v>
      </c>
      <c r="B66" s="30" t="s">
        <v>139</v>
      </c>
      <c r="C66" s="30" t="s">
        <v>140</v>
      </c>
      <c r="D66" s="30" t="s">
        <v>537</v>
      </c>
      <c r="E66" s="35">
        <v>43175.0</v>
      </c>
      <c r="F66" s="37" t="s">
        <v>143</v>
      </c>
      <c r="G66" s="30" t="s">
        <v>171</v>
      </c>
      <c r="H66" s="30" t="s">
        <v>540</v>
      </c>
      <c r="I66" s="30" t="s">
        <v>540</v>
      </c>
      <c r="J66" s="30" t="s">
        <v>145</v>
      </c>
      <c r="K66" s="30" t="s">
        <v>145</v>
      </c>
      <c r="L66" s="30" t="s">
        <v>145</v>
      </c>
      <c r="M66" s="30" t="s">
        <v>145</v>
      </c>
      <c r="N66" s="30" t="s">
        <v>145</v>
      </c>
      <c r="O66" s="30" t="s">
        <v>145</v>
      </c>
      <c r="P66" s="30" t="s">
        <v>145</v>
      </c>
      <c r="Q66" s="30" t="s">
        <v>146</v>
      </c>
    </row>
    <row r="67" hidden="1">
      <c r="A67" s="33" t="str">
        <f>hyperlink("https://issues.sierrawireless.com/browse/OEMPRI-6470", "OEMPRI-6470")</f>
        <v>OEMPRI-6470</v>
      </c>
      <c r="B67" s="30" t="s">
        <v>139</v>
      </c>
      <c r="C67" s="30" t="s">
        <v>140</v>
      </c>
      <c r="D67" s="30" t="s">
        <v>140</v>
      </c>
      <c r="E67" s="35">
        <v>43174.0</v>
      </c>
      <c r="F67" s="37" t="s">
        <v>269</v>
      </c>
      <c r="G67" s="30" t="s">
        <v>550</v>
      </c>
      <c r="H67" s="30" t="s">
        <v>145</v>
      </c>
      <c r="I67" s="30" t="s">
        <v>145</v>
      </c>
      <c r="J67" s="30" t="s">
        <v>145</v>
      </c>
      <c r="K67" s="30" t="s">
        <v>145</v>
      </c>
      <c r="L67" s="30" t="s">
        <v>145</v>
      </c>
      <c r="M67" s="30" t="s">
        <v>145</v>
      </c>
      <c r="N67" s="30" t="s">
        <v>145</v>
      </c>
      <c r="O67" s="30" t="s">
        <v>145</v>
      </c>
      <c r="P67" s="30" t="s">
        <v>145</v>
      </c>
      <c r="Q67" s="30" t="s">
        <v>146</v>
      </c>
    </row>
    <row r="68" hidden="1">
      <c r="A68" s="33" t="str">
        <f>hyperlink("https://issues.sierrawireless.com/browse/OEMPRI-6203", "OEMPRI-6203")</f>
        <v>OEMPRI-6203</v>
      </c>
      <c r="B68" s="30" t="s">
        <v>139</v>
      </c>
      <c r="C68" s="30" t="s">
        <v>148</v>
      </c>
      <c r="D68" s="30" t="s">
        <v>153</v>
      </c>
      <c r="E68" s="35">
        <v>43140.0</v>
      </c>
      <c r="F68" s="37" t="s">
        <v>154</v>
      </c>
      <c r="G68" s="30" t="s">
        <v>556</v>
      </c>
      <c r="H68" s="30" t="s">
        <v>145</v>
      </c>
      <c r="I68" s="30" t="s">
        <v>145</v>
      </c>
      <c r="J68" s="30" t="s">
        <v>145</v>
      </c>
      <c r="K68" s="30" t="s">
        <v>145</v>
      </c>
      <c r="L68" s="30" t="s">
        <v>145</v>
      </c>
      <c r="M68" s="30" t="s">
        <v>145</v>
      </c>
      <c r="N68" s="30" t="s">
        <v>145</v>
      </c>
      <c r="O68" s="30" t="s">
        <v>145</v>
      </c>
      <c r="P68" s="30" t="s">
        <v>145</v>
      </c>
      <c r="Q68" s="30" t="s">
        <v>152</v>
      </c>
    </row>
    <row r="69" hidden="1">
      <c r="A69" s="33" t="str">
        <f>hyperlink("https://issues.sierrawireless.com/browse/OEMPRI-6204", "OEMPRI-6204")</f>
        <v>OEMPRI-6204</v>
      </c>
      <c r="B69" s="30" t="s">
        <v>139</v>
      </c>
      <c r="C69" s="30" t="s">
        <v>140</v>
      </c>
      <c r="D69" s="30" t="s">
        <v>153</v>
      </c>
      <c r="E69" s="35">
        <v>43140.0</v>
      </c>
      <c r="F69" s="37" t="s">
        <v>154</v>
      </c>
      <c r="G69" s="30" t="s">
        <v>146</v>
      </c>
      <c r="H69" s="30" t="s">
        <v>145</v>
      </c>
      <c r="I69" s="30" t="s">
        <v>145</v>
      </c>
      <c r="J69" s="30" t="s">
        <v>145</v>
      </c>
      <c r="K69" s="30" t="s">
        <v>145</v>
      </c>
      <c r="L69" s="30" t="s">
        <v>145</v>
      </c>
      <c r="M69" s="30" t="s">
        <v>145</v>
      </c>
      <c r="N69" s="30" t="s">
        <v>145</v>
      </c>
      <c r="O69" s="30" t="s">
        <v>145</v>
      </c>
      <c r="P69" s="30" t="s">
        <v>145</v>
      </c>
      <c r="Q69" s="30" t="s">
        <v>146</v>
      </c>
    </row>
    <row r="70" hidden="1">
      <c r="A70" s="33" t="str">
        <f>hyperlink("https://issues.sierrawireless.com/browse/OEMPRI-6205", "OEMPRI-6205")</f>
        <v>OEMPRI-6205</v>
      </c>
      <c r="B70" s="30" t="s">
        <v>139</v>
      </c>
      <c r="C70" s="30" t="s">
        <v>310</v>
      </c>
      <c r="D70" s="30" t="s">
        <v>310</v>
      </c>
      <c r="E70" s="35">
        <v>43140.0</v>
      </c>
      <c r="F70" s="37" t="s">
        <v>154</v>
      </c>
      <c r="G70" s="30" t="s">
        <v>314</v>
      </c>
      <c r="H70" s="30" t="s">
        <v>145</v>
      </c>
      <c r="I70" s="30" t="s">
        <v>145</v>
      </c>
      <c r="J70" s="30" t="s">
        <v>145</v>
      </c>
      <c r="K70" s="30" t="s">
        <v>145</v>
      </c>
      <c r="L70" s="30" t="s">
        <v>145</v>
      </c>
      <c r="M70" s="30" t="s">
        <v>145</v>
      </c>
      <c r="N70" s="30" t="s">
        <v>145</v>
      </c>
      <c r="O70" s="30" t="s">
        <v>145</v>
      </c>
      <c r="P70" s="30" t="s">
        <v>145</v>
      </c>
      <c r="Q70" s="30" t="s">
        <v>314</v>
      </c>
    </row>
    <row r="71" hidden="1">
      <c r="A71" s="33" t="str">
        <f>hyperlink("https://issues.sierrawireless.com/browse/QTI9X40-2964", "QTI9X40-2964")</f>
        <v>QTI9X40-2964</v>
      </c>
      <c r="B71" s="30" t="s">
        <v>417</v>
      </c>
      <c r="C71" s="30" t="s">
        <v>140</v>
      </c>
      <c r="D71" s="30" t="s">
        <v>419</v>
      </c>
      <c r="E71" s="35">
        <v>43108.0</v>
      </c>
      <c r="F71" s="37" t="s">
        <v>207</v>
      </c>
      <c r="G71" s="30" t="s">
        <v>572</v>
      </c>
      <c r="H71" s="30" t="s">
        <v>145</v>
      </c>
      <c r="I71" s="30" t="s">
        <v>145</v>
      </c>
      <c r="J71" s="30" t="s">
        <v>145</v>
      </c>
      <c r="K71" s="30" t="s">
        <v>145</v>
      </c>
      <c r="L71" s="30" t="s">
        <v>145</v>
      </c>
      <c r="M71" s="30" t="s">
        <v>145</v>
      </c>
      <c r="N71" s="30" t="s">
        <v>145</v>
      </c>
      <c r="O71" s="30" t="s">
        <v>145</v>
      </c>
      <c r="P71" s="30" t="s">
        <v>145</v>
      </c>
      <c r="Q71" s="30" t="s">
        <v>166</v>
      </c>
    </row>
    <row r="72" hidden="1">
      <c r="A72" s="33" t="str">
        <f>hyperlink("https://issues.sierrawireless.com/browse/OEMPRI-6752", "OEMPRI-6752")</f>
        <v>OEMPRI-6752</v>
      </c>
      <c r="B72" s="30" t="s">
        <v>139</v>
      </c>
      <c r="C72" s="30" t="s">
        <v>140</v>
      </c>
      <c r="D72" s="30" t="s">
        <v>153</v>
      </c>
      <c r="E72" s="35">
        <v>43201.0</v>
      </c>
      <c r="F72" s="37" t="s">
        <v>269</v>
      </c>
      <c r="G72" s="30" t="s">
        <v>352</v>
      </c>
      <c r="H72" s="30" t="s">
        <v>145</v>
      </c>
      <c r="I72" s="30" t="s">
        <v>145</v>
      </c>
      <c r="J72" s="30" t="s">
        <v>145</v>
      </c>
      <c r="K72" s="30" t="s">
        <v>145</v>
      </c>
      <c r="L72" s="30" t="s">
        <v>145</v>
      </c>
      <c r="M72" s="30" t="s">
        <v>145</v>
      </c>
      <c r="N72" s="30" t="s">
        <v>145</v>
      </c>
      <c r="O72" s="30" t="s">
        <v>145</v>
      </c>
      <c r="P72" s="30" t="s">
        <v>145</v>
      </c>
      <c r="Q72" s="30" t="s">
        <v>146</v>
      </c>
    </row>
    <row r="73" hidden="1">
      <c r="A73" s="33" t="str">
        <f>hyperlink("https://issues.sierrawireless.com/browse/OEMPRI-6196", "OEMPRI-6196")</f>
        <v>OEMPRI-6196</v>
      </c>
      <c r="B73" s="30" t="s">
        <v>139</v>
      </c>
      <c r="C73" s="30" t="s">
        <v>148</v>
      </c>
      <c r="D73" s="30" t="s">
        <v>153</v>
      </c>
      <c r="E73" s="35">
        <v>43139.0</v>
      </c>
      <c r="F73" s="37" t="s">
        <v>154</v>
      </c>
      <c r="G73" s="30" t="s">
        <v>151</v>
      </c>
      <c r="H73" s="30" t="s">
        <v>145</v>
      </c>
      <c r="I73" s="30" t="s">
        <v>145</v>
      </c>
      <c r="J73" s="30" t="s">
        <v>145</v>
      </c>
      <c r="K73" s="30" t="s">
        <v>145</v>
      </c>
      <c r="L73" s="30" t="s">
        <v>145</v>
      </c>
      <c r="M73" s="30" t="s">
        <v>145</v>
      </c>
      <c r="N73" s="30" t="s">
        <v>145</v>
      </c>
      <c r="O73" s="30" t="s">
        <v>145</v>
      </c>
      <c r="P73" s="30" t="s">
        <v>145</v>
      </c>
      <c r="Q73" s="30" t="s">
        <v>152</v>
      </c>
    </row>
    <row r="74" hidden="1">
      <c r="A74" s="33" t="str">
        <f>hyperlink("https://issues.sierrawireless.com/browse/OEMPRI-6195", "OEMPRI-6195")</f>
        <v>OEMPRI-6195</v>
      </c>
      <c r="B74" s="30" t="s">
        <v>139</v>
      </c>
      <c r="C74" s="30" t="s">
        <v>310</v>
      </c>
      <c r="D74" s="30" t="s">
        <v>310</v>
      </c>
      <c r="E74" s="35">
        <v>43139.0</v>
      </c>
      <c r="F74" s="37" t="s">
        <v>143</v>
      </c>
      <c r="G74" s="30" t="s">
        <v>314</v>
      </c>
      <c r="H74" s="30" t="s">
        <v>145</v>
      </c>
      <c r="I74" s="30" t="s">
        <v>145</v>
      </c>
      <c r="J74" s="30" t="s">
        <v>145</v>
      </c>
      <c r="K74" s="30" t="s">
        <v>145</v>
      </c>
      <c r="L74" s="30" t="s">
        <v>145</v>
      </c>
      <c r="M74" s="30" t="s">
        <v>145</v>
      </c>
      <c r="N74" s="30" t="s">
        <v>145</v>
      </c>
      <c r="O74" s="30" t="s">
        <v>145</v>
      </c>
      <c r="P74" s="30" t="s">
        <v>145</v>
      </c>
      <c r="Q74" s="30" t="s">
        <v>314</v>
      </c>
    </row>
    <row r="75" hidden="1">
      <c r="A75" s="33" t="str">
        <f>hyperlink("https://issues.sierrawireless.com/browse/OEMPRI-6197", "OEMPRI-6197")</f>
        <v>OEMPRI-6197</v>
      </c>
      <c r="B75" s="30" t="s">
        <v>139</v>
      </c>
      <c r="C75" s="30" t="s">
        <v>310</v>
      </c>
      <c r="D75" s="30" t="s">
        <v>310</v>
      </c>
      <c r="E75" s="35">
        <v>43139.0</v>
      </c>
      <c r="F75" s="37" t="s">
        <v>143</v>
      </c>
      <c r="G75" s="30" t="s">
        <v>314</v>
      </c>
      <c r="H75" s="30" t="s">
        <v>145</v>
      </c>
      <c r="I75" s="30" t="s">
        <v>145</v>
      </c>
      <c r="J75" s="30" t="s">
        <v>145</v>
      </c>
      <c r="K75" s="30" t="s">
        <v>145</v>
      </c>
      <c r="L75" s="30" t="s">
        <v>145</v>
      </c>
      <c r="M75" s="30" t="s">
        <v>145</v>
      </c>
      <c r="N75" s="30" t="s">
        <v>145</v>
      </c>
      <c r="O75" s="30" t="s">
        <v>145</v>
      </c>
      <c r="P75" s="30" t="s">
        <v>145</v>
      </c>
      <c r="Q75" s="30" t="s">
        <v>314</v>
      </c>
    </row>
    <row r="76" hidden="1">
      <c r="A76" s="33" t="str">
        <f>hyperlink("https://issues.sierrawireless.com/browse/OEMPRI-6185", "OEMPRI-6185")</f>
        <v>OEMPRI-6185</v>
      </c>
      <c r="B76" s="30" t="s">
        <v>139</v>
      </c>
      <c r="C76" s="30" t="s">
        <v>148</v>
      </c>
      <c r="D76" s="30" t="s">
        <v>140</v>
      </c>
      <c r="E76" s="35">
        <v>43138.0</v>
      </c>
      <c r="F76" s="37" t="s">
        <v>154</v>
      </c>
      <c r="G76" s="30" t="s">
        <v>152</v>
      </c>
      <c r="H76" s="30" t="s">
        <v>145</v>
      </c>
      <c r="I76" s="30" t="s">
        <v>145</v>
      </c>
      <c r="J76" s="30" t="s">
        <v>145</v>
      </c>
      <c r="K76" s="30" t="s">
        <v>145</v>
      </c>
      <c r="L76" s="30" t="s">
        <v>145</v>
      </c>
      <c r="M76" s="30" t="s">
        <v>145</v>
      </c>
      <c r="N76" s="30" t="s">
        <v>145</v>
      </c>
      <c r="O76" s="30" t="s">
        <v>145</v>
      </c>
      <c r="P76" s="30" t="s">
        <v>145</v>
      </c>
      <c r="Q76" s="30" t="s">
        <v>152</v>
      </c>
    </row>
    <row r="77" hidden="1">
      <c r="A77" s="33" t="str">
        <f>hyperlink("https://issues.sierrawireless.com/browse/OEMPRI-6189", "OEMPRI-6189")</f>
        <v>OEMPRI-6189</v>
      </c>
      <c r="B77" s="30" t="s">
        <v>139</v>
      </c>
      <c r="C77" s="30" t="s">
        <v>310</v>
      </c>
      <c r="D77" s="30" t="s">
        <v>310</v>
      </c>
      <c r="E77" s="35">
        <v>43138.0</v>
      </c>
      <c r="F77" s="37" t="s">
        <v>154</v>
      </c>
      <c r="G77" s="30" t="s">
        <v>314</v>
      </c>
      <c r="H77" s="30" t="s">
        <v>145</v>
      </c>
      <c r="I77" s="30" t="s">
        <v>145</v>
      </c>
      <c r="J77" s="30" t="s">
        <v>145</v>
      </c>
      <c r="K77" s="30" t="s">
        <v>145</v>
      </c>
      <c r="L77" s="30" t="s">
        <v>145</v>
      </c>
      <c r="M77" s="30" t="s">
        <v>145</v>
      </c>
      <c r="N77" s="30" t="s">
        <v>145</v>
      </c>
      <c r="O77" s="30" t="s">
        <v>145</v>
      </c>
      <c r="P77" s="30" t="s">
        <v>145</v>
      </c>
      <c r="Q77" s="30" t="s">
        <v>591</v>
      </c>
    </row>
    <row r="78" hidden="1">
      <c r="A78" s="33" t="str">
        <f>hyperlink("https://issues.sierrawireless.com/browse/OEMPRI-6162", "OEMPRI-6162")</f>
        <v>OEMPRI-6162</v>
      </c>
      <c r="B78" s="30" t="s">
        <v>139</v>
      </c>
      <c r="C78" s="30" t="s">
        <v>310</v>
      </c>
      <c r="D78" s="30" t="s">
        <v>310</v>
      </c>
      <c r="E78" s="35">
        <v>43137.0</v>
      </c>
      <c r="F78" s="37" t="s">
        <v>143</v>
      </c>
      <c r="G78" s="30" t="s">
        <v>314</v>
      </c>
      <c r="H78" s="30" t="s">
        <v>145</v>
      </c>
      <c r="I78" s="30" t="s">
        <v>145</v>
      </c>
      <c r="J78" s="30" t="s">
        <v>145</v>
      </c>
      <c r="K78" s="30" t="s">
        <v>145</v>
      </c>
      <c r="L78" s="30" t="s">
        <v>145</v>
      </c>
      <c r="M78" s="30" t="s">
        <v>145</v>
      </c>
      <c r="N78" s="30" t="s">
        <v>145</v>
      </c>
      <c r="O78" s="30" t="s">
        <v>145</v>
      </c>
      <c r="P78" s="30" t="s">
        <v>145</v>
      </c>
      <c r="Q78" s="30" t="s">
        <v>314</v>
      </c>
    </row>
    <row r="79" hidden="1">
      <c r="A79" s="33" t="str">
        <f>hyperlink("https://issues.sierrawireless.com/browse/OEMPRI-6163", "OEMPRI-6163")</f>
        <v>OEMPRI-6163</v>
      </c>
      <c r="B79" s="30" t="s">
        <v>139</v>
      </c>
      <c r="C79" s="30" t="s">
        <v>140</v>
      </c>
      <c r="D79" s="30" t="s">
        <v>140</v>
      </c>
      <c r="E79" s="35">
        <v>43137.0</v>
      </c>
      <c r="F79" s="37" t="s">
        <v>154</v>
      </c>
      <c r="G79" s="30" t="s">
        <v>146</v>
      </c>
      <c r="H79" s="30" t="s">
        <v>145</v>
      </c>
      <c r="I79" s="30" t="s">
        <v>145</v>
      </c>
      <c r="J79" s="30" t="s">
        <v>145</v>
      </c>
      <c r="K79" s="30" t="s">
        <v>145</v>
      </c>
      <c r="L79" s="30" t="s">
        <v>145</v>
      </c>
      <c r="M79" s="30" t="s">
        <v>145</v>
      </c>
      <c r="N79" s="30" t="s">
        <v>145</v>
      </c>
      <c r="O79" s="30" t="s">
        <v>145</v>
      </c>
      <c r="P79" s="30" t="s">
        <v>145</v>
      </c>
      <c r="Q79" s="30" t="s">
        <v>146</v>
      </c>
    </row>
    <row r="80" hidden="1">
      <c r="A80" s="33" t="str">
        <f>hyperlink("https://issues.sierrawireless.com/browse/OEMPRI-6164", "OEMPRI-6164")</f>
        <v>OEMPRI-6164</v>
      </c>
      <c r="B80" s="30" t="s">
        <v>139</v>
      </c>
      <c r="C80" s="30" t="s">
        <v>310</v>
      </c>
      <c r="D80" s="30" t="s">
        <v>140</v>
      </c>
      <c r="E80" s="35">
        <v>43137.0</v>
      </c>
      <c r="F80" s="37" t="s">
        <v>154</v>
      </c>
      <c r="G80" s="30" t="s">
        <v>314</v>
      </c>
      <c r="H80" s="30" t="s">
        <v>145</v>
      </c>
      <c r="I80" s="30" t="s">
        <v>145</v>
      </c>
      <c r="J80" s="30" t="s">
        <v>145</v>
      </c>
      <c r="K80" s="30" t="s">
        <v>145</v>
      </c>
      <c r="L80" s="30" t="s">
        <v>145</v>
      </c>
      <c r="M80" s="30" t="s">
        <v>145</v>
      </c>
      <c r="N80" s="30" t="s">
        <v>145</v>
      </c>
      <c r="O80" s="30" t="s">
        <v>145</v>
      </c>
      <c r="P80" s="30" t="s">
        <v>145</v>
      </c>
      <c r="Q80" s="30" t="s">
        <v>314</v>
      </c>
    </row>
    <row r="81" hidden="1">
      <c r="A81" s="33" t="str">
        <f>hyperlink("https://issues.sierrawireless.com/browse/QTI9X40-2950", "QTI9X40-2950")</f>
        <v>QTI9X40-2950</v>
      </c>
      <c r="B81" s="30" t="s">
        <v>610</v>
      </c>
      <c r="C81" s="30" t="s">
        <v>140</v>
      </c>
      <c r="D81" s="30" t="s">
        <v>206</v>
      </c>
      <c r="E81" s="35">
        <v>43105.0</v>
      </c>
      <c r="F81" s="37" t="s">
        <v>207</v>
      </c>
      <c r="G81" s="30" t="s">
        <v>611</v>
      </c>
      <c r="H81" s="30" t="s">
        <v>145</v>
      </c>
      <c r="I81" s="30" t="s">
        <v>145</v>
      </c>
      <c r="J81" s="30" t="s">
        <v>145</v>
      </c>
      <c r="K81" s="30" t="s">
        <v>145</v>
      </c>
      <c r="L81" s="30" t="s">
        <v>145</v>
      </c>
      <c r="M81" s="30" t="s">
        <v>145</v>
      </c>
      <c r="N81" s="30" t="s">
        <v>145</v>
      </c>
      <c r="O81" s="30" t="s">
        <v>145</v>
      </c>
      <c r="P81" s="30" t="s">
        <v>145</v>
      </c>
      <c r="Q81" s="30" t="s">
        <v>166</v>
      </c>
    </row>
    <row r="82" hidden="1">
      <c r="A82" s="33" t="str">
        <f>hyperlink("https://issues.sierrawireless.com/browse/OEMPRI-6157", "OEMPRI-6157")</f>
        <v>OEMPRI-6157</v>
      </c>
      <c r="B82" s="30" t="s">
        <v>139</v>
      </c>
      <c r="C82" s="30" t="s">
        <v>148</v>
      </c>
      <c r="D82" s="30" t="s">
        <v>244</v>
      </c>
      <c r="E82" s="35">
        <v>43137.0</v>
      </c>
      <c r="F82" s="37" t="s">
        <v>150</v>
      </c>
      <c r="G82" s="30" t="s">
        <v>213</v>
      </c>
      <c r="H82" s="30" t="s">
        <v>145</v>
      </c>
      <c r="I82" s="30" t="s">
        <v>152</v>
      </c>
      <c r="J82" s="30" t="s">
        <v>618</v>
      </c>
      <c r="K82" s="30" t="s">
        <v>407</v>
      </c>
      <c r="L82" s="30" t="s">
        <v>407</v>
      </c>
      <c r="M82" s="30" t="s">
        <v>506</v>
      </c>
      <c r="N82" s="30" t="s">
        <v>152</v>
      </c>
      <c r="O82" s="30" t="s">
        <v>152</v>
      </c>
      <c r="P82" s="30" t="s">
        <v>152</v>
      </c>
      <c r="Q82" s="30" t="s">
        <v>152</v>
      </c>
    </row>
    <row r="83" hidden="1">
      <c r="A83" s="33" t="str">
        <f>hyperlink("https://issues.sierrawireless.com/browse/CORONADO-1742", "CORONADO-1742")</f>
        <v>CORONADO-1742</v>
      </c>
      <c r="B83" s="30" t="s">
        <v>139</v>
      </c>
      <c r="C83" s="30" t="s">
        <v>140</v>
      </c>
      <c r="D83" s="30" t="s">
        <v>140</v>
      </c>
      <c r="E83" s="35">
        <v>43082.0</v>
      </c>
      <c r="F83" s="37" t="s">
        <v>207</v>
      </c>
      <c r="G83" s="30" t="s">
        <v>624</v>
      </c>
      <c r="H83" s="30" t="s">
        <v>145</v>
      </c>
      <c r="I83" s="30" t="s">
        <v>145</v>
      </c>
      <c r="J83" s="30" t="s">
        <v>145</v>
      </c>
      <c r="K83" s="30" t="s">
        <v>145</v>
      </c>
      <c r="L83" s="30" t="s">
        <v>404</v>
      </c>
      <c r="M83" s="30" t="s">
        <v>626</v>
      </c>
      <c r="N83" s="30" t="s">
        <v>145</v>
      </c>
      <c r="O83" s="30" t="s">
        <v>145</v>
      </c>
      <c r="P83" s="30" t="s">
        <v>145</v>
      </c>
      <c r="Q83" s="30" t="s">
        <v>146</v>
      </c>
    </row>
    <row r="84" hidden="1">
      <c r="A84" s="33" t="str">
        <f>hyperlink("https://issues.sierrawireless.com/browse/OEMPRI-6141", "OEMPRI-6141")</f>
        <v>OEMPRI-6141</v>
      </c>
      <c r="B84" s="30" t="s">
        <v>139</v>
      </c>
      <c r="C84" s="30" t="s">
        <v>140</v>
      </c>
      <c r="D84" s="30" t="s">
        <v>148</v>
      </c>
      <c r="E84" s="35">
        <v>43136.0</v>
      </c>
      <c r="F84" s="37" t="s">
        <v>154</v>
      </c>
      <c r="G84" s="30" t="s">
        <v>163</v>
      </c>
      <c r="H84" s="30" t="s">
        <v>145</v>
      </c>
      <c r="I84" s="30" t="s">
        <v>145</v>
      </c>
      <c r="J84" s="30" t="s">
        <v>145</v>
      </c>
      <c r="K84" s="30" t="s">
        <v>145</v>
      </c>
      <c r="L84" s="30" t="s">
        <v>145</v>
      </c>
      <c r="M84" s="30" t="s">
        <v>145</v>
      </c>
      <c r="N84" s="30" t="s">
        <v>145</v>
      </c>
      <c r="O84" s="30" t="s">
        <v>145</v>
      </c>
      <c r="P84" s="30" t="s">
        <v>145</v>
      </c>
      <c r="Q84" s="30" t="s">
        <v>146</v>
      </c>
    </row>
    <row r="85" hidden="1">
      <c r="A85" s="33" t="str">
        <f>hyperlink("https://issues.sierrawireless.com/browse/OEMPRI-6142", "OEMPRI-6142")</f>
        <v>OEMPRI-6142</v>
      </c>
      <c r="B85" s="30" t="s">
        <v>139</v>
      </c>
      <c r="C85" s="30" t="s">
        <v>140</v>
      </c>
      <c r="D85" s="30" t="s">
        <v>148</v>
      </c>
      <c r="E85" s="35">
        <v>43136.0</v>
      </c>
      <c r="F85" s="37" t="s">
        <v>154</v>
      </c>
      <c r="G85" s="30" t="s">
        <v>163</v>
      </c>
      <c r="H85" s="30" t="s">
        <v>145</v>
      </c>
      <c r="I85" s="30" t="s">
        <v>145</v>
      </c>
      <c r="J85" s="30" t="s">
        <v>145</v>
      </c>
      <c r="K85" s="30" t="s">
        <v>145</v>
      </c>
      <c r="L85" s="30" t="s">
        <v>145</v>
      </c>
      <c r="M85" s="30" t="s">
        <v>145</v>
      </c>
      <c r="N85" s="30" t="s">
        <v>145</v>
      </c>
      <c r="O85" s="30" t="s">
        <v>145</v>
      </c>
      <c r="P85" s="30" t="s">
        <v>145</v>
      </c>
      <c r="Q85" s="30" t="s">
        <v>146</v>
      </c>
    </row>
    <row r="86" hidden="1">
      <c r="A86" s="33" t="str">
        <f>hyperlink("https://issues.sierrawireless.com/browse/OEMPRI-6144", "OEMPRI-6144")</f>
        <v>OEMPRI-6144</v>
      </c>
      <c r="B86" s="30" t="s">
        <v>139</v>
      </c>
      <c r="C86" s="30" t="s">
        <v>140</v>
      </c>
      <c r="D86" s="30" t="s">
        <v>148</v>
      </c>
      <c r="E86" s="35">
        <v>43136.0</v>
      </c>
      <c r="F86" s="37" t="s">
        <v>154</v>
      </c>
      <c r="G86" s="30" t="s">
        <v>163</v>
      </c>
      <c r="H86" s="30" t="s">
        <v>145</v>
      </c>
      <c r="I86" s="30" t="s">
        <v>145</v>
      </c>
      <c r="J86" s="30" t="s">
        <v>145</v>
      </c>
      <c r="K86" s="30" t="s">
        <v>145</v>
      </c>
      <c r="L86" s="30" t="s">
        <v>145</v>
      </c>
      <c r="M86" s="30" t="s">
        <v>145</v>
      </c>
      <c r="N86" s="30" t="s">
        <v>145</v>
      </c>
      <c r="O86" s="30" t="s">
        <v>145</v>
      </c>
      <c r="P86" s="30" t="s">
        <v>145</v>
      </c>
      <c r="Q86" s="30" t="s">
        <v>146</v>
      </c>
    </row>
    <row r="87" hidden="1">
      <c r="A87" s="33" t="str">
        <f>hyperlink("https://issues.sierrawireless.com/browse/CORONADO-1669", "CORONADO-1669")</f>
        <v>CORONADO-1669</v>
      </c>
      <c r="B87" s="30" t="s">
        <v>139</v>
      </c>
      <c r="C87" s="30" t="s">
        <v>652</v>
      </c>
      <c r="D87" s="30" t="s">
        <v>652</v>
      </c>
      <c r="E87" s="43">
        <v>43059.0</v>
      </c>
      <c r="F87" s="44" t="s">
        <v>165</v>
      </c>
      <c r="G87" s="30" t="s">
        <v>654</v>
      </c>
      <c r="H87" s="30" t="s">
        <v>145</v>
      </c>
      <c r="I87" s="30" t="s">
        <v>145</v>
      </c>
      <c r="J87" s="30" t="s">
        <v>145</v>
      </c>
      <c r="K87" s="30" t="s">
        <v>145</v>
      </c>
      <c r="L87" s="30" t="s">
        <v>146</v>
      </c>
      <c r="M87" s="2" t="s">
        <v>146</v>
      </c>
      <c r="N87" s="30" t="s">
        <v>145</v>
      </c>
      <c r="O87" s="30" t="s">
        <v>145</v>
      </c>
      <c r="P87" s="30" t="s">
        <v>145</v>
      </c>
      <c r="Q87" s="30" t="s">
        <v>146</v>
      </c>
    </row>
    <row r="88" hidden="1">
      <c r="A88" s="33" t="str">
        <f>hyperlink("https://issues.sierrawireless.com/browse/OEMPRI-6148", "OEMPRI-6148")</f>
        <v>OEMPRI-6148</v>
      </c>
      <c r="B88" s="30" t="s">
        <v>139</v>
      </c>
      <c r="C88" s="30" t="s">
        <v>141</v>
      </c>
      <c r="D88" s="30" t="s">
        <v>141</v>
      </c>
      <c r="E88" s="35">
        <v>43136.0</v>
      </c>
      <c r="F88" s="37" t="s">
        <v>150</v>
      </c>
      <c r="G88" s="30" t="s">
        <v>660</v>
      </c>
      <c r="H88" s="30" t="s">
        <v>223</v>
      </c>
      <c r="I88" s="30" t="s">
        <v>146</v>
      </c>
      <c r="J88" s="30" t="s">
        <v>189</v>
      </c>
      <c r="K88" s="30" t="s">
        <v>556</v>
      </c>
      <c r="L88" s="30" t="s">
        <v>152</v>
      </c>
      <c r="M88" s="30" t="s">
        <v>661</v>
      </c>
      <c r="N88" s="30" t="s">
        <v>145</v>
      </c>
      <c r="O88" s="30" t="s">
        <v>145</v>
      </c>
      <c r="P88" s="30" t="s">
        <v>145</v>
      </c>
      <c r="Q88" s="30" t="s">
        <v>664</v>
      </c>
    </row>
    <row r="89" hidden="1">
      <c r="A89" s="33" t="str">
        <f>hyperlink("https://issues.sierrawireless.com/browse/OEMPRI-6300", "OEMPRI-6300")</f>
        <v>OEMPRI-6300</v>
      </c>
      <c r="B89" s="30" t="s">
        <v>139</v>
      </c>
      <c r="C89" s="30" t="s">
        <v>155</v>
      </c>
      <c r="D89" s="30" t="s">
        <v>609</v>
      </c>
      <c r="E89" s="35">
        <v>43157.0</v>
      </c>
      <c r="F89" s="37" t="s">
        <v>150</v>
      </c>
      <c r="G89" s="30" t="s">
        <v>153</v>
      </c>
      <c r="H89" s="30" t="s">
        <v>668</v>
      </c>
      <c r="I89" s="30" t="s">
        <v>146</v>
      </c>
      <c r="J89" s="30" t="s">
        <v>146</v>
      </c>
      <c r="K89" s="30" t="s">
        <v>152</v>
      </c>
      <c r="L89" s="30" t="s">
        <v>152</v>
      </c>
      <c r="M89" s="30" t="s">
        <v>671</v>
      </c>
      <c r="N89" s="30" t="s">
        <v>145</v>
      </c>
      <c r="O89" s="30" t="s">
        <v>145</v>
      </c>
      <c r="P89" s="30" t="s">
        <v>145</v>
      </c>
      <c r="Q89" s="30" t="s">
        <v>159</v>
      </c>
    </row>
    <row r="90" hidden="1">
      <c r="A90" s="33" t="str">
        <f>hyperlink("https://issues.sierrawireless.com/browse/OEMPRI-6458", "OEMPRI-6458")</f>
        <v>OEMPRI-6458</v>
      </c>
      <c r="B90" s="30" t="s">
        <v>139</v>
      </c>
      <c r="C90" s="30" t="s">
        <v>122</v>
      </c>
      <c r="D90" s="30" t="s">
        <v>122</v>
      </c>
      <c r="E90" s="35">
        <v>43173.0</v>
      </c>
      <c r="F90" s="37" t="s">
        <v>150</v>
      </c>
      <c r="G90" s="30" t="s">
        <v>676</v>
      </c>
      <c r="H90" s="30" t="s">
        <v>212</v>
      </c>
      <c r="I90" s="30" t="s">
        <v>212</v>
      </c>
      <c r="J90" s="30" t="s">
        <v>212</v>
      </c>
      <c r="K90" s="30" t="s">
        <v>212</v>
      </c>
      <c r="L90" s="30" t="s">
        <v>212</v>
      </c>
      <c r="M90" s="30" t="s">
        <v>678</v>
      </c>
      <c r="N90" s="30" t="s">
        <v>145</v>
      </c>
      <c r="O90" s="30" t="s">
        <v>145</v>
      </c>
      <c r="P90" s="30" t="s">
        <v>145</v>
      </c>
      <c r="Q90" s="30" t="s">
        <v>679</v>
      </c>
    </row>
    <row r="91" hidden="1">
      <c r="A91" s="33" t="str">
        <f>hyperlink("https://issues.sierrawireless.com/browse/OEMPRI-6457", "OEMPRI-6457")</f>
        <v>OEMPRI-6457</v>
      </c>
      <c r="B91" s="30" t="s">
        <v>139</v>
      </c>
      <c r="C91" s="30" t="s">
        <v>122</v>
      </c>
      <c r="D91" s="30" t="s">
        <v>122</v>
      </c>
      <c r="E91" s="35">
        <v>43173.0</v>
      </c>
      <c r="F91" s="37" t="s">
        <v>150</v>
      </c>
      <c r="G91" s="30" t="s">
        <v>685</v>
      </c>
      <c r="H91" s="30" t="s">
        <v>145</v>
      </c>
      <c r="I91" s="30" t="s">
        <v>212</v>
      </c>
      <c r="J91" s="30" t="s">
        <v>212</v>
      </c>
      <c r="K91" s="30" t="s">
        <v>212</v>
      </c>
      <c r="L91" s="30" t="s">
        <v>152</v>
      </c>
      <c r="M91" s="30" t="s">
        <v>686</v>
      </c>
      <c r="N91" s="30" t="s">
        <v>679</v>
      </c>
      <c r="O91" s="30" t="s">
        <v>145</v>
      </c>
      <c r="P91" s="30" t="s">
        <v>145</v>
      </c>
      <c r="Q91" s="30" t="s">
        <v>687</v>
      </c>
    </row>
    <row r="92" hidden="1">
      <c r="A92" s="33" t="str">
        <f>hyperlink("https://issues.sierrawireless.com/browse/OEMPRI-7807", "OEMPRI-7807")</f>
        <v>OEMPRI-7807</v>
      </c>
      <c r="B92" s="30" t="s">
        <v>139</v>
      </c>
      <c r="C92" s="30" t="s">
        <v>148</v>
      </c>
      <c r="D92" s="30" t="s">
        <v>122</v>
      </c>
      <c r="E92" s="35">
        <v>43304.0</v>
      </c>
      <c r="F92" s="37" t="s">
        <v>150</v>
      </c>
      <c r="G92" s="30" t="s">
        <v>152</v>
      </c>
      <c r="H92" s="30" t="s">
        <v>145</v>
      </c>
      <c r="I92" s="30" t="s">
        <v>145</v>
      </c>
      <c r="J92" s="30" t="s">
        <v>145</v>
      </c>
      <c r="K92" s="30" t="s">
        <v>145</v>
      </c>
      <c r="L92" s="30" t="s">
        <v>145</v>
      </c>
      <c r="M92" s="30" t="s">
        <v>145</v>
      </c>
      <c r="N92" s="30" t="s">
        <v>145</v>
      </c>
      <c r="O92" s="30" t="s">
        <v>145</v>
      </c>
      <c r="P92" s="30" t="s">
        <v>145</v>
      </c>
      <c r="Q92" s="30" t="s">
        <v>152</v>
      </c>
    </row>
    <row r="93" hidden="1">
      <c r="A93" s="33" t="str">
        <f>hyperlink("https://issues.sierrawireless.com/browse/OEMPRI-6150", "OEMPRI-6150")</f>
        <v>OEMPRI-6150</v>
      </c>
      <c r="B93" s="30" t="s">
        <v>139</v>
      </c>
      <c r="C93" s="30" t="s">
        <v>310</v>
      </c>
      <c r="D93" s="30" t="s">
        <v>310</v>
      </c>
      <c r="E93" s="35">
        <v>43136.0</v>
      </c>
      <c r="F93" s="37" t="s">
        <v>143</v>
      </c>
      <c r="G93" s="30" t="s">
        <v>314</v>
      </c>
      <c r="H93" s="30" t="s">
        <v>145</v>
      </c>
      <c r="I93" s="30" t="s">
        <v>145</v>
      </c>
      <c r="J93" s="30" t="s">
        <v>145</v>
      </c>
      <c r="K93" s="30" t="s">
        <v>145</v>
      </c>
      <c r="L93" s="30" t="s">
        <v>145</v>
      </c>
      <c r="M93" s="30" t="s">
        <v>145</v>
      </c>
      <c r="N93" s="30" t="s">
        <v>145</v>
      </c>
      <c r="O93" s="30" t="s">
        <v>145</v>
      </c>
      <c r="P93" s="30" t="s">
        <v>145</v>
      </c>
      <c r="Q93" s="30" t="s">
        <v>314</v>
      </c>
    </row>
    <row r="94" hidden="1">
      <c r="A94" s="33" t="str">
        <f>hyperlink("https://issues.sierrawireless.com/browse/OEMPRI-6124", "OEMPRI-6124")</f>
        <v>OEMPRI-6124</v>
      </c>
      <c r="B94" s="30" t="s">
        <v>139</v>
      </c>
      <c r="C94" s="30" t="s">
        <v>140</v>
      </c>
      <c r="D94" s="30" t="s">
        <v>148</v>
      </c>
      <c r="E94" s="35">
        <v>43133.0</v>
      </c>
      <c r="F94" s="37" t="s">
        <v>154</v>
      </c>
      <c r="G94" s="30" t="s">
        <v>144</v>
      </c>
      <c r="H94" s="30" t="s">
        <v>145</v>
      </c>
      <c r="I94" s="30" t="s">
        <v>145</v>
      </c>
      <c r="J94" s="30" t="s">
        <v>145</v>
      </c>
      <c r="K94" s="30" t="s">
        <v>145</v>
      </c>
      <c r="L94" s="30" t="s">
        <v>145</v>
      </c>
      <c r="M94" s="30" t="s">
        <v>145</v>
      </c>
      <c r="N94" s="30" t="s">
        <v>145</v>
      </c>
      <c r="O94" s="30" t="s">
        <v>145</v>
      </c>
      <c r="P94" s="30" t="s">
        <v>145</v>
      </c>
      <c r="Q94" s="30" t="s">
        <v>146</v>
      </c>
    </row>
    <row r="95" hidden="1">
      <c r="A95" s="33" t="str">
        <f>hyperlink("https://issues.sierrawireless.com/browse/OEMPRI-6125", "OEMPRI-6125")</f>
        <v>OEMPRI-6125</v>
      </c>
      <c r="B95" s="30" t="s">
        <v>139</v>
      </c>
      <c r="C95" s="30" t="s">
        <v>140</v>
      </c>
      <c r="D95" s="30" t="s">
        <v>148</v>
      </c>
      <c r="E95" s="35">
        <v>43133.0</v>
      </c>
      <c r="F95" s="37" t="s">
        <v>154</v>
      </c>
      <c r="G95" s="30" t="s">
        <v>144</v>
      </c>
      <c r="H95" s="30" t="s">
        <v>145</v>
      </c>
      <c r="I95" s="30" t="s">
        <v>145</v>
      </c>
      <c r="J95" s="30" t="s">
        <v>145</v>
      </c>
      <c r="K95" s="30" t="s">
        <v>145</v>
      </c>
      <c r="L95" s="30" t="s">
        <v>145</v>
      </c>
      <c r="M95" s="30" t="s">
        <v>145</v>
      </c>
      <c r="N95" s="30" t="s">
        <v>145</v>
      </c>
      <c r="O95" s="30" t="s">
        <v>145</v>
      </c>
      <c r="P95" s="30" t="s">
        <v>145</v>
      </c>
      <c r="Q95" s="30" t="s">
        <v>146</v>
      </c>
    </row>
    <row r="96" hidden="1">
      <c r="A96" s="33" t="str">
        <f>hyperlink("https://issues.sierrawireless.com/browse/OEMPRI-6126", "OEMPRI-6126")</f>
        <v>OEMPRI-6126</v>
      </c>
      <c r="B96" s="30" t="s">
        <v>139</v>
      </c>
      <c r="C96" s="30" t="s">
        <v>140</v>
      </c>
      <c r="D96" s="30" t="s">
        <v>148</v>
      </c>
      <c r="E96" s="35">
        <v>43133.0</v>
      </c>
      <c r="F96" s="37" t="s">
        <v>154</v>
      </c>
      <c r="G96" s="30" t="s">
        <v>144</v>
      </c>
      <c r="H96" s="30" t="s">
        <v>145</v>
      </c>
      <c r="I96" s="30" t="s">
        <v>145</v>
      </c>
      <c r="J96" s="30" t="s">
        <v>145</v>
      </c>
      <c r="K96" s="30" t="s">
        <v>145</v>
      </c>
      <c r="L96" s="30" t="s">
        <v>145</v>
      </c>
      <c r="M96" s="30" t="s">
        <v>145</v>
      </c>
      <c r="N96" s="30" t="s">
        <v>145</v>
      </c>
      <c r="O96" s="30" t="s">
        <v>145</v>
      </c>
      <c r="P96" s="30" t="s">
        <v>145</v>
      </c>
      <c r="Q96" s="30" t="s">
        <v>146</v>
      </c>
    </row>
    <row r="97" hidden="1">
      <c r="A97" s="33" t="str">
        <f>hyperlink("https://issues.sierrawireless.com/browse/OEMPRI-6122", "OEMPRI-6122")</f>
        <v>OEMPRI-6122</v>
      </c>
      <c r="B97" s="30" t="s">
        <v>139</v>
      </c>
      <c r="C97" s="30" t="s">
        <v>148</v>
      </c>
      <c r="D97" s="30" t="s">
        <v>140</v>
      </c>
      <c r="E97" s="35">
        <v>43133.0</v>
      </c>
      <c r="F97" s="37" t="s">
        <v>154</v>
      </c>
      <c r="G97" s="30" t="s">
        <v>368</v>
      </c>
      <c r="H97" s="30" t="s">
        <v>145</v>
      </c>
      <c r="I97" s="30" t="s">
        <v>145</v>
      </c>
      <c r="J97" s="30" t="s">
        <v>145</v>
      </c>
      <c r="K97" s="30" t="s">
        <v>145</v>
      </c>
      <c r="L97" s="30" t="s">
        <v>145</v>
      </c>
      <c r="M97" s="30" t="s">
        <v>145</v>
      </c>
      <c r="N97" s="30" t="s">
        <v>145</v>
      </c>
      <c r="O97" s="30" t="s">
        <v>145</v>
      </c>
      <c r="P97" s="30" t="s">
        <v>145</v>
      </c>
      <c r="Q97" s="30" t="s">
        <v>152</v>
      </c>
    </row>
    <row r="98" hidden="1">
      <c r="A98" s="33" t="str">
        <f>hyperlink("https://issues.sierrawireless.com/browse/OEMPRI-6130", "OEMPRI-6130")</f>
        <v>OEMPRI-6130</v>
      </c>
      <c r="B98" s="30" t="s">
        <v>139</v>
      </c>
      <c r="C98" s="30" t="s">
        <v>148</v>
      </c>
      <c r="D98" s="30" t="s">
        <v>726</v>
      </c>
      <c r="E98" s="35">
        <v>43133.0</v>
      </c>
      <c r="F98" s="37" t="s">
        <v>154</v>
      </c>
      <c r="G98" s="30" t="s">
        <v>727</v>
      </c>
      <c r="H98" s="30" t="s">
        <v>145</v>
      </c>
      <c r="I98" s="30" t="s">
        <v>145</v>
      </c>
      <c r="J98" s="30" t="s">
        <v>145</v>
      </c>
      <c r="K98" s="30" t="s">
        <v>145</v>
      </c>
      <c r="L98" s="30" t="s">
        <v>145</v>
      </c>
      <c r="M98" s="30" t="s">
        <v>145</v>
      </c>
      <c r="N98" s="30" t="s">
        <v>145</v>
      </c>
      <c r="O98" s="30" t="s">
        <v>145</v>
      </c>
      <c r="P98" s="30" t="s">
        <v>145</v>
      </c>
      <c r="Q98" s="30" t="s">
        <v>152</v>
      </c>
    </row>
    <row r="99" hidden="1">
      <c r="A99" s="33" t="str">
        <f>hyperlink("https://issues.sierrawireless.com/browse/OEMPRI-6738", "OEMPRI-6738")</f>
        <v>OEMPRI-6738</v>
      </c>
      <c r="B99" s="30" t="s">
        <v>139</v>
      </c>
      <c r="C99" s="30" t="s">
        <v>337</v>
      </c>
      <c r="D99" s="30" t="s">
        <v>337</v>
      </c>
      <c r="E99" s="35">
        <v>43200.0</v>
      </c>
      <c r="F99" s="37" t="s">
        <v>150</v>
      </c>
      <c r="G99" s="30" t="s">
        <v>163</v>
      </c>
      <c r="H99" s="30" t="s">
        <v>146</v>
      </c>
      <c r="I99" s="30" t="s">
        <v>146</v>
      </c>
      <c r="J99" s="30" t="s">
        <v>618</v>
      </c>
      <c r="K99" s="30" t="s">
        <v>152</v>
      </c>
      <c r="L99" s="30" t="s">
        <v>152</v>
      </c>
      <c r="M99" s="30" t="s">
        <v>409</v>
      </c>
      <c r="N99" s="30" t="s">
        <v>145</v>
      </c>
      <c r="O99" s="30" t="s">
        <v>145</v>
      </c>
      <c r="P99" s="30" t="s">
        <v>145</v>
      </c>
      <c r="Q99" s="30" t="s">
        <v>404</v>
      </c>
    </row>
    <row r="100" hidden="1">
      <c r="A100" s="33" t="str">
        <f>hyperlink("https://issues.sierrawireless.com/browse/OEMPRI-6951", "OEMPRI-6951")</f>
        <v>OEMPRI-6951</v>
      </c>
      <c r="B100" s="30" t="s">
        <v>139</v>
      </c>
      <c r="C100" s="30" t="s">
        <v>148</v>
      </c>
      <c r="D100" s="30" t="s">
        <v>141</v>
      </c>
      <c r="E100" s="35">
        <v>43218.0</v>
      </c>
      <c r="F100" s="37" t="s">
        <v>150</v>
      </c>
      <c r="G100" s="30" t="s">
        <v>540</v>
      </c>
      <c r="H100" s="30" t="s">
        <v>146</v>
      </c>
      <c r="I100" s="30" t="s">
        <v>185</v>
      </c>
      <c r="J100" s="30" t="s">
        <v>189</v>
      </c>
      <c r="K100" s="30" t="s">
        <v>152</v>
      </c>
      <c r="L100" s="30" t="s">
        <v>145</v>
      </c>
      <c r="M100" s="30" t="s">
        <v>145</v>
      </c>
      <c r="N100" s="30" t="s">
        <v>145</v>
      </c>
      <c r="O100" s="30" t="s">
        <v>145</v>
      </c>
      <c r="P100" s="30" t="s">
        <v>145</v>
      </c>
      <c r="Q100" s="30" t="s">
        <v>152</v>
      </c>
    </row>
    <row r="101" hidden="1">
      <c r="A101" s="33" t="str">
        <f>hyperlink("https://issues.sierrawireless.com/browse/OEMPRI-7382", "OEMPRI-7382")</f>
        <v>OEMPRI-7382</v>
      </c>
      <c r="B101" s="30" t="s">
        <v>139</v>
      </c>
      <c r="C101" s="30" t="s">
        <v>170</v>
      </c>
      <c r="D101" s="30" t="s">
        <v>170</v>
      </c>
      <c r="E101" s="35">
        <v>43259.0</v>
      </c>
      <c r="F101" s="37" t="s">
        <v>150</v>
      </c>
      <c r="G101" s="30" t="s">
        <v>185</v>
      </c>
      <c r="H101" s="30" t="s">
        <v>146</v>
      </c>
      <c r="I101" s="30" t="s">
        <v>146</v>
      </c>
      <c r="J101" s="30" t="s">
        <v>189</v>
      </c>
      <c r="K101" s="30" t="s">
        <v>743</v>
      </c>
      <c r="L101" s="30" t="s">
        <v>743</v>
      </c>
      <c r="M101" s="30" t="s">
        <v>743</v>
      </c>
      <c r="N101" s="30" t="s">
        <v>145</v>
      </c>
      <c r="O101" s="30" t="s">
        <v>145</v>
      </c>
      <c r="P101" s="30" t="s">
        <v>145</v>
      </c>
      <c r="Q101" s="30" t="s">
        <v>743</v>
      </c>
    </row>
    <row r="102" hidden="1">
      <c r="A102" s="33" t="str">
        <f>hyperlink("https://issues.sierrawireless.com/browse/OEMPRI-6121", "OEMPRI-6121")</f>
        <v>OEMPRI-6121</v>
      </c>
      <c r="B102" s="30" t="s">
        <v>139</v>
      </c>
      <c r="C102" s="30" t="s">
        <v>140</v>
      </c>
      <c r="D102" s="30" t="s">
        <v>155</v>
      </c>
      <c r="E102" s="35">
        <v>43133.0</v>
      </c>
      <c r="F102" s="37" t="s">
        <v>150</v>
      </c>
      <c r="G102" s="30" t="s">
        <v>146</v>
      </c>
      <c r="H102" s="30" t="s">
        <v>145</v>
      </c>
      <c r="I102" s="30" t="s">
        <v>145</v>
      </c>
      <c r="J102" s="30" t="s">
        <v>145</v>
      </c>
      <c r="K102" s="30" t="s">
        <v>145</v>
      </c>
      <c r="L102" s="30" t="s">
        <v>145</v>
      </c>
      <c r="M102" s="30" t="s">
        <v>145</v>
      </c>
      <c r="N102" s="30" t="s">
        <v>145</v>
      </c>
      <c r="O102" s="30" t="s">
        <v>145</v>
      </c>
      <c r="P102" s="30" t="s">
        <v>145</v>
      </c>
      <c r="Q102" s="30" t="s">
        <v>146</v>
      </c>
    </row>
    <row r="103" hidden="1">
      <c r="A103" s="33" t="str">
        <f>hyperlink("https://issues.sierrawireless.com/browse/OEMPRI-6123", "OEMPRI-6123")</f>
        <v>OEMPRI-6123</v>
      </c>
      <c r="B103" s="30" t="s">
        <v>139</v>
      </c>
      <c r="C103" s="30" t="s">
        <v>140</v>
      </c>
      <c r="D103" s="30" t="s">
        <v>148</v>
      </c>
      <c r="E103" s="35">
        <v>43133.0</v>
      </c>
      <c r="F103" s="37" t="s">
        <v>154</v>
      </c>
      <c r="G103" s="30" t="s">
        <v>171</v>
      </c>
      <c r="H103" s="30" t="s">
        <v>145</v>
      </c>
      <c r="I103" s="30" t="s">
        <v>145</v>
      </c>
      <c r="J103" s="30" t="s">
        <v>145</v>
      </c>
      <c r="K103" s="30" t="s">
        <v>145</v>
      </c>
      <c r="L103" s="30" t="s">
        <v>145</v>
      </c>
      <c r="M103" s="30" t="s">
        <v>145</v>
      </c>
      <c r="N103" s="30" t="s">
        <v>145</v>
      </c>
      <c r="O103" s="30" t="s">
        <v>145</v>
      </c>
      <c r="P103" s="30" t="s">
        <v>145</v>
      </c>
      <c r="Q103" s="30" t="s">
        <v>146</v>
      </c>
    </row>
    <row r="104" hidden="1">
      <c r="A104" s="33" t="str">
        <f>hyperlink("https://issues.sierrawireless.com/browse/OEMPRI-6127", "OEMPRI-6127")</f>
        <v>OEMPRI-6127</v>
      </c>
      <c r="B104" s="30" t="s">
        <v>139</v>
      </c>
      <c r="C104" s="30" t="s">
        <v>310</v>
      </c>
      <c r="D104" s="30" t="s">
        <v>310</v>
      </c>
      <c r="E104" s="35">
        <v>43133.0</v>
      </c>
      <c r="F104" s="37" t="s">
        <v>143</v>
      </c>
      <c r="G104" s="30" t="s">
        <v>314</v>
      </c>
      <c r="H104" s="30" t="s">
        <v>145</v>
      </c>
      <c r="I104" s="30" t="s">
        <v>145</v>
      </c>
      <c r="J104" s="30" t="s">
        <v>145</v>
      </c>
      <c r="K104" s="30" t="s">
        <v>145</v>
      </c>
      <c r="L104" s="30" t="s">
        <v>145</v>
      </c>
      <c r="M104" s="30" t="s">
        <v>145</v>
      </c>
      <c r="N104" s="30" t="s">
        <v>145</v>
      </c>
      <c r="O104" s="30" t="s">
        <v>145</v>
      </c>
      <c r="P104" s="30" t="s">
        <v>145</v>
      </c>
      <c r="Q104" s="30" t="s">
        <v>314</v>
      </c>
    </row>
    <row r="105" hidden="1">
      <c r="A105" s="33" t="str">
        <f>hyperlink("https://issues.sierrawireless.com/browse/OEMPRI-6105", "OEMPRI-6105")</f>
        <v>OEMPRI-6105</v>
      </c>
      <c r="B105" s="30" t="s">
        <v>139</v>
      </c>
      <c r="C105" s="30" t="s">
        <v>140</v>
      </c>
      <c r="D105" s="30" t="s">
        <v>153</v>
      </c>
      <c r="E105" s="35">
        <v>43132.0</v>
      </c>
      <c r="F105" s="37" t="s">
        <v>154</v>
      </c>
      <c r="G105" s="30" t="s">
        <v>146</v>
      </c>
      <c r="H105" s="30" t="s">
        <v>145</v>
      </c>
      <c r="I105" s="30" t="s">
        <v>145</v>
      </c>
      <c r="J105" s="30" t="s">
        <v>145</v>
      </c>
      <c r="K105" s="30" t="s">
        <v>145</v>
      </c>
      <c r="L105" s="30" t="s">
        <v>145</v>
      </c>
      <c r="M105" s="30" t="s">
        <v>145</v>
      </c>
      <c r="N105" s="30" t="s">
        <v>145</v>
      </c>
      <c r="O105" s="30" t="s">
        <v>145</v>
      </c>
      <c r="P105" s="30" t="s">
        <v>145</v>
      </c>
      <c r="Q105" s="30" t="s">
        <v>146</v>
      </c>
    </row>
    <row r="106" hidden="1">
      <c r="A106" s="33" t="str">
        <f>hyperlink("https://issues.sierrawireless.com/browse/OEMPRI-6092", "OEMPRI-6092")</f>
        <v>OEMPRI-6092</v>
      </c>
      <c r="B106" s="30" t="s">
        <v>139</v>
      </c>
      <c r="C106" s="30" t="s">
        <v>310</v>
      </c>
      <c r="D106" s="30" t="s">
        <v>310</v>
      </c>
      <c r="E106" s="35">
        <v>43131.0</v>
      </c>
      <c r="F106" s="37" t="s">
        <v>143</v>
      </c>
      <c r="G106" s="30" t="s">
        <v>314</v>
      </c>
      <c r="H106" s="30" t="s">
        <v>145</v>
      </c>
      <c r="I106" s="30" t="s">
        <v>145</v>
      </c>
      <c r="J106" s="30" t="s">
        <v>145</v>
      </c>
      <c r="K106" s="30" t="s">
        <v>145</v>
      </c>
      <c r="L106" s="30" t="s">
        <v>145</v>
      </c>
      <c r="M106" s="30" t="s">
        <v>145</v>
      </c>
      <c r="N106" s="30" t="s">
        <v>145</v>
      </c>
      <c r="O106" s="30" t="s">
        <v>145</v>
      </c>
      <c r="P106" s="30" t="s">
        <v>145</v>
      </c>
      <c r="Q106" s="30" t="s">
        <v>314</v>
      </c>
    </row>
    <row r="107" hidden="1">
      <c r="A107" s="33" t="str">
        <f>hyperlink("https://issues.sierrawireless.com/browse/OEMPRI-6093", "OEMPRI-6093")</f>
        <v>OEMPRI-6093</v>
      </c>
      <c r="B107" s="30" t="s">
        <v>139</v>
      </c>
      <c r="C107" s="30" t="s">
        <v>310</v>
      </c>
      <c r="D107" s="30" t="s">
        <v>310</v>
      </c>
      <c r="E107" s="35">
        <v>43131.0</v>
      </c>
      <c r="F107" s="37" t="s">
        <v>143</v>
      </c>
      <c r="G107" s="30" t="s">
        <v>314</v>
      </c>
      <c r="H107" s="30" t="s">
        <v>145</v>
      </c>
      <c r="I107" s="30" t="s">
        <v>145</v>
      </c>
      <c r="J107" s="30" t="s">
        <v>145</v>
      </c>
      <c r="K107" s="30" t="s">
        <v>145</v>
      </c>
      <c r="L107" s="30" t="s">
        <v>145</v>
      </c>
      <c r="M107" s="30" t="s">
        <v>145</v>
      </c>
      <c r="N107" s="30" t="s">
        <v>145</v>
      </c>
      <c r="O107" s="30" t="s">
        <v>145</v>
      </c>
      <c r="P107" s="30" t="s">
        <v>145</v>
      </c>
      <c r="Q107" s="30" t="s">
        <v>314</v>
      </c>
    </row>
    <row r="108" hidden="1">
      <c r="A108" s="33" t="str">
        <f>hyperlink("https://issues.sierrawireless.com/browse/OEMPRI-6089", "OEMPRI-6089")</f>
        <v>OEMPRI-6089</v>
      </c>
      <c r="B108" s="30" t="s">
        <v>139</v>
      </c>
      <c r="C108" s="30" t="s">
        <v>310</v>
      </c>
      <c r="D108" s="30" t="s">
        <v>310</v>
      </c>
      <c r="E108" s="35">
        <v>43130.0</v>
      </c>
      <c r="F108" s="37" t="s">
        <v>143</v>
      </c>
      <c r="G108" s="30" t="s">
        <v>314</v>
      </c>
      <c r="H108" s="30" t="s">
        <v>145</v>
      </c>
      <c r="I108" s="30" t="s">
        <v>145</v>
      </c>
      <c r="J108" s="30" t="s">
        <v>145</v>
      </c>
      <c r="K108" s="30" t="s">
        <v>145</v>
      </c>
      <c r="L108" s="30" t="s">
        <v>145</v>
      </c>
      <c r="M108" s="30" t="s">
        <v>145</v>
      </c>
      <c r="N108" s="30" t="s">
        <v>145</v>
      </c>
      <c r="O108" s="30" t="s">
        <v>145</v>
      </c>
      <c r="P108" s="30" t="s">
        <v>145</v>
      </c>
      <c r="Q108" s="30" t="s">
        <v>314</v>
      </c>
    </row>
    <row r="109" hidden="1">
      <c r="A109" s="33" t="str">
        <f>hyperlink("https://issues.sierrawireless.com/browse/OEMPRI-6074", "OEMPRI-6074")</f>
        <v>OEMPRI-6074</v>
      </c>
      <c r="B109" s="2" t="s">
        <v>139</v>
      </c>
      <c r="C109" s="30" t="s">
        <v>140</v>
      </c>
      <c r="D109" s="30" t="s">
        <v>609</v>
      </c>
      <c r="E109" s="35">
        <v>43129.0</v>
      </c>
      <c r="F109" s="37" t="s">
        <v>150</v>
      </c>
      <c r="G109" s="30" t="s">
        <v>286</v>
      </c>
      <c r="H109" s="30" t="s">
        <v>166</v>
      </c>
      <c r="I109" s="30" t="s">
        <v>166</v>
      </c>
      <c r="J109" s="30" t="s">
        <v>166</v>
      </c>
      <c r="K109" s="30" t="s">
        <v>166</v>
      </c>
      <c r="L109" s="30" t="s">
        <v>166</v>
      </c>
      <c r="M109" s="30" t="s">
        <v>166</v>
      </c>
      <c r="N109" s="30" t="s">
        <v>145</v>
      </c>
      <c r="O109" s="30" t="s">
        <v>145</v>
      </c>
      <c r="P109" s="30" t="s">
        <v>145</v>
      </c>
      <c r="Q109" s="2" t="s">
        <v>795</v>
      </c>
    </row>
    <row r="110" hidden="1">
      <c r="A110" s="33" t="str">
        <f>hyperlink("https://issues.sierrawireless.com/browse/OEMPRI-6076", "OEMPRI-6076")</f>
        <v>OEMPRI-6076</v>
      </c>
      <c r="B110" s="2" t="s">
        <v>139</v>
      </c>
      <c r="C110" s="30" t="s">
        <v>140</v>
      </c>
      <c r="D110" s="30" t="s">
        <v>609</v>
      </c>
      <c r="E110" s="35">
        <v>43129.0</v>
      </c>
      <c r="F110" s="37" t="s">
        <v>150</v>
      </c>
      <c r="G110" s="30" t="s">
        <v>286</v>
      </c>
      <c r="H110" s="30" t="s">
        <v>166</v>
      </c>
      <c r="I110" s="30" t="s">
        <v>166</v>
      </c>
      <c r="J110" s="30" t="s">
        <v>166</v>
      </c>
      <c r="K110" s="30" t="s">
        <v>166</v>
      </c>
      <c r="L110" s="30" t="s">
        <v>166</v>
      </c>
      <c r="M110" s="30" t="s">
        <v>166</v>
      </c>
      <c r="N110" s="30" t="s">
        <v>145</v>
      </c>
      <c r="O110" s="30" t="s">
        <v>145</v>
      </c>
      <c r="P110" s="30" t="s">
        <v>145</v>
      </c>
      <c r="Q110" s="2" t="s">
        <v>795</v>
      </c>
    </row>
    <row r="111" hidden="1">
      <c r="A111" s="33" t="str">
        <f>hyperlink("https://issues.sierrawireless.com/browse/OEMPRI-6444", "OEMPRI-6444")</f>
        <v>OEMPRI-6444</v>
      </c>
      <c r="B111" s="30" t="s">
        <v>139</v>
      </c>
      <c r="C111" s="30" t="s">
        <v>148</v>
      </c>
      <c r="D111" s="30" t="s">
        <v>148</v>
      </c>
      <c r="E111" s="35">
        <v>43172.0</v>
      </c>
      <c r="F111" s="37" t="s">
        <v>150</v>
      </c>
      <c r="G111" s="30" t="s">
        <v>152</v>
      </c>
      <c r="H111" s="30" t="s">
        <v>152</v>
      </c>
      <c r="I111" s="30" t="s">
        <v>358</v>
      </c>
      <c r="J111" s="30" t="s">
        <v>146</v>
      </c>
      <c r="K111" s="30" t="s">
        <v>146</v>
      </c>
      <c r="L111" s="30" t="s">
        <v>146</v>
      </c>
      <c r="M111" s="30" t="s">
        <v>146</v>
      </c>
      <c r="N111" s="30" t="s">
        <v>152</v>
      </c>
      <c r="O111" s="30" t="s">
        <v>152</v>
      </c>
      <c r="P111" s="30" t="s">
        <v>152</v>
      </c>
      <c r="Q111" s="30" t="s">
        <v>152</v>
      </c>
    </row>
    <row r="112" hidden="1">
      <c r="A112" s="33" t="str">
        <f>hyperlink("https://issues.sierrawireless.com/browse/OEMPRI-6079", "OEMPRI-6079")</f>
        <v>OEMPRI-6079</v>
      </c>
      <c r="B112" s="30" t="s">
        <v>139</v>
      </c>
      <c r="C112" s="30" t="s">
        <v>148</v>
      </c>
      <c r="D112" s="30" t="s">
        <v>140</v>
      </c>
      <c r="E112" s="35">
        <v>43129.0</v>
      </c>
      <c r="F112" s="37" t="s">
        <v>154</v>
      </c>
      <c r="G112" s="30" t="s">
        <v>152</v>
      </c>
      <c r="H112" s="30" t="s">
        <v>145</v>
      </c>
      <c r="I112" s="30" t="s">
        <v>145</v>
      </c>
      <c r="J112" s="30" t="s">
        <v>145</v>
      </c>
      <c r="K112" s="30" t="s">
        <v>145</v>
      </c>
      <c r="L112" s="30" t="s">
        <v>145</v>
      </c>
      <c r="M112" s="30" t="s">
        <v>145</v>
      </c>
      <c r="N112" s="30" t="s">
        <v>145</v>
      </c>
      <c r="O112" s="30" t="s">
        <v>145</v>
      </c>
      <c r="P112" s="30" t="s">
        <v>145</v>
      </c>
      <c r="Q112" s="30" t="s">
        <v>152</v>
      </c>
    </row>
    <row r="113" hidden="1">
      <c r="A113" s="33" t="str">
        <f>hyperlink("https://issues.sierrawireless.com/browse/OEMPRI-6065", "OEMPRI-6065")</f>
        <v>OEMPRI-6065</v>
      </c>
      <c r="B113" s="30" t="s">
        <v>139</v>
      </c>
      <c r="C113" s="30" t="s">
        <v>337</v>
      </c>
      <c r="D113" s="30" t="s">
        <v>337</v>
      </c>
      <c r="E113" s="35">
        <v>43126.0</v>
      </c>
      <c r="F113" s="37" t="s">
        <v>150</v>
      </c>
      <c r="G113" s="30" t="s">
        <v>432</v>
      </c>
      <c r="H113" s="30" t="s">
        <v>146</v>
      </c>
      <c r="I113" s="30" t="s">
        <v>146</v>
      </c>
      <c r="J113" s="30" t="s">
        <v>228</v>
      </c>
      <c r="K113" s="30" t="s">
        <v>152</v>
      </c>
      <c r="L113" s="30" t="s">
        <v>152</v>
      </c>
      <c r="M113" s="30" t="s">
        <v>811</v>
      </c>
      <c r="N113" s="30" t="s">
        <v>145</v>
      </c>
      <c r="O113" s="30" t="s">
        <v>145</v>
      </c>
      <c r="P113" s="30" t="s">
        <v>145</v>
      </c>
      <c r="Q113" s="30" t="s">
        <v>404</v>
      </c>
    </row>
    <row r="114" hidden="1">
      <c r="A114" s="33" t="str">
        <f>hyperlink("https://issues.sierrawireless.com/browse/OEMPRI-6053", "OEMPRI-6053")</f>
        <v>OEMPRI-6053</v>
      </c>
      <c r="B114" s="30" t="s">
        <v>139</v>
      </c>
      <c r="C114" s="30" t="s">
        <v>140</v>
      </c>
      <c r="D114" s="30" t="s">
        <v>609</v>
      </c>
      <c r="E114" s="35">
        <v>43125.0</v>
      </c>
      <c r="F114" s="37" t="s">
        <v>150</v>
      </c>
      <c r="G114" s="30" t="s">
        <v>264</v>
      </c>
      <c r="H114" s="30" t="s">
        <v>145</v>
      </c>
      <c r="I114" s="30" t="s">
        <v>145</v>
      </c>
      <c r="J114" s="30" t="s">
        <v>145</v>
      </c>
      <c r="K114" s="30" t="s">
        <v>145</v>
      </c>
      <c r="L114" s="30" t="s">
        <v>145</v>
      </c>
      <c r="M114" s="30" t="s">
        <v>145</v>
      </c>
      <c r="N114" s="30" t="s">
        <v>145</v>
      </c>
      <c r="O114" s="30" t="s">
        <v>145</v>
      </c>
      <c r="P114" s="30" t="s">
        <v>145</v>
      </c>
      <c r="Q114" s="30" t="s">
        <v>146</v>
      </c>
    </row>
    <row r="115" hidden="1">
      <c r="A115" s="33" t="str">
        <f>hyperlink("https://issues.sierrawireless.com/browse/OEMPRI-6051", "OEMPRI-6051")</f>
        <v>OEMPRI-6051</v>
      </c>
      <c r="B115" s="30" t="s">
        <v>139</v>
      </c>
      <c r="C115" s="30" t="s">
        <v>140</v>
      </c>
      <c r="D115" s="30" t="s">
        <v>609</v>
      </c>
      <c r="E115" s="35">
        <v>43125.0</v>
      </c>
      <c r="F115" s="37" t="s">
        <v>150</v>
      </c>
      <c r="G115" s="30" t="s">
        <v>264</v>
      </c>
      <c r="H115" s="30" t="s">
        <v>145</v>
      </c>
      <c r="I115" s="30" t="s">
        <v>145</v>
      </c>
      <c r="J115" s="30" t="s">
        <v>145</v>
      </c>
      <c r="K115" s="30" t="s">
        <v>145</v>
      </c>
      <c r="L115" s="30" t="s">
        <v>145</v>
      </c>
      <c r="M115" s="30" t="s">
        <v>145</v>
      </c>
      <c r="N115" s="30" t="s">
        <v>145</v>
      </c>
      <c r="O115" s="30" t="s">
        <v>145</v>
      </c>
      <c r="P115" s="30" t="s">
        <v>145</v>
      </c>
      <c r="Q115" s="30" t="s">
        <v>146</v>
      </c>
    </row>
    <row r="116" hidden="1">
      <c r="A116" s="33" t="str">
        <f>hyperlink("https://issues.sierrawireless.com/browse/QTI9X40-2949", "QTI9X40-2949")</f>
        <v>QTI9X40-2949</v>
      </c>
      <c r="B116" s="30" t="s">
        <v>830</v>
      </c>
      <c r="C116" s="30" t="s">
        <v>140</v>
      </c>
      <c r="D116" s="30" t="s">
        <v>206</v>
      </c>
      <c r="E116" s="35">
        <v>43105.0</v>
      </c>
      <c r="F116" s="37" t="s">
        <v>207</v>
      </c>
      <c r="G116" s="30" t="s">
        <v>611</v>
      </c>
      <c r="H116" s="30" t="s">
        <v>145</v>
      </c>
      <c r="I116" s="30" t="s">
        <v>145</v>
      </c>
      <c r="J116" s="30" t="s">
        <v>145</v>
      </c>
      <c r="K116" s="30" t="s">
        <v>145</v>
      </c>
      <c r="L116" s="30" t="s">
        <v>145</v>
      </c>
      <c r="M116" s="30" t="s">
        <v>145</v>
      </c>
      <c r="N116" s="30" t="s">
        <v>145</v>
      </c>
      <c r="O116" s="30" t="s">
        <v>145</v>
      </c>
      <c r="P116" s="30" t="s">
        <v>145</v>
      </c>
      <c r="Q116" s="30" t="s">
        <v>166</v>
      </c>
    </row>
    <row r="117" hidden="1">
      <c r="A117" s="33" t="str">
        <f>hyperlink("https://issues.sierrawireless.com/browse/QTI9X40-2948", "QTI9X40-2948")</f>
        <v>QTI9X40-2948</v>
      </c>
      <c r="B117" s="30" t="s">
        <v>610</v>
      </c>
      <c r="C117" s="30" t="s">
        <v>140</v>
      </c>
      <c r="D117" s="30" t="s">
        <v>206</v>
      </c>
      <c r="E117" s="35">
        <v>43105.0</v>
      </c>
      <c r="F117" s="37" t="s">
        <v>207</v>
      </c>
      <c r="G117" s="30" t="s">
        <v>611</v>
      </c>
      <c r="H117" s="30" t="s">
        <v>145</v>
      </c>
      <c r="I117" s="30" t="s">
        <v>145</v>
      </c>
      <c r="J117" s="30" t="s">
        <v>145</v>
      </c>
      <c r="K117" s="30" t="s">
        <v>145</v>
      </c>
      <c r="L117" s="30" t="s">
        <v>145</v>
      </c>
      <c r="M117" s="30" t="s">
        <v>145</v>
      </c>
      <c r="N117" s="30" t="s">
        <v>145</v>
      </c>
      <c r="O117" s="30" t="s">
        <v>145</v>
      </c>
      <c r="P117" s="30" t="s">
        <v>145</v>
      </c>
      <c r="Q117" s="30" t="s">
        <v>166</v>
      </c>
    </row>
    <row r="118" hidden="1">
      <c r="A118" s="33" t="str">
        <f>hyperlink("https://issues.sierrawireless.com/browse/OEMPRI-6039", "OEMPRI-6039")</f>
        <v>OEMPRI-6039</v>
      </c>
      <c r="B118" s="30" t="s">
        <v>139</v>
      </c>
      <c r="C118" s="30" t="s">
        <v>140</v>
      </c>
      <c r="D118" s="30" t="s">
        <v>177</v>
      </c>
      <c r="E118" s="35">
        <v>43125.0</v>
      </c>
      <c r="F118" s="37" t="s">
        <v>154</v>
      </c>
      <c r="G118" s="30" t="s">
        <v>843</v>
      </c>
      <c r="H118" s="30" t="s">
        <v>145</v>
      </c>
      <c r="I118" s="30" t="s">
        <v>145</v>
      </c>
      <c r="J118" s="30" t="s">
        <v>145</v>
      </c>
      <c r="K118" s="30" t="s">
        <v>145</v>
      </c>
      <c r="L118" s="30" t="s">
        <v>145</v>
      </c>
      <c r="M118" s="30" t="s">
        <v>145</v>
      </c>
      <c r="N118" s="30" t="s">
        <v>145</v>
      </c>
      <c r="O118" s="30" t="s">
        <v>145</v>
      </c>
      <c r="P118" s="30" t="s">
        <v>145</v>
      </c>
      <c r="Q118" s="30" t="s">
        <v>146</v>
      </c>
    </row>
    <row r="119" hidden="1">
      <c r="A119" s="33" t="str">
        <f>hyperlink("https://issues.sierrawireless.com/browse/OEMPRI-6042", "OEMPRI-6042")</f>
        <v>OEMPRI-6042</v>
      </c>
      <c r="B119" s="30" t="s">
        <v>139</v>
      </c>
      <c r="C119" s="30" t="s">
        <v>140</v>
      </c>
      <c r="D119" s="30" t="s">
        <v>177</v>
      </c>
      <c r="E119" s="35">
        <v>43125.0</v>
      </c>
      <c r="F119" s="37" t="s">
        <v>154</v>
      </c>
      <c r="G119" s="30" t="s">
        <v>849</v>
      </c>
      <c r="H119" s="30" t="s">
        <v>145</v>
      </c>
      <c r="I119" s="30" t="s">
        <v>145</v>
      </c>
      <c r="J119" s="30" t="s">
        <v>145</v>
      </c>
      <c r="K119" s="30" t="s">
        <v>145</v>
      </c>
      <c r="L119" s="30" t="s">
        <v>145</v>
      </c>
      <c r="M119" s="30" t="s">
        <v>145</v>
      </c>
      <c r="N119" s="30" t="s">
        <v>145</v>
      </c>
      <c r="O119" s="30" t="s">
        <v>145</v>
      </c>
      <c r="P119" s="30" t="s">
        <v>145</v>
      </c>
      <c r="Q119" s="30" t="s">
        <v>146</v>
      </c>
    </row>
    <row r="120" hidden="1">
      <c r="A120" s="33" t="str">
        <f>hyperlink("https://issues.sierrawireless.com/browse/OEMPRI-6043", "OEMPRI-6043")</f>
        <v>OEMPRI-6043</v>
      </c>
      <c r="B120" s="30" t="s">
        <v>139</v>
      </c>
      <c r="C120" s="30" t="s">
        <v>140</v>
      </c>
      <c r="D120" s="30" t="s">
        <v>177</v>
      </c>
      <c r="E120" s="35">
        <v>43125.0</v>
      </c>
      <c r="F120" s="37" t="s">
        <v>154</v>
      </c>
      <c r="G120" s="30" t="s">
        <v>843</v>
      </c>
      <c r="H120" s="30" t="s">
        <v>145</v>
      </c>
      <c r="I120" s="30" t="s">
        <v>145</v>
      </c>
      <c r="J120" s="30" t="s">
        <v>145</v>
      </c>
      <c r="K120" s="30" t="s">
        <v>145</v>
      </c>
      <c r="L120" s="30" t="s">
        <v>145</v>
      </c>
      <c r="M120" s="30" t="s">
        <v>145</v>
      </c>
      <c r="N120" s="30" t="s">
        <v>145</v>
      </c>
      <c r="O120" s="30" t="s">
        <v>145</v>
      </c>
      <c r="P120" s="30" t="s">
        <v>145</v>
      </c>
      <c r="Q120" s="30" t="s">
        <v>146</v>
      </c>
    </row>
    <row r="121" hidden="1">
      <c r="A121" s="33" t="str">
        <f>hyperlink("https://issues.sierrawireless.com/browse/COUGAR-2598", "COUGAR-2598")</f>
        <v>COUGAR-2598</v>
      </c>
      <c r="B121" s="30" t="s">
        <v>417</v>
      </c>
      <c r="C121" s="30" t="s">
        <v>141</v>
      </c>
      <c r="D121" s="30" t="s">
        <v>164</v>
      </c>
      <c r="E121" s="35">
        <v>43103.0</v>
      </c>
      <c r="F121" s="37" t="s">
        <v>165</v>
      </c>
      <c r="G121" s="30" t="s">
        <v>859</v>
      </c>
      <c r="H121" s="30" t="s">
        <v>166</v>
      </c>
      <c r="I121" s="30" t="s">
        <v>166</v>
      </c>
      <c r="J121" s="30" t="s">
        <v>166</v>
      </c>
      <c r="K121" s="30" t="s">
        <v>166</v>
      </c>
      <c r="L121" s="30" t="s">
        <v>166</v>
      </c>
      <c r="M121" s="30" t="s">
        <v>166</v>
      </c>
      <c r="N121" s="30" t="s">
        <v>145</v>
      </c>
      <c r="O121" s="30" t="s">
        <v>145</v>
      </c>
      <c r="P121" s="30" t="s">
        <v>145</v>
      </c>
      <c r="Q121" s="30" t="s">
        <v>166</v>
      </c>
    </row>
    <row r="122" hidden="1">
      <c r="A122" s="33" t="str">
        <f>hyperlink("https://issues.sierrawireless.com/browse/OEMPRI-6725", "OEMPRI-6725")</f>
        <v>OEMPRI-6725</v>
      </c>
      <c r="B122" s="30" t="s">
        <v>139</v>
      </c>
      <c r="C122" s="30" t="s">
        <v>140</v>
      </c>
      <c r="D122" s="30" t="s">
        <v>140</v>
      </c>
      <c r="E122" s="35">
        <v>43199.0</v>
      </c>
      <c r="F122" s="37" t="s">
        <v>269</v>
      </c>
      <c r="G122" s="30" t="s">
        <v>438</v>
      </c>
      <c r="H122" s="30" t="s">
        <v>145</v>
      </c>
      <c r="I122" s="30" t="s">
        <v>145</v>
      </c>
      <c r="J122" s="30" t="s">
        <v>145</v>
      </c>
      <c r="K122" s="30" t="s">
        <v>145</v>
      </c>
      <c r="L122" s="30" t="s">
        <v>145</v>
      </c>
      <c r="M122" s="30" t="s">
        <v>145</v>
      </c>
      <c r="N122" s="30" t="s">
        <v>145</v>
      </c>
      <c r="O122" s="30" t="s">
        <v>145</v>
      </c>
      <c r="P122" s="30" t="s">
        <v>145</v>
      </c>
      <c r="Q122" s="30" t="s">
        <v>146</v>
      </c>
    </row>
    <row r="123" hidden="1">
      <c r="A123" s="33" t="str">
        <f>hyperlink("https://issues.sierrawireless.com/browse/OEMPRI-7081", "OEMPRI-7081")</f>
        <v>OEMPRI-7081</v>
      </c>
      <c r="B123" s="30" t="s">
        <v>139</v>
      </c>
      <c r="C123" s="30" t="s">
        <v>148</v>
      </c>
      <c r="D123" s="30" t="s">
        <v>141</v>
      </c>
      <c r="E123" s="35">
        <v>43230.0</v>
      </c>
      <c r="F123" s="37" t="s">
        <v>150</v>
      </c>
      <c r="G123" s="30" t="s">
        <v>151</v>
      </c>
      <c r="H123" s="30" t="s">
        <v>145</v>
      </c>
      <c r="I123" s="30" t="s">
        <v>152</v>
      </c>
      <c r="J123" s="30" t="s">
        <v>189</v>
      </c>
      <c r="K123" s="30" t="s">
        <v>152</v>
      </c>
      <c r="L123" s="30" t="s">
        <v>506</v>
      </c>
      <c r="M123" s="30" t="s">
        <v>872</v>
      </c>
      <c r="N123" s="30" t="s">
        <v>145</v>
      </c>
      <c r="O123" s="30" t="s">
        <v>145</v>
      </c>
      <c r="P123" s="30" t="s">
        <v>145</v>
      </c>
      <c r="Q123" s="30" t="s">
        <v>197</v>
      </c>
    </row>
    <row r="124" hidden="1">
      <c r="A124" s="33" t="str">
        <f>hyperlink("https://issues.sierrawireless.com/browse/OEMPRI-6055", "OEMPRI-6055")</f>
        <v>OEMPRI-6055</v>
      </c>
      <c r="B124" s="30" t="s">
        <v>139</v>
      </c>
      <c r="C124" s="30" t="s">
        <v>148</v>
      </c>
      <c r="D124" s="30" t="s">
        <v>609</v>
      </c>
      <c r="E124" s="35">
        <v>43125.0</v>
      </c>
      <c r="F124" s="37" t="s">
        <v>150</v>
      </c>
      <c r="G124" s="30" t="s">
        <v>878</v>
      </c>
      <c r="H124" s="30" t="s">
        <v>223</v>
      </c>
      <c r="I124" s="30" t="s">
        <v>358</v>
      </c>
      <c r="J124" s="30" t="s">
        <v>879</v>
      </c>
      <c r="K124" s="30" t="s">
        <v>152</v>
      </c>
      <c r="L124" s="30" t="s">
        <v>152</v>
      </c>
      <c r="M124" s="30" t="s">
        <v>882</v>
      </c>
      <c r="N124" s="30" t="s">
        <v>152</v>
      </c>
      <c r="O124" s="30" t="s">
        <v>152</v>
      </c>
      <c r="P124" s="30" t="s">
        <v>152</v>
      </c>
      <c r="Q124" s="30" t="s">
        <v>152</v>
      </c>
    </row>
    <row r="125" hidden="1">
      <c r="A125" s="33" t="str">
        <f>hyperlink("https://issues.sierrawireless.com/browse/OEMPRI-6035", "OEMPRI-6035")</f>
        <v>OEMPRI-6035</v>
      </c>
      <c r="B125" s="30" t="s">
        <v>139</v>
      </c>
      <c r="C125" s="30" t="s">
        <v>140</v>
      </c>
      <c r="D125" s="30" t="s">
        <v>140</v>
      </c>
      <c r="E125" s="35">
        <v>43125.0</v>
      </c>
      <c r="F125" s="37" t="s">
        <v>154</v>
      </c>
      <c r="G125" s="30" t="s">
        <v>163</v>
      </c>
      <c r="H125" s="30" t="s">
        <v>145</v>
      </c>
      <c r="I125" s="30" t="s">
        <v>145</v>
      </c>
      <c r="J125" s="30" t="s">
        <v>145</v>
      </c>
      <c r="K125" s="30" t="s">
        <v>145</v>
      </c>
      <c r="L125" s="30" t="s">
        <v>145</v>
      </c>
      <c r="M125" s="30" t="s">
        <v>145</v>
      </c>
      <c r="N125" s="30" t="s">
        <v>145</v>
      </c>
      <c r="O125" s="30" t="s">
        <v>145</v>
      </c>
      <c r="P125" s="30" t="s">
        <v>145</v>
      </c>
      <c r="Q125" s="30" t="s">
        <v>146</v>
      </c>
    </row>
    <row r="126" hidden="1">
      <c r="A126" s="33" t="str">
        <f>hyperlink("https://issues.sierrawireless.com/browse/OEMPRI-6049", "OEMPRI-6049")</f>
        <v>OEMPRI-6049</v>
      </c>
      <c r="B126" s="30" t="s">
        <v>139</v>
      </c>
      <c r="C126" s="30" t="s">
        <v>310</v>
      </c>
      <c r="D126" s="30" t="s">
        <v>148</v>
      </c>
      <c r="E126" s="35">
        <v>43125.0</v>
      </c>
      <c r="F126" s="37" t="s">
        <v>154</v>
      </c>
      <c r="G126" s="30" t="s">
        <v>314</v>
      </c>
      <c r="H126" s="30" t="s">
        <v>145</v>
      </c>
      <c r="I126" s="30" t="s">
        <v>145</v>
      </c>
      <c r="J126" s="30" t="s">
        <v>145</v>
      </c>
      <c r="K126" s="30" t="s">
        <v>145</v>
      </c>
      <c r="L126" s="30" t="s">
        <v>145</v>
      </c>
      <c r="M126" s="30" t="s">
        <v>145</v>
      </c>
      <c r="N126" s="30" t="s">
        <v>145</v>
      </c>
      <c r="O126" s="30" t="s">
        <v>145</v>
      </c>
      <c r="P126" s="30" t="s">
        <v>145</v>
      </c>
      <c r="Q126" s="30" t="s">
        <v>314</v>
      </c>
    </row>
    <row r="127" hidden="1">
      <c r="A127" s="33" t="str">
        <f>hyperlink("https://issues.sierrawireless.com/browse/OEMPRI-6038", "OEMPRI-6038")</f>
        <v>OEMPRI-6038</v>
      </c>
      <c r="B127" s="30" t="s">
        <v>139</v>
      </c>
      <c r="C127" s="30" t="s">
        <v>453</v>
      </c>
      <c r="D127" s="30" t="s">
        <v>177</v>
      </c>
      <c r="E127" s="35">
        <v>43125.0</v>
      </c>
      <c r="F127" s="37" t="s">
        <v>154</v>
      </c>
      <c r="G127" s="30" t="s">
        <v>897</v>
      </c>
      <c r="H127" s="30" t="s">
        <v>145</v>
      </c>
      <c r="I127" s="30" t="s">
        <v>145</v>
      </c>
      <c r="J127" s="30" t="s">
        <v>145</v>
      </c>
      <c r="K127" s="30" t="s">
        <v>145</v>
      </c>
      <c r="L127" s="30" t="s">
        <v>145</v>
      </c>
      <c r="M127" s="30" t="s">
        <v>145</v>
      </c>
      <c r="N127" s="30" t="s">
        <v>145</v>
      </c>
      <c r="O127" s="30" t="s">
        <v>145</v>
      </c>
      <c r="P127" s="30" t="s">
        <v>145</v>
      </c>
      <c r="Q127" s="30" t="s">
        <v>457</v>
      </c>
    </row>
    <row r="128" hidden="1">
      <c r="A128" s="33" t="str">
        <f>hyperlink("https://issues.sierrawireless.com/browse/OEMPRI-6040", "OEMPRI-6040")</f>
        <v>OEMPRI-6040</v>
      </c>
      <c r="B128" s="30" t="s">
        <v>139</v>
      </c>
      <c r="C128" s="30" t="s">
        <v>453</v>
      </c>
      <c r="D128" s="30" t="s">
        <v>177</v>
      </c>
      <c r="E128" s="35">
        <v>43125.0</v>
      </c>
      <c r="F128" s="37" t="s">
        <v>154</v>
      </c>
      <c r="G128" s="30" t="s">
        <v>897</v>
      </c>
      <c r="H128" s="30" t="s">
        <v>145</v>
      </c>
      <c r="I128" s="30" t="s">
        <v>145</v>
      </c>
      <c r="J128" s="30" t="s">
        <v>145</v>
      </c>
      <c r="K128" s="30" t="s">
        <v>145</v>
      </c>
      <c r="L128" s="30" t="s">
        <v>145</v>
      </c>
      <c r="M128" s="30" t="s">
        <v>145</v>
      </c>
      <c r="N128" s="30" t="s">
        <v>145</v>
      </c>
      <c r="O128" s="30" t="s">
        <v>145</v>
      </c>
      <c r="P128" s="30" t="s">
        <v>145</v>
      </c>
      <c r="Q128" s="30" t="s">
        <v>457</v>
      </c>
    </row>
    <row r="129" hidden="1">
      <c r="A129" s="33" t="str">
        <f>hyperlink("https://issues.sierrawireless.com/browse/OEMPRI-6007", "OEMPRI-6007")</f>
        <v>OEMPRI-6007</v>
      </c>
      <c r="B129" s="30" t="s">
        <v>139</v>
      </c>
      <c r="C129" s="30" t="s">
        <v>140</v>
      </c>
      <c r="D129" s="30" t="s">
        <v>177</v>
      </c>
      <c r="E129" s="35">
        <v>43124.0</v>
      </c>
      <c r="F129" s="37" t="s">
        <v>154</v>
      </c>
      <c r="G129" s="30" t="s">
        <v>654</v>
      </c>
      <c r="H129" s="30" t="s">
        <v>145</v>
      </c>
      <c r="I129" s="30" t="s">
        <v>145</v>
      </c>
      <c r="J129" s="30" t="s">
        <v>145</v>
      </c>
      <c r="K129" s="30" t="s">
        <v>145</v>
      </c>
      <c r="L129" s="30" t="s">
        <v>145</v>
      </c>
      <c r="M129" s="30" t="s">
        <v>145</v>
      </c>
      <c r="N129" s="30" t="s">
        <v>145</v>
      </c>
      <c r="O129" s="30" t="s">
        <v>145</v>
      </c>
      <c r="P129" s="30" t="s">
        <v>145</v>
      </c>
      <c r="Q129" s="30" t="s">
        <v>146</v>
      </c>
    </row>
    <row r="130" hidden="1">
      <c r="A130" s="33" t="str">
        <f>hyperlink("https://issues.sierrawireless.com/browse/OEMPRI-6012", "OEMPRI-6012")</f>
        <v>OEMPRI-6012</v>
      </c>
      <c r="B130" s="30" t="s">
        <v>139</v>
      </c>
      <c r="C130" s="30" t="s">
        <v>148</v>
      </c>
      <c r="D130" s="30" t="s">
        <v>149</v>
      </c>
      <c r="E130" s="35">
        <v>43124.0</v>
      </c>
      <c r="F130" s="37" t="s">
        <v>150</v>
      </c>
      <c r="G130" s="30" t="s">
        <v>197</v>
      </c>
      <c r="H130" s="30" t="s">
        <v>152</v>
      </c>
      <c r="I130" s="30" t="s">
        <v>660</v>
      </c>
      <c r="J130" s="30" t="s">
        <v>223</v>
      </c>
      <c r="K130" s="30" t="s">
        <v>213</v>
      </c>
      <c r="L130" s="30" t="s">
        <v>152</v>
      </c>
      <c r="M130" s="30" t="s">
        <v>152</v>
      </c>
      <c r="N130" s="30" t="s">
        <v>152</v>
      </c>
      <c r="O130" s="30" t="s">
        <v>152</v>
      </c>
      <c r="P130" s="30" t="s">
        <v>152</v>
      </c>
      <c r="Q130" s="30" t="s">
        <v>152</v>
      </c>
    </row>
    <row r="131" hidden="1">
      <c r="A131" s="33" t="str">
        <f>hyperlink("https://issues.sierrawireless.com/browse/OEMPRI-7080", "OEMPRI-7080")</f>
        <v>OEMPRI-7080</v>
      </c>
      <c r="B131" s="30" t="s">
        <v>139</v>
      </c>
      <c r="C131" s="30" t="s">
        <v>148</v>
      </c>
      <c r="D131" s="30" t="s">
        <v>141</v>
      </c>
      <c r="E131" s="35">
        <v>43230.0</v>
      </c>
      <c r="F131" s="37" t="s">
        <v>150</v>
      </c>
      <c r="G131" s="30" t="s">
        <v>264</v>
      </c>
      <c r="H131" s="30" t="s">
        <v>145</v>
      </c>
      <c r="I131" s="30" t="s">
        <v>146</v>
      </c>
      <c r="J131" s="30" t="s">
        <v>189</v>
      </c>
      <c r="K131" s="30" t="s">
        <v>152</v>
      </c>
      <c r="L131" s="30" t="s">
        <v>152</v>
      </c>
      <c r="M131" s="30" t="s">
        <v>922</v>
      </c>
      <c r="N131" s="30" t="s">
        <v>145</v>
      </c>
      <c r="O131" s="30" t="s">
        <v>145</v>
      </c>
      <c r="P131" s="30" t="s">
        <v>145</v>
      </c>
      <c r="Q131" s="30" t="s">
        <v>213</v>
      </c>
    </row>
    <row r="132" hidden="1">
      <c r="A132" s="33" t="str">
        <f>hyperlink("https://issues.sierrawireless.com/browse/OEMPRI-6694", "OEMPRI-6694")</f>
        <v>OEMPRI-6694</v>
      </c>
      <c r="B132" s="30" t="s">
        <v>139</v>
      </c>
      <c r="C132" s="30" t="s">
        <v>140</v>
      </c>
      <c r="D132" s="30" t="s">
        <v>140</v>
      </c>
      <c r="E132" s="35">
        <v>43194.0</v>
      </c>
      <c r="F132" s="37" t="s">
        <v>143</v>
      </c>
      <c r="G132" s="30" t="s">
        <v>521</v>
      </c>
      <c r="H132" s="30" t="s">
        <v>145</v>
      </c>
      <c r="I132" s="30" t="s">
        <v>145</v>
      </c>
      <c r="J132" s="30" t="s">
        <v>145</v>
      </c>
      <c r="K132" s="30" t="s">
        <v>145</v>
      </c>
      <c r="L132" s="30" t="s">
        <v>145</v>
      </c>
      <c r="M132" s="30" t="s">
        <v>145</v>
      </c>
      <c r="N132" s="30" t="s">
        <v>145</v>
      </c>
      <c r="O132" s="30" t="s">
        <v>145</v>
      </c>
      <c r="P132" s="30" t="s">
        <v>145</v>
      </c>
      <c r="Q132" s="30" t="s">
        <v>146</v>
      </c>
    </row>
    <row r="133" hidden="1">
      <c r="A133" s="33" t="str">
        <f>hyperlink("https://issues.sierrawireless.com/browse/OEMPRI-6401", "OEMPRI-6401")</f>
        <v>OEMPRI-6401</v>
      </c>
      <c r="B133" s="30" t="s">
        <v>139</v>
      </c>
      <c r="C133" s="30" t="s">
        <v>140</v>
      </c>
      <c r="D133" s="30" t="s">
        <v>140</v>
      </c>
      <c r="E133" s="35">
        <v>43167.0</v>
      </c>
      <c r="F133" s="37" t="s">
        <v>269</v>
      </c>
      <c r="G133" s="30" t="s">
        <v>521</v>
      </c>
      <c r="H133" s="30" t="s">
        <v>145</v>
      </c>
      <c r="I133" s="30" t="s">
        <v>145</v>
      </c>
      <c r="J133" s="30" t="s">
        <v>145</v>
      </c>
      <c r="K133" s="30" t="s">
        <v>145</v>
      </c>
      <c r="L133" s="30" t="s">
        <v>145</v>
      </c>
      <c r="M133" s="30" t="s">
        <v>145</v>
      </c>
      <c r="N133" s="30" t="s">
        <v>145</v>
      </c>
      <c r="O133" s="30" t="s">
        <v>145</v>
      </c>
      <c r="P133" s="30" t="s">
        <v>145</v>
      </c>
      <c r="Q133" s="30" t="s">
        <v>146</v>
      </c>
    </row>
    <row r="134" hidden="1">
      <c r="A134" s="33" t="str">
        <f>hyperlink("https://issues.sierrawireless.com/browse/OEMPRI-6010", "OEMPRI-6010")</f>
        <v>OEMPRI-6010</v>
      </c>
      <c r="B134" s="30" t="s">
        <v>139</v>
      </c>
      <c r="C134" s="30" t="s">
        <v>310</v>
      </c>
      <c r="D134" s="30" t="s">
        <v>310</v>
      </c>
      <c r="E134" s="35">
        <v>43124.0</v>
      </c>
      <c r="F134" s="37" t="s">
        <v>143</v>
      </c>
      <c r="G134" s="30" t="s">
        <v>314</v>
      </c>
      <c r="H134" s="30" t="s">
        <v>145</v>
      </c>
      <c r="I134" s="30" t="s">
        <v>145</v>
      </c>
      <c r="J134" s="30" t="s">
        <v>145</v>
      </c>
      <c r="K134" s="30" t="s">
        <v>145</v>
      </c>
      <c r="L134" s="30" t="s">
        <v>145</v>
      </c>
      <c r="M134" s="30" t="s">
        <v>145</v>
      </c>
      <c r="N134" s="30" t="s">
        <v>145</v>
      </c>
      <c r="O134" s="30" t="s">
        <v>145</v>
      </c>
      <c r="P134" s="30" t="s">
        <v>145</v>
      </c>
      <c r="Q134" s="30" t="s">
        <v>314</v>
      </c>
    </row>
    <row r="135" hidden="1">
      <c r="A135" s="33" t="str">
        <f>hyperlink("https://issues.sierrawireless.com/browse/OEMPRI-6017", "OEMPRI-6017")</f>
        <v>OEMPRI-6017</v>
      </c>
      <c r="B135" s="30" t="s">
        <v>139</v>
      </c>
      <c r="C135" s="30" t="s">
        <v>148</v>
      </c>
      <c r="D135" s="30" t="s">
        <v>148</v>
      </c>
      <c r="E135" s="35">
        <v>43124.0</v>
      </c>
      <c r="F135" s="37" t="s">
        <v>154</v>
      </c>
      <c r="G135" s="30" t="s">
        <v>152</v>
      </c>
      <c r="H135" s="30" t="s">
        <v>145</v>
      </c>
      <c r="I135" s="30" t="s">
        <v>145</v>
      </c>
      <c r="J135" s="30" t="s">
        <v>145</v>
      </c>
      <c r="K135" s="30" t="s">
        <v>145</v>
      </c>
      <c r="L135" s="30" t="s">
        <v>145</v>
      </c>
      <c r="M135" s="30" t="s">
        <v>145</v>
      </c>
      <c r="N135" s="30" t="s">
        <v>145</v>
      </c>
      <c r="O135" s="30" t="s">
        <v>145</v>
      </c>
      <c r="P135" s="30" t="s">
        <v>145</v>
      </c>
      <c r="Q135" s="30" t="s">
        <v>152</v>
      </c>
    </row>
    <row r="136" hidden="1">
      <c r="A136" s="33" t="str">
        <f>hyperlink("https://issues.sierrawireless.com/browse/OEMPRI-6016", "OEMPRI-6016")</f>
        <v>OEMPRI-6016</v>
      </c>
      <c r="B136" s="30" t="s">
        <v>139</v>
      </c>
      <c r="C136" s="30" t="s">
        <v>148</v>
      </c>
      <c r="D136" s="30" t="s">
        <v>148</v>
      </c>
      <c r="E136" s="35">
        <v>43124.0</v>
      </c>
      <c r="F136" s="37" t="s">
        <v>154</v>
      </c>
      <c r="G136" s="30" t="s">
        <v>152</v>
      </c>
      <c r="H136" s="30" t="s">
        <v>145</v>
      </c>
      <c r="I136" s="30" t="s">
        <v>145</v>
      </c>
      <c r="J136" s="30" t="s">
        <v>145</v>
      </c>
      <c r="K136" s="30" t="s">
        <v>145</v>
      </c>
      <c r="L136" s="30" t="s">
        <v>145</v>
      </c>
      <c r="M136" s="30" t="s">
        <v>145</v>
      </c>
      <c r="N136" s="30" t="s">
        <v>145</v>
      </c>
      <c r="O136" s="30" t="s">
        <v>145</v>
      </c>
      <c r="P136" s="30" t="s">
        <v>145</v>
      </c>
      <c r="Q136" s="30" t="s">
        <v>152</v>
      </c>
    </row>
    <row r="137" hidden="1">
      <c r="A137" s="33" t="str">
        <f>hyperlink("https://issues.sierrawireless.com/browse/OEMPRI-6015", "OEMPRI-6015")</f>
        <v>OEMPRI-6015</v>
      </c>
      <c r="B137" s="30" t="s">
        <v>139</v>
      </c>
      <c r="C137" s="30" t="s">
        <v>148</v>
      </c>
      <c r="D137" s="30" t="s">
        <v>148</v>
      </c>
      <c r="E137" s="35">
        <v>43124.0</v>
      </c>
      <c r="F137" s="37" t="s">
        <v>154</v>
      </c>
      <c r="G137" s="30" t="s">
        <v>152</v>
      </c>
      <c r="H137" s="30" t="s">
        <v>145</v>
      </c>
      <c r="I137" s="30" t="s">
        <v>145</v>
      </c>
      <c r="J137" s="30" t="s">
        <v>145</v>
      </c>
      <c r="K137" s="30" t="s">
        <v>145</v>
      </c>
      <c r="L137" s="30" t="s">
        <v>145</v>
      </c>
      <c r="M137" s="30" t="s">
        <v>145</v>
      </c>
      <c r="N137" s="30" t="s">
        <v>145</v>
      </c>
      <c r="O137" s="30" t="s">
        <v>145</v>
      </c>
      <c r="P137" s="30" t="s">
        <v>145</v>
      </c>
      <c r="Q137" s="30" t="s">
        <v>152</v>
      </c>
    </row>
    <row r="138" hidden="1">
      <c r="A138" s="33" t="str">
        <f>hyperlink("https://issues.sierrawireless.com/browse/OEMPRI-7383", "OEMPRI-7383")</f>
        <v>OEMPRI-7383</v>
      </c>
      <c r="B138" s="30" t="s">
        <v>139</v>
      </c>
      <c r="C138" s="30" t="s">
        <v>148</v>
      </c>
      <c r="D138" s="30" t="s">
        <v>141</v>
      </c>
      <c r="E138" s="35">
        <v>43259.0</v>
      </c>
      <c r="F138" s="37" t="s">
        <v>150</v>
      </c>
      <c r="G138" s="30" t="s">
        <v>140</v>
      </c>
      <c r="H138" s="30" t="s">
        <v>146</v>
      </c>
      <c r="I138" s="30" t="s">
        <v>146</v>
      </c>
      <c r="J138" s="30" t="s">
        <v>189</v>
      </c>
      <c r="K138" s="30" t="s">
        <v>152</v>
      </c>
      <c r="L138" s="30" t="s">
        <v>152</v>
      </c>
      <c r="M138" s="30" t="s">
        <v>964</v>
      </c>
      <c r="N138" s="30" t="s">
        <v>145</v>
      </c>
      <c r="O138" s="30" t="s">
        <v>145</v>
      </c>
      <c r="P138" s="30" t="s">
        <v>145</v>
      </c>
      <c r="Q138" s="30" t="s">
        <v>152</v>
      </c>
    </row>
    <row r="139" hidden="1">
      <c r="A139" s="33" t="str">
        <f>hyperlink("https://issues.sierrawireless.com/browse/OEMPRI-6118", "OEMPRI-6118")</f>
        <v>OEMPRI-6118</v>
      </c>
      <c r="B139" s="30" t="s">
        <v>139</v>
      </c>
      <c r="C139" s="30" t="s">
        <v>155</v>
      </c>
      <c r="D139" s="30" t="s">
        <v>155</v>
      </c>
      <c r="E139" s="35">
        <v>43133.0</v>
      </c>
      <c r="F139" s="37" t="s">
        <v>150</v>
      </c>
      <c r="G139" s="30" t="s">
        <v>140</v>
      </c>
      <c r="H139" s="30" t="s">
        <v>146</v>
      </c>
      <c r="I139" s="30" t="s">
        <v>163</v>
      </c>
      <c r="J139" s="30" t="s">
        <v>970</v>
      </c>
      <c r="K139" s="30" t="s">
        <v>171</v>
      </c>
      <c r="L139" s="30" t="s">
        <v>146</v>
      </c>
      <c r="M139" s="30" t="s">
        <v>146</v>
      </c>
      <c r="N139" s="30" t="s">
        <v>145</v>
      </c>
      <c r="O139" s="30" t="s">
        <v>145</v>
      </c>
      <c r="P139" s="30" t="s">
        <v>145</v>
      </c>
      <c r="Q139" s="30" t="s">
        <v>975</v>
      </c>
    </row>
    <row r="140" hidden="1">
      <c r="A140" s="33" t="str">
        <f>hyperlink("https://issues.sierrawireless.com/browse/OEMPRI-6119", "OEMPRI-6119")</f>
        <v>OEMPRI-6119</v>
      </c>
      <c r="B140" s="30" t="s">
        <v>139</v>
      </c>
      <c r="C140" s="30" t="s">
        <v>155</v>
      </c>
      <c r="D140" s="30" t="s">
        <v>155</v>
      </c>
      <c r="E140" s="35">
        <v>43133.0</v>
      </c>
      <c r="F140" s="37" t="s">
        <v>150</v>
      </c>
      <c r="G140" s="30" t="s">
        <v>373</v>
      </c>
      <c r="H140" s="30" t="s">
        <v>223</v>
      </c>
      <c r="I140" s="30" t="s">
        <v>146</v>
      </c>
      <c r="J140" s="30" t="s">
        <v>158</v>
      </c>
      <c r="K140" s="30" t="s">
        <v>981</v>
      </c>
      <c r="L140" s="30" t="s">
        <v>158</v>
      </c>
      <c r="M140" s="30" t="s">
        <v>981</v>
      </c>
      <c r="N140" s="30" t="s">
        <v>145</v>
      </c>
      <c r="O140" s="30" t="s">
        <v>145</v>
      </c>
      <c r="P140" s="30" t="s">
        <v>145</v>
      </c>
      <c r="Q140" s="30" t="s">
        <v>158</v>
      </c>
    </row>
    <row r="141" hidden="1">
      <c r="A141" s="33" t="str">
        <f>hyperlink("https://issues.sierrawireless.com/browse/OEMPRI-6696", "OEMPRI-6696")</f>
        <v>OEMPRI-6696</v>
      </c>
      <c r="B141" s="30" t="s">
        <v>139</v>
      </c>
      <c r="C141" s="30" t="s">
        <v>141</v>
      </c>
      <c r="D141" s="30" t="s">
        <v>141</v>
      </c>
      <c r="E141" s="35">
        <v>43194.0</v>
      </c>
      <c r="F141" s="37" t="s">
        <v>143</v>
      </c>
      <c r="G141" s="30" t="s">
        <v>986</v>
      </c>
      <c r="H141" s="30" t="s">
        <v>145</v>
      </c>
      <c r="I141" s="30" t="s">
        <v>145</v>
      </c>
      <c r="J141" s="30" t="s">
        <v>145</v>
      </c>
      <c r="K141" s="30" t="s">
        <v>145</v>
      </c>
      <c r="L141" s="30" t="s">
        <v>145</v>
      </c>
      <c r="M141" s="30" t="s">
        <v>145</v>
      </c>
      <c r="N141" s="30" t="s">
        <v>145</v>
      </c>
      <c r="O141" s="30" t="s">
        <v>145</v>
      </c>
      <c r="P141" s="30" t="s">
        <v>145</v>
      </c>
      <c r="Q141" s="30" t="s">
        <v>180</v>
      </c>
    </row>
    <row r="142" hidden="1">
      <c r="A142" s="33" t="str">
        <f>hyperlink("https://issues.sierrawireless.com/browse/OEMPRI-6324", "OEMPRI-6324")</f>
        <v>OEMPRI-6324</v>
      </c>
      <c r="B142" s="30" t="s">
        <v>139</v>
      </c>
      <c r="C142" s="30" t="s">
        <v>155</v>
      </c>
      <c r="D142" s="30" t="s">
        <v>155</v>
      </c>
      <c r="E142" s="35">
        <v>43160.0</v>
      </c>
      <c r="F142" s="37" t="s">
        <v>150</v>
      </c>
      <c r="G142" s="30" t="s">
        <v>994</v>
      </c>
      <c r="H142" s="30" t="s">
        <v>223</v>
      </c>
      <c r="I142" s="30" t="s">
        <v>146</v>
      </c>
      <c r="J142" s="30" t="s">
        <v>375</v>
      </c>
      <c r="K142" s="30" t="s">
        <v>158</v>
      </c>
      <c r="L142" s="30" t="s">
        <v>158</v>
      </c>
      <c r="M142" s="30" t="s">
        <v>996</v>
      </c>
      <c r="N142" s="30" t="s">
        <v>145</v>
      </c>
      <c r="O142" s="30" t="s">
        <v>145</v>
      </c>
      <c r="P142" s="30" t="s">
        <v>145</v>
      </c>
      <c r="Q142" s="30" t="s">
        <v>158</v>
      </c>
    </row>
    <row r="143" hidden="1">
      <c r="A143" s="33" t="str">
        <f>hyperlink("https://issues.sierrawireless.com/browse/OEMPRI-6686", "OEMPRI-6686")</f>
        <v>OEMPRI-6686</v>
      </c>
      <c r="B143" s="30" t="s">
        <v>139</v>
      </c>
      <c r="C143" s="30" t="s">
        <v>140</v>
      </c>
      <c r="D143" s="30" t="s">
        <v>140</v>
      </c>
      <c r="E143" s="35">
        <v>43193.0</v>
      </c>
      <c r="F143" s="37" t="s">
        <v>269</v>
      </c>
      <c r="G143" s="30" t="s">
        <v>1000</v>
      </c>
      <c r="H143" s="30" t="s">
        <v>145</v>
      </c>
      <c r="I143" s="30" t="s">
        <v>145</v>
      </c>
      <c r="J143" s="30" t="s">
        <v>145</v>
      </c>
      <c r="K143" s="30" t="s">
        <v>145</v>
      </c>
      <c r="L143" s="30" t="s">
        <v>145</v>
      </c>
      <c r="M143" s="30" t="s">
        <v>145</v>
      </c>
      <c r="N143" s="30" t="s">
        <v>145</v>
      </c>
      <c r="O143" s="30" t="s">
        <v>145</v>
      </c>
      <c r="P143" s="30" t="s">
        <v>145</v>
      </c>
      <c r="Q143" s="30" t="s">
        <v>146</v>
      </c>
    </row>
    <row r="144" hidden="1">
      <c r="A144" s="33" t="str">
        <f>hyperlink("https://issues.sierrawireless.com/browse/OEMPRI-5988", "OEMPRI-5988")</f>
        <v>OEMPRI-5988</v>
      </c>
      <c r="B144" s="30" t="s">
        <v>139</v>
      </c>
      <c r="C144" s="30" t="s">
        <v>155</v>
      </c>
      <c r="D144" s="30" t="s">
        <v>155</v>
      </c>
      <c r="E144" s="35">
        <v>43124.0</v>
      </c>
      <c r="F144" s="37" t="s">
        <v>150</v>
      </c>
      <c r="G144" s="30" t="s">
        <v>163</v>
      </c>
      <c r="H144" s="30" t="s">
        <v>146</v>
      </c>
      <c r="I144" s="30" t="s">
        <v>146</v>
      </c>
      <c r="J144" s="30" t="s">
        <v>158</v>
      </c>
      <c r="K144" s="30" t="s">
        <v>158</v>
      </c>
      <c r="L144" s="30" t="s">
        <v>158</v>
      </c>
      <c r="M144" s="30" t="s">
        <v>1011</v>
      </c>
      <c r="N144" s="30" t="s">
        <v>145</v>
      </c>
      <c r="O144" s="30" t="s">
        <v>145</v>
      </c>
      <c r="P144" s="30" t="s">
        <v>145</v>
      </c>
      <c r="Q144" s="30" t="s">
        <v>158</v>
      </c>
    </row>
    <row r="145" hidden="1">
      <c r="A145" s="33" t="str">
        <f>hyperlink("https://issues.sierrawireless.com/browse/OEMPRI-6673", "OEMPRI-6673")</f>
        <v>OEMPRI-6673</v>
      </c>
      <c r="B145" s="30" t="s">
        <v>139</v>
      </c>
      <c r="C145" s="30" t="s">
        <v>140</v>
      </c>
      <c r="D145" s="30" t="s">
        <v>155</v>
      </c>
      <c r="E145" s="35">
        <v>43192.0</v>
      </c>
      <c r="F145" s="37" t="s">
        <v>150</v>
      </c>
      <c r="G145" s="30" t="s">
        <v>152</v>
      </c>
      <c r="H145" s="30" t="s">
        <v>152</v>
      </c>
      <c r="I145" s="30" t="s">
        <v>438</v>
      </c>
      <c r="J145" s="30" t="s">
        <v>145</v>
      </c>
      <c r="K145" s="30" t="s">
        <v>145</v>
      </c>
      <c r="L145" s="30" t="s">
        <v>145</v>
      </c>
      <c r="M145" s="30" t="s">
        <v>145</v>
      </c>
      <c r="N145" s="30" t="s">
        <v>145</v>
      </c>
      <c r="O145" s="30" t="s">
        <v>145</v>
      </c>
      <c r="P145" s="30" t="s">
        <v>145</v>
      </c>
      <c r="Q145" s="30" t="s">
        <v>146</v>
      </c>
    </row>
    <row r="146" hidden="1">
      <c r="A146" s="33" t="str">
        <f>hyperlink("https://issues.sierrawireless.com/browse/OEMPRI-6893", "OEMPRI-6893")</f>
        <v>OEMPRI-6893</v>
      </c>
      <c r="B146" s="30" t="s">
        <v>139</v>
      </c>
      <c r="C146" s="30" t="s">
        <v>155</v>
      </c>
      <c r="D146" s="30" t="s">
        <v>155</v>
      </c>
      <c r="E146" s="35">
        <v>43215.0</v>
      </c>
      <c r="F146" s="37" t="s">
        <v>150</v>
      </c>
      <c r="G146" s="30" t="s">
        <v>185</v>
      </c>
      <c r="H146" s="30" t="s">
        <v>146</v>
      </c>
      <c r="I146" s="30" t="s">
        <v>163</v>
      </c>
      <c r="J146" s="30" t="s">
        <v>391</v>
      </c>
      <c r="K146" s="30" t="s">
        <v>158</v>
      </c>
      <c r="L146" s="30" t="s">
        <v>158</v>
      </c>
      <c r="M146" s="30" t="s">
        <v>159</v>
      </c>
      <c r="N146" s="30" t="s">
        <v>145</v>
      </c>
      <c r="O146" s="30" t="s">
        <v>145</v>
      </c>
      <c r="P146" s="30" t="s">
        <v>145</v>
      </c>
      <c r="Q146" s="30" t="s">
        <v>158</v>
      </c>
    </row>
    <row r="147" hidden="1">
      <c r="A147" s="33" t="str">
        <f>hyperlink("https://issues.sierrawireless.com/browse/OEMPRI-7056", "OEMPRI-7056")</f>
        <v>OEMPRI-7056</v>
      </c>
      <c r="B147" s="30" t="s">
        <v>139</v>
      </c>
      <c r="C147" s="30" t="s">
        <v>140</v>
      </c>
      <c r="D147" s="30" t="s">
        <v>155</v>
      </c>
      <c r="E147" s="35">
        <v>43229.0</v>
      </c>
      <c r="F147" s="37" t="s">
        <v>150</v>
      </c>
      <c r="G147" s="30" t="s">
        <v>146</v>
      </c>
      <c r="H147" s="30" t="s">
        <v>146</v>
      </c>
      <c r="I147" s="30" t="s">
        <v>540</v>
      </c>
      <c r="J147" s="30" t="s">
        <v>145</v>
      </c>
      <c r="K147" s="30" t="s">
        <v>145</v>
      </c>
      <c r="L147" s="30" t="s">
        <v>145</v>
      </c>
      <c r="M147" s="30" t="s">
        <v>145</v>
      </c>
      <c r="N147" s="30" t="s">
        <v>145</v>
      </c>
      <c r="O147" s="30" t="s">
        <v>145</v>
      </c>
      <c r="P147" s="30" t="s">
        <v>145</v>
      </c>
      <c r="Q147" s="30" t="s">
        <v>146</v>
      </c>
    </row>
    <row r="148" hidden="1">
      <c r="A148" s="33" t="str">
        <f>hyperlink("https://issues.sierrawireless.com/browse/OEMPRI-6275", "OEMPRI-6275")</f>
        <v>OEMPRI-6275</v>
      </c>
      <c r="B148" s="30" t="s">
        <v>139</v>
      </c>
      <c r="C148" s="30" t="s">
        <v>120</v>
      </c>
      <c r="D148" s="30" t="s">
        <v>122</v>
      </c>
      <c r="E148" s="35">
        <v>43154.0</v>
      </c>
      <c r="F148" s="37" t="s">
        <v>150</v>
      </c>
      <c r="G148" s="30" t="s">
        <v>1036</v>
      </c>
      <c r="H148" s="30" t="s">
        <v>146</v>
      </c>
      <c r="I148" s="30" t="s">
        <v>163</v>
      </c>
      <c r="J148" s="30" t="s">
        <v>212</v>
      </c>
      <c r="K148" s="30" t="s">
        <v>1040</v>
      </c>
      <c r="L148" s="30" t="s">
        <v>212</v>
      </c>
      <c r="M148" s="30" t="s">
        <v>212</v>
      </c>
      <c r="N148" s="30" t="s">
        <v>145</v>
      </c>
      <c r="O148" s="30" t="s">
        <v>145</v>
      </c>
      <c r="P148" s="30" t="s">
        <v>145</v>
      </c>
      <c r="Q148" s="30" t="s">
        <v>212</v>
      </c>
    </row>
    <row r="149" hidden="1">
      <c r="A149" s="33" t="str">
        <f>hyperlink("https://issues.sierrawireless.com/browse/OEMPRI-6274", "OEMPRI-6274")</f>
        <v>OEMPRI-6274</v>
      </c>
      <c r="B149" s="30" t="s">
        <v>139</v>
      </c>
      <c r="C149" s="30" t="s">
        <v>120</v>
      </c>
      <c r="D149" s="30" t="s">
        <v>122</v>
      </c>
      <c r="E149" s="35">
        <v>43154.0</v>
      </c>
      <c r="F149" s="37" t="s">
        <v>150</v>
      </c>
      <c r="G149" s="30" t="s">
        <v>1044</v>
      </c>
      <c r="H149" s="30" t="s">
        <v>152</v>
      </c>
      <c r="I149" s="30" t="s">
        <v>163</v>
      </c>
      <c r="J149" s="30" t="s">
        <v>212</v>
      </c>
      <c r="K149" s="30" t="s">
        <v>1040</v>
      </c>
      <c r="L149" s="30" t="s">
        <v>212</v>
      </c>
      <c r="M149" s="30" t="s">
        <v>212</v>
      </c>
      <c r="N149" s="30" t="s">
        <v>145</v>
      </c>
      <c r="O149" s="30" t="s">
        <v>145</v>
      </c>
      <c r="P149" s="30" t="s">
        <v>145</v>
      </c>
      <c r="Q149" s="30" t="s">
        <v>212</v>
      </c>
    </row>
    <row r="150" hidden="1">
      <c r="A150" s="33" t="str">
        <f>hyperlink("https://issues.sierrawireless.com/browse/OEMPRI-6211", "OEMPRI-6211")</f>
        <v>OEMPRI-6211</v>
      </c>
      <c r="B150" s="30" t="s">
        <v>139</v>
      </c>
      <c r="C150" s="30" t="s">
        <v>148</v>
      </c>
      <c r="D150" s="30" t="s">
        <v>244</v>
      </c>
      <c r="E150" s="35">
        <v>43144.0</v>
      </c>
      <c r="F150" s="37" t="s">
        <v>150</v>
      </c>
      <c r="G150" s="30" t="s">
        <v>246</v>
      </c>
      <c r="H150" s="30" t="s">
        <v>145</v>
      </c>
      <c r="I150" s="30" t="s">
        <v>152</v>
      </c>
      <c r="J150" s="30" t="s">
        <v>189</v>
      </c>
      <c r="K150" s="30" t="s">
        <v>152</v>
      </c>
      <c r="L150" s="30" t="s">
        <v>152</v>
      </c>
      <c r="M150" s="30" t="s">
        <v>1052</v>
      </c>
      <c r="N150" s="30" t="s">
        <v>152</v>
      </c>
      <c r="O150" s="30" t="s">
        <v>152</v>
      </c>
      <c r="P150" s="30" t="s">
        <v>152</v>
      </c>
      <c r="Q150" s="30" t="s">
        <v>152</v>
      </c>
    </row>
    <row r="151" hidden="1">
      <c r="A151" s="33" t="str">
        <f>hyperlink("https://issues.sierrawireless.com/browse/OEMPRI-7060", "OEMPRI-7060")</f>
        <v>OEMPRI-7060</v>
      </c>
      <c r="B151" s="30" t="s">
        <v>139</v>
      </c>
      <c r="C151" s="30" t="s">
        <v>148</v>
      </c>
      <c r="D151" s="30" t="s">
        <v>140</v>
      </c>
      <c r="E151" s="35">
        <v>43229.0</v>
      </c>
      <c r="F151" s="37" t="s">
        <v>150</v>
      </c>
      <c r="G151" s="30" t="s">
        <v>152</v>
      </c>
      <c r="H151" s="30" t="s">
        <v>145</v>
      </c>
      <c r="I151" s="30" t="s">
        <v>152</v>
      </c>
      <c r="J151" s="30" t="s">
        <v>407</v>
      </c>
      <c r="K151" s="30" t="s">
        <v>152</v>
      </c>
      <c r="L151" s="30" t="s">
        <v>152</v>
      </c>
      <c r="M151" s="30" t="s">
        <v>922</v>
      </c>
      <c r="N151" s="30" t="s">
        <v>145</v>
      </c>
      <c r="O151" s="30" t="s">
        <v>145</v>
      </c>
      <c r="P151" s="30" t="s">
        <v>145</v>
      </c>
      <c r="Q151" s="30" t="s">
        <v>197</v>
      </c>
    </row>
    <row r="152" hidden="1">
      <c r="A152" s="33" t="str">
        <f>hyperlink("https://issues.sierrawireless.com/browse/OEMPRI-5957", "OEMPRI-5957")</f>
        <v>OEMPRI-5957</v>
      </c>
      <c r="B152" s="30" t="s">
        <v>139</v>
      </c>
      <c r="C152" s="30" t="s">
        <v>310</v>
      </c>
      <c r="D152" s="30" t="s">
        <v>310</v>
      </c>
      <c r="E152" s="35">
        <v>43122.0</v>
      </c>
      <c r="F152" s="37" t="s">
        <v>143</v>
      </c>
      <c r="G152" s="30" t="s">
        <v>314</v>
      </c>
      <c r="H152" s="30" t="s">
        <v>145</v>
      </c>
      <c r="I152" s="30" t="s">
        <v>145</v>
      </c>
      <c r="J152" s="30" t="s">
        <v>145</v>
      </c>
      <c r="K152" s="30" t="s">
        <v>145</v>
      </c>
      <c r="L152" s="30" t="s">
        <v>145</v>
      </c>
      <c r="M152" s="30" t="s">
        <v>145</v>
      </c>
      <c r="N152" s="30" t="s">
        <v>145</v>
      </c>
      <c r="O152" s="30" t="s">
        <v>145</v>
      </c>
      <c r="P152" s="30" t="s">
        <v>145</v>
      </c>
      <c r="Q152" s="30" t="s">
        <v>314</v>
      </c>
    </row>
    <row r="153" hidden="1">
      <c r="A153" s="33" t="str">
        <f>hyperlink("https://issues.sierrawireless.com/browse/OEMPRI-5956", "OEMPRI-5956")</f>
        <v>OEMPRI-5956</v>
      </c>
      <c r="B153" s="30" t="s">
        <v>139</v>
      </c>
      <c r="C153" s="30" t="s">
        <v>148</v>
      </c>
      <c r="D153" s="30" t="s">
        <v>141</v>
      </c>
      <c r="E153" s="35">
        <v>43122.0</v>
      </c>
      <c r="F153" s="37" t="s">
        <v>150</v>
      </c>
      <c r="G153" s="30" t="s">
        <v>373</v>
      </c>
      <c r="H153" s="30" t="s">
        <v>145</v>
      </c>
      <c r="I153" s="30" t="s">
        <v>223</v>
      </c>
      <c r="J153" s="30" t="s">
        <v>189</v>
      </c>
      <c r="K153" s="30" t="s">
        <v>152</v>
      </c>
      <c r="L153" s="30" t="s">
        <v>152</v>
      </c>
      <c r="M153" s="30" t="s">
        <v>1071</v>
      </c>
      <c r="N153" s="30" t="s">
        <v>145</v>
      </c>
      <c r="O153" s="30" t="s">
        <v>145</v>
      </c>
      <c r="P153" s="30" t="s">
        <v>145</v>
      </c>
      <c r="Q153" s="30" t="s">
        <v>152</v>
      </c>
    </row>
    <row r="154" hidden="1">
      <c r="A154" s="33" t="str">
        <f>hyperlink("https://issues.sierrawireless.com/browse/OEMPRI-6194", "OEMPRI-6194")</f>
        <v>OEMPRI-6194</v>
      </c>
      <c r="B154" s="30" t="s">
        <v>139</v>
      </c>
      <c r="C154" s="30" t="s">
        <v>140</v>
      </c>
      <c r="D154" s="30" t="s">
        <v>140</v>
      </c>
      <c r="E154" s="35">
        <v>43139.0</v>
      </c>
      <c r="F154" s="37" t="s">
        <v>269</v>
      </c>
      <c r="G154" s="30" t="s">
        <v>1076</v>
      </c>
      <c r="H154" s="30" t="s">
        <v>145</v>
      </c>
      <c r="I154" s="30" t="s">
        <v>145</v>
      </c>
      <c r="J154" s="30" t="s">
        <v>145</v>
      </c>
      <c r="K154" s="30" t="s">
        <v>145</v>
      </c>
      <c r="L154" s="30" t="s">
        <v>145</v>
      </c>
      <c r="M154" s="30" t="s">
        <v>145</v>
      </c>
      <c r="N154" s="30" t="s">
        <v>145</v>
      </c>
      <c r="O154" s="30" t="s">
        <v>145</v>
      </c>
      <c r="P154" s="30" t="s">
        <v>145</v>
      </c>
      <c r="Q154" s="30" t="s">
        <v>146</v>
      </c>
    </row>
    <row r="155" hidden="1">
      <c r="A155" s="33" t="str">
        <f>hyperlink("https://issues.sierrawireless.com/browse/QTI9X40-2913", "QTI9X40-2913")</f>
        <v>QTI9X40-2913</v>
      </c>
      <c r="B155" s="30" t="s">
        <v>417</v>
      </c>
      <c r="C155" s="30" t="s">
        <v>140</v>
      </c>
      <c r="D155" s="30" t="s">
        <v>1082</v>
      </c>
      <c r="E155" s="35">
        <v>43097.0</v>
      </c>
      <c r="F155" s="37" t="s">
        <v>207</v>
      </c>
      <c r="G155" s="30" t="s">
        <v>1084</v>
      </c>
      <c r="H155" s="30" t="s">
        <v>145</v>
      </c>
      <c r="I155" s="30" t="s">
        <v>145</v>
      </c>
      <c r="J155" s="30" t="s">
        <v>145</v>
      </c>
      <c r="K155" s="30" t="s">
        <v>145</v>
      </c>
      <c r="L155" s="30" t="s">
        <v>145</v>
      </c>
      <c r="M155" s="30" t="s">
        <v>145</v>
      </c>
      <c r="N155" s="30" t="s">
        <v>145</v>
      </c>
      <c r="O155" s="30" t="s">
        <v>145</v>
      </c>
      <c r="P155" s="30" t="s">
        <v>145</v>
      </c>
      <c r="Q155" s="30" t="s">
        <v>166</v>
      </c>
    </row>
    <row r="156" hidden="1">
      <c r="A156" s="33" t="str">
        <f>hyperlink("https://issues.sierrawireless.com/browse/OEMPRI-6626", "OEMPRI-6626")</f>
        <v>OEMPRI-6626</v>
      </c>
      <c r="B156" s="30" t="s">
        <v>139</v>
      </c>
      <c r="C156" s="30" t="s">
        <v>320</v>
      </c>
      <c r="D156" s="30" t="s">
        <v>170</v>
      </c>
      <c r="E156" s="35">
        <v>43185.0</v>
      </c>
      <c r="F156" s="37" t="s">
        <v>150</v>
      </c>
      <c r="G156" s="30" t="s">
        <v>1092</v>
      </c>
      <c r="H156" s="30" t="s">
        <v>223</v>
      </c>
      <c r="I156" s="30" t="s">
        <v>146</v>
      </c>
      <c r="J156" s="30" t="s">
        <v>1093</v>
      </c>
      <c r="K156" s="30" t="s">
        <v>743</v>
      </c>
      <c r="L156" s="30" t="s">
        <v>743</v>
      </c>
      <c r="M156" s="30" t="s">
        <v>324</v>
      </c>
      <c r="N156" s="30" t="s">
        <v>145</v>
      </c>
      <c r="O156" s="30" t="s">
        <v>145</v>
      </c>
      <c r="P156" s="30" t="s">
        <v>145</v>
      </c>
      <c r="Q156" s="30" t="s">
        <v>324</v>
      </c>
    </row>
    <row r="157" hidden="1">
      <c r="A157" s="33" t="str">
        <f>hyperlink("https://issues.sierrawireless.com/browse/FWTOOLS-177", "FWTOOLS-177")</f>
        <v>FWTOOLS-177</v>
      </c>
      <c r="B157" s="30" t="s">
        <v>496</v>
      </c>
      <c r="C157" s="30" t="s">
        <v>148</v>
      </c>
      <c r="D157" s="30" t="s">
        <v>490</v>
      </c>
      <c r="E157" s="35">
        <v>43172.0</v>
      </c>
      <c r="F157" s="37" t="s">
        <v>207</v>
      </c>
      <c r="G157" s="30" t="s">
        <v>152</v>
      </c>
      <c r="H157" s="30" t="s">
        <v>1099</v>
      </c>
      <c r="I157" s="30" t="s">
        <v>145</v>
      </c>
      <c r="J157" s="30" t="s">
        <v>145</v>
      </c>
      <c r="K157" s="30" t="s">
        <v>145</v>
      </c>
      <c r="L157" s="30" t="s">
        <v>145</v>
      </c>
      <c r="M157" s="30" t="s">
        <v>145</v>
      </c>
      <c r="N157" s="30" t="s">
        <v>145</v>
      </c>
      <c r="O157" s="30" t="s">
        <v>145</v>
      </c>
      <c r="P157" s="30" t="s">
        <v>145</v>
      </c>
      <c r="Q157" s="30" t="s">
        <v>166</v>
      </c>
    </row>
    <row r="158" hidden="1">
      <c r="A158" s="33" t="str">
        <f>hyperlink("https://issues.sierrawireless.com/browse/OEMPRI-5931", "OEMPRI-5931")</f>
        <v>OEMPRI-5931</v>
      </c>
      <c r="B158" s="30" t="s">
        <v>139</v>
      </c>
      <c r="C158" s="30" t="s">
        <v>140</v>
      </c>
      <c r="D158" s="30" t="s">
        <v>177</v>
      </c>
      <c r="E158" s="35">
        <v>43119.0</v>
      </c>
      <c r="F158" s="37" t="s">
        <v>154</v>
      </c>
      <c r="G158" s="30" t="s">
        <v>654</v>
      </c>
      <c r="H158" s="30" t="s">
        <v>145</v>
      </c>
      <c r="I158" s="30" t="s">
        <v>145</v>
      </c>
      <c r="J158" s="30" t="s">
        <v>145</v>
      </c>
      <c r="K158" s="30" t="s">
        <v>145</v>
      </c>
      <c r="L158" s="30" t="s">
        <v>145</v>
      </c>
      <c r="M158" s="30" t="s">
        <v>145</v>
      </c>
      <c r="N158" s="30" t="s">
        <v>145</v>
      </c>
      <c r="O158" s="30" t="s">
        <v>145</v>
      </c>
      <c r="P158" s="30" t="s">
        <v>145</v>
      </c>
      <c r="Q158" s="30" t="s">
        <v>146</v>
      </c>
    </row>
    <row r="159" hidden="1">
      <c r="A159" s="33" t="str">
        <f>hyperlink("https://issues.sierrawireless.com/browse/OEMPRI-5930", "OEMPRI-5930")</f>
        <v>OEMPRI-5930</v>
      </c>
      <c r="B159" s="30" t="s">
        <v>139</v>
      </c>
      <c r="C159" s="30" t="s">
        <v>140</v>
      </c>
      <c r="D159" s="30" t="s">
        <v>177</v>
      </c>
      <c r="E159" s="35">
        <v>43119.0</v>
      </c>
      <c r="F159" s="37" t="s">
        <v>154</v>
      </c>
      <c r="G159" s="30" t="s">
        <v>654</v>
      </c>
      <c r="H159" s="30" t="s">
        <v>145</v>
      </c>
      <c r="I159" s="30" t="s">
        <v>145</v>
      </c>
      <c r="J159" s="30" t="s">
        <v>145</v>
      </c>
      <c r="K159" s="30" t="s">
        <v>145</v>
      </c>
      <c r="L159" s="30" t="s">
        <v>145</v>
      </c>
      <c r="M159" s="30" t="s">
        <v>145</v>
      </c>
      <c r="N159" s="30" t="s">
        <v>145</v>
      </c>
      <c r="O159" s="30" t="s">
        <v>145</v>
      </c>
      <c r="P159" s="30" t="s">
        <v>145</v>
      </c>
      <c r="Q159" s="30" t="s">
        <v>146</v>
      </c>
    </row>
    <row r="160" hidden="1">
      <c r="A160" s="33" t="str">
        <f>hyperlink("https://issues.sierrawireless.com/browse/COUGAR-2479", "COUGAR-2479")</f>
        <v>COUGAR-2479</v>
      </c>
      <c r="B160" s="30" t="s">
        <v>139</v>
      </c>
      <c r="C160" s="30" t="s">
        <v>1116</v>
      </c>
      <c r="D160" s="30" t="s">
        <v>140</v>
      </c>
      <c r="E160" s="43">
        <v>43068.0</v>
      </c>
      <c r="F160" s="44" t="s">
        <v>207</v>
      </c>
      <c r="G160" s="30" t="s">
        <v>1120</v>
      </c>
      <c r="H160" s="30" t="s">
        <v>145</v>
      </c>
      <c r="I160" s="30" t="s">
        <v>145</v>
      </c>
      <c r="J160" s="30" t="s">
        <v>145</v>
      </c>
      <c r="K160" s="30" t="s">
        <v>145</v>
      </c>
      <c r="L160" s="30" t="s">
        <v>180</v>
      </c>
      <c r="M160" s="2" t="s">
        <v>1123</v>
      </c>
      <c r="N160" s="30" t="s">
        <v>145</v>
      </c>
      <c r="O160" s="30" t="s">
        <v>145</v>
      </c>
      <c r="P160" s="30" t="s">
        <v>145</v>
      </c>
      <c r="Q160" s="30" t="s">
        <v>1124</v>
      </c>
    </row>
    <row r="161" hidden="1">
      <c r="A161" s="33" t="str">
        <f>hyperlink("https://issues.sierrawireless.com/browse/OEMPRI-5932", "OEMPRI-5932")</f>
        <v>OEMPRI-5932</v>
      </c>
      <c r="B161" s="30" t="s">
        <v>139</v>
      </c>
      <c r="C161" s="30" t="s">
        <v>148</v>
      </c>
      <c r="D161" s="30" t="s">
        <v>177</v>
      </c>
      <c r="E161" s="35">
        <v>43119.0</v>
      </c>
      <c r="F161" s="37" t="s">
        <v>154</v>
      </c>
      <c r="G161" s="30" t="s">
        <v>1131</v>
      </c>
      <c r="H161" s="30" t="s">
        <v>145</v>
      </c>
      <c r="I161" s="30" t="s">
        <v>145</v>
      </c>
      <c r="J161" s="30" t="s">
        <v>145</v>
      </c>
      <c r="K161" s="30" t="s">
        <v>145</v>
      </c>
      <c r="L161" s="30" t="s">
        <v>145</v>
      </c>
      <c r="M161" s="30" t="s">
        <v>145</v>
      </c>
      <c r="N161" s="30" t="s">
        <v>145</v>
      </c>
      <c r="O161" s="30" t="s">
        <v>145</v>
      </c>
      <c r="P161" s="30" t="s">
        <v>145</v>
      </c>
      <c r="Q161" s="30" t="s">
        <v>152</v>
      </c>
    </row>
    <row r="162" hidden="1">
      <c r="A162" s="33" t="str">
        <f>hyperlink("https://issues.sierrawireless.com/browse/OEMPRI-5926", "OEMPRI-5926")</f>
        <v>OEMPRI-5926</v>
      </c>
      <c r="B162" s="30" t="s">
        <v>139</v>
      </c>
      <c r="C162" s="30" t="s">
        <v>310</v>
      </c>
      <c r="D162" s="30" t="s">
        <v>310</v>
      </c>
      <c r="E162" s="35">
        <v>43119.0</v>
      </c>
      <c r="F162" s="37" t="s">
        <v>143</v>
      </c>
      <c r="G162" s="30" t="s">
        <v>314</v>
      </c>
      <c r="H162" s="30" t="s">
        <v>145</v>
      </c>
      <c r="I162" s="30" t="s">
        <v>145</v>
      </c>
      <c r="J162" s="30" t="s">
        <v>145</v>
      </c>
      <c r="K162" s="30" t="s">
        <v>145</v>
      </c>
      <c r="L162" s="30" t="s">
        <v>145</v>
      </c>
      <c r="M162" s="30" t="s">
        <v>145</v>
      </c>
      <c r="N162" s="30" t="s">
        <v>145</v>
      </c>
      <c r="O162" s="30" t="s">
        <v>145</v>
      </c>
      <c r="P162" s="30" t="s">
        <v>145</v>
      </c>
      <c r="Q162" s="30" t="s">
        <v>314</v>
      </c>
    </row>
    <row r="163" hidden="1">
      <c r="A163" s="33" t="str">
        <f>hyperlink("https://issues.sierrawireless.com/browse/OEMPRI-5933", "OEMPRI-5933")</f>
        <v>OEMPRI-5933</v>
      </c>
      <c r="B163" s="30" t="s">
        <v>139</v>
      </c>
      <c r="C163" s="30" t="s">
        <v>310</v>
      </c>
      <c r="D163" s="30" t="s">
        <v>310</v>
      </c>
      <c r="E163" s="35">
        <v>43119.0</v>
      </c>
      <c r="F163" s="37" t="s">
        <v>143</v>
      </c>
      <c r="G163" s="30" t="s">
        <v>314</v>
      </c>
      <c r="H163" s="30" t="s">
        <v>145</v>
      </c>
      <c r="I163" s="30" t="s">
        <v>145</v>
      </c>
      <c r="J163" s="30" t="s">
        <v>145</v>
      </c>
      <c r="K163" s="30" t="s">
        <v>145</v>
      </c>
      <c r="L163" s="30" t="s">
        <v>145</v>
      </c>
      <c r="M163" s="30" t="s">
        <v>145</v>
      </c>
      <c r="N163" s="30" t="s">
        <v>145</v>
      </c>
      <c r="O163" s="30" t="s">
        <v>145</v>
      </c>
      <c r="P163" s="30" t="s">
        <v>145</v>
      </c>
      <c r="Q163" s="30" t="s">
        <v>314</v>
      </c>
    </row>
    <row r="164" hidden="1">
      <c r="A164" s="33" t="str">
        <f>hyperlink("https://issues.sierrawireless.com/browse/OEMPRI-5934", "OEMPRI-5934")</f>
        <v>OEMPRI-5934</v>
      </c>
      <c r="B164" s="30" t="s">
        <v>139</v>
      </c>
      <c r="C164" s="30" t="s">
        <v>310</v>
      </c>
      <c r="D164" s="30" t="s">
        <v>310</v>
      </c>
      <c r="E164" s="35">
        <v>43119.0</v>
      </c>
      <c r="F164" s="37" t="s">
        <v>143</v>
      </c>
      <c r="G164" s="30" t="s">
        <v>314</v>
      </c>
      <c r="H164" s="30" t="s">
        <v>145</v>
      </c>
      <c r="I164" s="30" t="s">
        <v>145</v>
      </c>
      <c r="J164" s="30" t="s">
        <v>145</v>
      </c>
      <c r="K164" s="30" t="s">
        <v>145</v>
      </c>
      <c r="L164" s="30" t="s">
        <v>145</v>
      </c>
      <c r="M164" s="30" t="s">
        <v>145</v>
      </c>
      <c r="N164" s="30" t="s">
        <v>145</v>
      </c>
      <c r="O164" s="30" t="s">
        <v>145</v>
      </c>
      <c r="P164" s="30" t="s">
        <v>145</v>
      </c>
      <c r="Q164" s="30" t="s">
        <v>314</v>
      </c>
    </row>
    <row r="165" hidden="1">
      <c r="A165" s="33" t="str">
        <f>hyperlink("https://issues.sierrawireless.com/browse/OEMPRI-5935", "OEMPRI-5935")</f>
        <v>OEMPRI-5935</v>
      </c>
      <c r="B165" s="30" t="s">
        <v>139</v>
      </c>
      <c r="C165" s="30" t="s">
        <v>310</v>
      </c>
      <c r="D165" s="30" t="s">
        <v>310</v>
      </c>
      <c r="E165" s="35">
        <v>43119.0</v>
      </c>
      <c r="F165" s="37" t="s">
        <v>143</v>
      </c>
      <c r="G165" s="30" t="s">
        <v>314</v>
      </c>
      <c r="H165" s="30" t="s">
        <v>145</v>
      </c>
      <c r="I165" s="30" t="s">
        <v>145</v>
      </c>
      <c r="J165" s="30" t="s">
        <v>145</v>
      </c>
      <c r="K165" s="30" t="s">
        <v>145</v>
      </c>
      <c r="L165" s="30" t="s">
        <v>145</v>
      </c>
      <c r="M165" s="30" t="s">
        <v>145</v>
      </c>
      <c r="N165" s="30" t="s">
        <v>145</v>
      </c>
      <c r="O165" s="30" t="s">
        <v>145</v>
      </c>
      <c r="P165" s="30" t="s">
        <v>145</v>
      </c>
      <c r="Q165" s="30" t="s">
        <v>314</v>
      </c>
    </row>
    <row r="166" hidden="1">
      <c r="A166" s="33" t="str">
        <f>hyperlink("https://issues.sierrawireless.com/browse/OEMPRI-5936", "OEMPRI-5936")</f>
        <v>OEMPRI-5936</v>
      </c>
      <c r="B166" s="30" t="s">
        <v>139</v>
      </c>
      <c r="C166" s="30" t="s">
        <v>310</v>
      </c>
      <c r="D166" s="30" t="s">
        <v>310</v>
      </c>
      <c r="E166" s="35">
        <v>43119.0</v>
      </c>
      <c r="F166" s="37" t="s">
        <v>143</v>
      </c>
      <c r="G166" s="30" t="s">
        <v>314</v>
      </c>
      <c r="H166" s="30" t="s">
        <v>145</v>
      </c>
      <c r="I166" s="30" t="s">
        <v>145</v>
      </c>
      <c r="J166" s="30" t="s">
        <v>145</v>
      </c>
      <c r="K166" s="30" t="s">
        <v>145</v>
      </c>
      <c r="L166" s="30" t="s">
        <v>145</v>
      </c>
      <c r="M166" s="30" t="s">
        <v>145</v>
      </c>
      <c r="N166" s="30" t="s">
        <v>145</v>
      </c>
      <c r="O166" s="30" t="s">
        <v>145</v>
      </c>
      <c r="P166" s="30" t="s">
        <v>145</v>
      </c>
      <c r="Q166" s="30" t="s">
        <v>314</v>
      </c>
    </row>
    <row r="167" hidden="1">
      <c r="A167" s="33" t="str">
        <f>hyperlink("https://issues.sierrawireless.com/browse/OEMPRI-5940", "OEMPRI-5940")</f>
        <v>OEMPRI-5940</v>
      </c>
      <c r="B167" s="30" t="s">
        <v>139</v>
      </c>
      <c r="C167" s="30" t="s">
        <v>310</v>
      </c>
      <c r="D167" s="30" t="s">
        <v>310</v>
      </c>
      <c r="E167" s="35">
        <v>43119.0</v>
      </c>
      <c r="F167" s="37" t="s">
        <v>143</v>
      </c>
      <c r="G167" s="30" t="s">
        <v>314</v>
      </c>
      <c r="H167" s="30" t="s">
        <v>145</v>
      </c>
      <c r="I167" s="30" t="s">
        <v>145</v>
      </c>
      <c r="J167" s="30" t="s">
        <v>145</v>
      </c>
      <c r="K167" s="30" t="s">
        <v>145</v>
      </c>
      <c r="L167" s="30" t="s">
        <v>145</v>
      </c>
      <c r="M167" s="30" t="s">
        <v>145</v>
      </c>
      <c r="N167" s="30" t="s">
        <v>145</v>
      </c>
      <c r="O167" s="30" t="s">
        <v>145</v>
      </c>
      <c r="P167" s="30" t="s">
        <v>145</v>
      </c>
      <c r="Q167" s="30" t="s">
        <v>314</v>
      </c>
    </row>
    <row r="168" hidden="1">
      <c r="A168" s="33" t="str">
        <f>hyperlink("https://issues.sierrawireless.com/browse/OEMPRI-6629", "OEMPRI-6629")</f>
        <v>OEMPRI-6629</v>
      </c>
      <c r="B168" s="30" t="s">
        <v>139</v>
      </c>
      <c r="C168" s="30" t="s">
        <v>120</v>
      </c>
      <c r="D168" s="30" t="s">
        <v>122</v>
      </c>
      <c r="E168" s="35">
        <v>43185.0</v>
      </c>
      <c r="F168" s="37" t="s">
        <v>150</v>
      </c>
      <c r="G168" s="30" t="s">
        <v>1168</v>
      </c>
      <c r="H168" s="30" t="s">
        <v>212</v>
      </c>
      <c r="I168" s="30" t="s">
        <v>1169</v>
      </c>
      <c r="J168" s="30" t="s">
        <v>145</v>
      </c>
      <c r="K168" s="30" t="s">
        <v>145</v>
      </c>
      <c r="L168" s="30" t="s">
        <v>145</v>
      </c>
      <c r="M168" s="30" t="s">
        <v>145</v>
      </c>
      <c r="N168" s="30" t="s">
        <v>145</v>
      </c>
      <c r="O168" s="30" t="s">
        <v>145</v>
      </c>
      <c r="P168" s="30" t="s">
        <v>145</v>
      </c>
      <c r="Q168" s="30" t="s">
        <v>212</v>
      </c>
    </row>
    <row r="169" hidden="1">
      <c r="A169" s="33" t="str">
        <f>hyperlink("https://issues.sierrawireless.com/browse/OEMPRI-5889", "OEMPRI-5889")</f>
        <v>OEMPRI-5889</v>
      </c>
      <c r="B169" s="30" t="s">
        <v>139</v>
      </c>
      <c r="C169" s="30" t="s">
        <v>140</v>
      </c>
      <c r="D169" s="30" t="s">
        <v>153</v>
      </c>
      <c r="E169" s="35">
        <v>43118.0</v>
      </c>
      <c r="F169" s="37" t="s">
        <v>154</v>
      </c>
      <c r="G169" s="30" t="s">
        <v>146</v>
      </c>
      <c r="H169" s="30" t="s">
        <v>145</v>
      </c>
      <c r="I169" s="30" t="s">
        <v>145</v>
      </c>
      <c r="J169" s="30" t="s">
        <v>145</v>
      </c>
      <c r="K169" s="30" t="s">
        <v>145</v>
      </c>
      <c r="L169" s="30" t="s">
        <v>145</v>
      </c>
      <c r="M169" s="30" t="s">
        <v>145</v>
      </c>
      <c r="N169" s="30" t="s">
        <v>145</v>
      </c>
      <c r="O169" s="30" t="s">
        <v>145</v>
      </c>
      <c r="P169" s="30" t="s">
        <v>145</v>
      </c>
      <c r="Q169" s="30" t="s">
        <v>146</v>
      </c>
    </row>
    <row r="170" hidden="1">
      <c r="A170" s="33" t="str">
        <f>hyperlink("https://issues.sierrawireless.com/browse/OEMPRI-5882", "OEMPRI-5882")</f>
        <v>OEMPRI-5882</v>
      </c>
      <c r="B170" s="30" t="s">
        <v>139</v>
      </c>
      <c r="C170" s="30" t="s">
        <v>140</v>
      </c>
      <c r="D170" s="30" t="s">
        <v>140</v>
      </c>
      <c r="E170" s="35">
        <v>43117.0</v>
      </c>
      <c r="F170" s="37" t="s">
        <v>269</v>
      </c>
      <c r="G170" s="30" t="s">
        <v>1182</v>
      </c>
      <c r="H170" s="30" t="s">
        <v>145</v>
      </c>
      <c r="I170" s="30" t="s">
        <v>145</v>
      </c>
      <c r="J170" s="30" t="s">
        <v>145</v>
      </c>
      <c r="K170" s="30" t="s">
        <v>145</v>
      </c>
      <c r="L170" s="30" t="s">
        <v>145</v>
      </c>
      <c r="M170" s="30" t="s">
        <v>145</v>
      </c>
      <c r="N170" s="30" t="s">
        <v>145</v>
      </c>
      <c r="O170" s="30" t="s">
        <v>145</v>
      </c>
      <c r="P170" s="30" t="s">
        <v>145</v>
      </c>
      <c r="Q170" s="30" t="s">
        <v>146</v>
      </c>
    </row>
    <row r="171" hidden="1">
      <c r="A171" s="33" t="str">
        <f>hyperlink("https://issues.sierrawireless.com/browse/OEMPRI-5883", "OEMPRI-5883")</f>
        <v>OEMPRI-5883</v>
      </c>
      <c r="B171" s="30" t="s">
        <v>139</v>
      </c>
      <c r="C171" s="30" t="s">
        <v>140</v>
      </c>
      <c r="D171" s="30" t="s">
        <v>140</v>
      </c>
      <c r="E171" s="35">
        <v>43117.0</v>
      </c>
      <c r="F171" s="37" t="s">
        <v>269</v>
      </c>
      <c r="G171" s="30" t="s">
        <v>1182</v>
      </c>
      <c r="H171" s="30" t="s">
        <v>145</v>
      </c>
      <c r="I171" s="30" t="s">
        <v>145</v>
      </c>
      <c r="J171" s="30" t="s">
        <v>145</v>
      </c>
      <c r="K171" s="30" t="s">
        <v>145</v>
      </c>
      <c r="L171" s="30" t="s">
        <v>145</v>
      </c>
      <c r="M171" s="30" t="s">
        <v>145</v>
      </c>
      <c r="N171" s="30" t="s">
        <v>145</v>
      </c>
      <c r="O171" s="30" t="s">
        <v>145</v>
      </c>
      <c r="P171" s="30" t="s">
        <v>145</v>
      </c>
      <c r="Q171" s="30" t="s">
        <v>146</v>
      </c>
    </row>
    <row r="172" hidden="1">
      <c r="A172" s="33" t="str">
        <f>hyperlink("https://issues.sierrawireless.com/browse/QTI9X40-2902", "QTI9X40-2902")</f>
        <v>QTI9X40-2902</v>
      </c>
      <c r="B172" s="30" t="s">
        <v>417</v>
      </c>
      <c r="C172" s="30" t="s">
        <v>140</v>
      </c>
      <c r="D172" s="30" t="s">
        <v>1191</v>
      </c>
      <c r="E172" s="43">
        <v>43091.0</v>
      </c>
      <c r="F172" s="44" t="s">
        <v>379</v>
      </c>
      <c r="G172" s="2" t="s">
        <v>1192</v>
      </c>
      <c r="H172" s="30" t="s">
        <v>166</v>
      </c>
      <c r="I172" s="30" t="s">
        <v>166</v>
      </c>
      <c r="J172" s="30" t="s">
        <v>166</v>
      </c>
      <c r="K172" s="30" t="s">
        <v>166</v>
      </c>
      <c r="L172" s="30" t="s">
        <v>166</v>
      </c>
      <c r="M172" s="30" t="s">
        <v>166</v>
      </c>
      <c r="N172" s="30" t="s">
        <v>145</v>
      </c>
      <c r="O172" s="30" t="s">
        <v>145</v>
      </c>
      <c r="P172" s="30" t="s">
        <v>145</v>
      </c>
      <c r="Q172" s="30" t="s">
        <v>166</v>
      </c>
    </row>
    <row r="173" hidden="1">
      <c r="A173" s="33" t="str">
        <f>hyperlink("https://issues.sierrawireless.com/browse/QTI9X28-2803", "QTI9X28-2803")</f>
        <v>QTI9X28-2803</v>
      </c>
      <c r="B173" s="30" t="s">
        <v>417</v>
      </c>
      <c r="C173" s="30" t="s">
        <v>140</v>
      </c>
      <c r="D173" s="30" t="s">
        <v>1191</v>
      </c>
      <c r="E173" s="43">
        <v>43091.0</v>
      </c>
      <c r="F173" s="44" t="s">
        <v>379</v>
      </c>
      <c r="G173" s="2" t="s">
        <v>1192</v>
      </c>
      <c r="H173" s="30" t="s">
        <v>166</v>
      </c>
      <c r="I173" s="30" t="s">
        <v>166</v>
      </c>
      <c r="J173" s="30" t="s">
        <v>166</v>
      </c>
      <c r="K173" s="30" t="s">
        <v>166</v>
      </c>
      <c r="L173" s="30" t="s">
        <v>166</v>
      </c>
      <c r="M173" s="30" t="s">
        <v>166</v>
      </c>
      <c r="N173" s="30" t="s">
        <v>145</v>
      </c>
      <c r="O173" s="30" t="s">
        <v>145</v>
      </c>
      <c r="P173" s="30" t="s">
        <v>145</v>
      </c>
      <c r="Q173" s="30" t="s">
        <v>166</v>
      </c>
    </row>
    <row r="174" hidden="1">
      <c r="A174" s="33" t="str">
        <f>hyperlink("https://issues.sierrawireless.com/browse/QTI9X28-2797", "QTI9X28-2797")</f>
        <v>QTI9X28-2797</v>
      </c>
      <c r="B174" s="30" t="s">
        <v>417</v>
      </c>
      <c r="C174" s="30" t="s">
        <v>140</v>
      </c>
      <c r="D174" s="30" t="s">
        <v>1203</v>
      </c>
      <c r="E174" s="35">
        <v>43091.0</v>
      </c>
      <c r="F174" s="37" t="s">
        <v>207</v>
      </c>
      <c r="G174" s="30" t="s">
        <v>1192</v>
      </c>
      <c r="H174" s="30" t="s">
        <v>145</v>
      </c>
      <c r="I174" s="30" t="s">
        <v>145</v>
      </c>
      <c r="J174" s="30" t="s">
        <v>145</v>
      </c>
      <c r="K174" s="30" t="s">
        <v>145</v>
      </c>
      <c r="L174" s="30" t="s">
        <v>145</v>
      </c>
      <c r="M174" s="30" t="s">
        <v>145</v>
      </c>
      <c r="N174" s="30" t="s">
        <v>145</v>
      </c>
      <c r="O174" s="30" t="s">
        <v>145</v>
      </c>
      <c r="P174" s="30" t="s">
        <v>145</v>
      </c>
      <c r="Q174" s="30" t="s">
        <v>166</v>
      </c>
    </row>
    <row r="175" hidden="1">
      <c r="A175" s="33" t="str">
        <f>hyperlink("https://issues.sierrawireless.com/browse/OEMPRI-5869", "OEMPRI-5869")</f>
        <v>OEMPRI-5869</v>
      </c>
      <c r="B175" s="30" t="s">
        <v>139</v>
      </c>
      <c r="C175" s="30" t="s">
        <v>140</v>
      </c>
      <c r="D175" s="30" t="s">
        <v>153</v>
      </c>
      <c r="E175" s="35">
        <v>43116.0</v>
      </c>
      <c r="F175" s="37" t="s">
        <v>154</v>
      </c>
      <c r="G175" s="30" t="s">
        <v>146</v>
      </c>
      <c r="H175" s="30" t="s">
        <v>145</v>
      </c>
      <c r="I175" s="30" t="s">
        <v>145</v>
      </c>
      <c r="J175" s="30" t="s">
        <v>145</v>
      </c>
      <c r="K175" s="30" t="s">
        <v>145</v>
      </c>
      <c r="L175" s="30" t="s">
        <v>145</v>
      </c>
      <c r="M175" s="30" t="s">
        <v>145</v>
      </c>
      <c r="N175" s="30" t="s">
        <v>145</v>
      </c>
      <c r="O175" s="30" t="s">
        <v>145</v>
      </c>
      <c r="P175" s="30" t="s">
        <v>145</v>
      </c>
      <c r="Q175" s="30" t="s">
        <v>146</v>
      </c>
    </row>
    <row r="176" hidden="1">
      <c r="A176" s="33" t="str">
        <f>hyperlink("https://issues.sierrawireless.com/browse/OEMPRI-5870", "OEMPRI-5870")</f>
        <v>OEMPRI-5870</v>
      </c>
      <c r="B176" s="30" t="s">
        <v>139</v>
      </c>
      <c r="C176" s="30" t="s">
        <v>140</v>
      </c>
      <c r="D176" s="30" t="s">
        <v>140</v>
      </c>
      <c r="E176" s="35">
        <v>43116.0</v>
      </c>
      <c r="F176" s="37" t="s">
        <v>452</v>
      </c>
      <c r="G176" s="30" t="s">
        <v>146</v>
      </c>
      <c r="H176" s="30" t="s">
        <v>145</v>
      </c>
      <c r="I176" s="30" t="s">
        <v>146</v>
      </c>
      <c r="J176" s="30" t="s">
        <v>146</v>
      </c>
      <c r="K176" s="30" t="s">
        <v>146</v>
      </c>
      <c r="L176" s="30" t="s">
        <v>146</v>
      </c>
      <c r="M176" s="30" t="s">
        <v>145</v>
      </c>
      <c r="N176" s="30" t="s">
        <v>145</v>
      </c>
      <c r="O176" s="30" t="s">
        <v>145</v>
      </c>
      <c r="P176" s="30" t="s">
        <v>145</v>
      </c>
      <c r="Q176" s="30" t="s">
        <v>146</v>
      </c>
    </row>
    <row r="177" hidden="1">
      <c r="A177" s="33" t="str">
        <f>hyperlink("https://issues.sierrawireless.com/browse/OEMPRI-5840", "OEMPRI-5840")</f>
        <v>OEMPRI-5840</v>
      </c>
      <c r="B177" s="30" t="s">
        <v>139</v>
      </c>
      <c r="C177" s="30" t="s">
        <v>140</v>
      </c>
      <c r="D177" s="30" t="s">
        <v>153</v>
      </c>
      <c r="E177" s="35">
        <v>43112.0</v>
      </c>
      <c r="F177" s="37" t="s">
        <v>154</v>
      </c>
      <c r="G177" s="30" t="s">
        <v>171</v>
      </c>
      <c r="H177" s="30" t="s">
        <v>145</v>
      </c>
      <c r="I177" s="30" t="s">
        <v>145</v>
      </c>
      <c r="J177" s="30" t="s">
        <v>145</v>
      </c>
      <c r="K177" s="30" t="s">
        <v>145</v>
      </c>
      <c r="L177" s="30" t="s">
        <v>145</v>
      </c>
      <c r="M177" s="30" t="s">
        <v>145</v>
      </c>
      <c r="N177" s="30" t="s">
        <v>145</v>
      </c>
      <c r="O177" s="30" t="s">
        <v>145</v>
      </c>
      <c r="P177" s="30" t="s">
        <v>145</v>
      </c>
      <c r="Q177" s="30" t="s">
        <v>146</v>
      </c>
    </row>
    <row r="178" hidden="1">
      <c r="A178" s="33" t="str">
        <f>hyperlink("https://issues.sierrawireless.com/browse/OEMPRI-5835", "OEMPRI-5835")</f>
        <v>OEMPRI-5835</v>
      </c>
      <c r="B178" s="30" t="s">
        <v>139</v>
      </c>
      <c r="C178" s="30" t="s">
        <v>140</v>
      </c>
      <c r="D178" s="30" t="s">
        <v>153</v>
      </c>
      <c r="E178" s="35">
        <v>43112.0</v>
      </c>
      <c r="F178" s="37" t="s">
        <v>154</v>
      </c>
      <c r="G178" s="30" t="s">
        <v>146</v>
      </c>
      <c r="H178" s="30" t="s">
        <v>145</v>
      </c>
      <c r="I178" s="30" t="s">
        <v>145</v>
      </c>
      <c r="J178" s="30" t="s">
        <v>145</v>
      </c>
      <c r="K178" s="30" t="s">
        <v>145</v>
      </c>
      <c r="L178" s="30" t="s">
        <v>145</v>
      </c>
      <c r="M178" s="30" t="s">
        <v>145</v>
      </c>
      <c r="N178" s="30" t="s">
        <v>145</v>
      </c>
      <c r="O178" s="30" t="s">
        <v>145</v>
      </c>
      <c r="P178" s="30" t="s">
        <v>145</v>
      </c>
      <c r="Q178" s="30" t="s">
        <v>146</v>
      </c>
    </row>
    <row r="179" hidden="1">
      <c r="A179" s="33" t="str">
        <f>hyperlink("https://issues.sierrawireless.com/browse/OEMPRI-5838", "OEMPRI-5838")</f>
        <v>OEMPRI-5838</v>
      </c>
      <c r="B179" s="30" t="s">
        <v>139</v>
      </c>
      <c r="C179" s="30" t="s">
        <v>140</v>
      </c>
      <c r="D179" s="30" t="s">
        <v>153</v>
      </c>
      <c r="E179" s="35">
        <v>43112.0</v>
      </c>
      <c r="F179" s="37" t="s">
        <v>154</v>
      </c>
      <c r="G179" s="30" t="s">
        <v>146</v>
      </c>
      <c r="H179" s="30" t="s">
        <v>145</v>
      </c>
      <c r="I179" s="30" t="s">
        <v>145</v>
      </c>
      <c r="J179" s="30" t="s">
        <v>145</v>
      </c>
      <c r="K179" s="30" t="s">
        <v>145</v>
      </c>
      <c r="L179" s="30" t="s">
        <v>145</v>
      </c>
      <c r="M179" s="30" t="s">
        <v>145</v>
      </c>
      <c r="N179" s="30" t="s">
        <v>145</v>
      </c>
      <c r="O179" s="30" t="s">
        <v>145</v>
      </c>
      <c r="P179" s="30" t="s">
        <v>145</v>
      </c>
      <c r="Q179" s="30" t="s">
        <v>146</v>
      </c>
    </row>
    <row r="180" hidden="1">
      <c r="A180" s="33" t="str">
        <f>hyperlink("https://issues.sierrawireless.com/browse/OEMPRI-5836", "OEMPRI-5836")</f>
        <v>OEMPRI-5836</v>
      </c>
      <c r="B180" s="30" t="s">
        <v>139</v>
      </c>
      <c r="C180" s="30" t="s">
        <v>148</v>
      </c>
      <c r="D180" s="30" t="s">
        <v>216</v>
      </c>
      <c r="E180" s="35">
        <v>43112.0</v>
      </c>
      <c r="F180" s="37" t="s">
        <v>150</v>
      </c>
      <c r="G180" s="30" t="s">
        <v>197</v>
      </c>
      <c r="H180" s="30" t="s">
        <v>145</v>
      </c>
      <c r="I180" s="30" t="s">
        <v>152</v>
      </c>
      <c r="J180" s="30" t="s">
        <v>152</v>
      </c>
      <c r="K180" s="30" t="s">
        <v>1237</v>
      </c>
      <c r="L180" s="30" t="s">
        <v>1238</v>
      </c>
      <c r="M180" s="30" t="s">
        <v>1239</v>
      </c>
      <c r="N180" s="30" t="s">
        <v>152</v>
      </c>
      <c r="O180" s="30" t="s">
        <v>152</v>
      </c>
      <c r="P180" s="30" t="s">
        <v>152</v>
      </c>
      <c r="Q180" s="30" t="s">
        <v>152</v>
      </c>
    </row>
    <row r="181" hidden="1">
      <c r="A181" s="33" t="str">
        <f>hyperlink("https://issues.sierrawireless.com/browse/OEMPRI-5827", "OEMPRI-5827")</f>
        <v>OEMPRI-5827</v>
      </c>
      <c r="B181" s="30" t="s">
        <v>139</v>
      </c>
      <c r="C181" s="30" t="s">
        <v>140</v>
      </c>
      <c r="D181" s="30" t="s">
        <v>153</v>
      </c>
      <c r="E181" s="35">
        <v>43111.0</v>
      </c>
      <c r="F181" s="37" t="s">
        <v>154</v>
      </c>
      <c r="G181" s="30" t="s">
        <v>146</v>
      </c>
      <c r="H181" s="30" t="s">
        <v>145</v>
      </c>
      <c r="I181" s="30" t="s">
        <v>145</v>
      </c>
      <c r="J181" s="30" t="s">
        <v>145</v>
      </c>
      <c r="K181" s="30" t="s">
        <v>145</v>
      </c>
      <c r="L181" s="30" t="s">
        <v>145</v>
      </c>
      <c r="M181" s="30" t="s">
        <v>145</v>
      </c>
      <c r="N181" s="30" t="s">
        <v>145</v>
      </c>
      <c r="O181" s="30" t="s">
        <v>145</v>
      </c>
      <c r="P181" s="30" t="s">
        <v>145</v>
      </c>
      <c r="Q181" s="30" t="s">
        <v>146</v>
      </c>
    </row>
    <row r="182" hidden="1">
      <c r="A182" s="33" t="str">
        <f>hyperlink("https://issues.sierrawireless.com/browse/OEMPRI-5829", "OEMPRI-5829")</f>
        <v>OEMPRI-5829</v>
      </c>
      <c r="B182" s="30" t="s">
        <v>139</v>
      </c>
      <c r="C182" s="30" t="s">
        <v>140</v>
      </c>
      <c r="D182" s="30" t="s">
        <v>140</v>
      </c>
      <c r="E182" s="35">
        <v>43111.0</v>
      </c>
      <c r="F182" s="37" t="s">
        <v>143</v>
      </c>
      <c r="G182" s="30" t="s">
        <v>171</v>
      </c>
      <c r="H182" s="30" t="s">
        <v>145</v>
      </c>
      <c r="I182" s="30" t="s">
        <v>145</v>
      </c>
      <c r="J182" s="30" t="s">
        <v>145</v>
      </c>
      <c r="K182" s="30" t="s">
        <v>145</v>
      </c>
      <c r="L182" s="30" t="s">
        <v>145</v>
      </c>
      <c r="M182" s="30" t="s">
        <v>145</v>
      </c>
      <c r="N182" s="30" t="s">
        <v>145</v>
      </c>
      <c r="O182" s="30" t="s">
        <v>145</v>
      </c>
      <c r="P182" s="30" t="s">
        <v>145</v>
      </c>
      <c r="Q182" s="30" t="s">
        <v>146</v>
      </c>
    </row>
    <row r="183" hidden="1">
      <c r="A183" s="33" t="str">
        <f>hyperlink("https://issues.sierrawireless.com/browse/OEMPRI-5826", "OEMPRI-5826")</f>
        <v>OEMPRI-5826</v>
      </c>
      <c r="B183" s="30" t="s">
        <v>139</v>
      </c>
      <c r="C183" s="30" t="s">
        <v>140</v>
      </c>
      <c r="D183" s="30" t="s">
        <v>337</v>
      </c>
      <c r="E183" s="35">
        <v>43111.0</v>
      </c>
      <c r="F183" s="37" t="s">
        <v>150</v>
      </c>
      <c r="G183" s="30" t="s">
        <v>140</v>
      </c>
      <c r="H183" s="30" t="s">
        <v>146</v>
      </c>
      <c r="I183" s="30" t="s">
        <v>407</v>
      </c>
      <c r="J183" s="30" t="s">
        <v>1255</v>
      </c>
      <c r="K183" s="30" t="s">
        <v>145</v>
      </c>
      <c r="L183" s="30" t="s">
        <v>145</v>
      </c>
      <c r="M183" s="30" t="s">
        <v>145</v>
      </c>
      <c r="N183" s="30" t="s">
        <v>145</v>
      </c>
      <c r="O183" s="30" t="s">
        <v>145</v>
      </c>
      <c r="P183" s="30" t="s">
        <v>145</v>
      </c>
      <c r="Q183" s="30" t="s">
        <v>146</v>
      </c>
    </row>
    <row r="184" hidden="1">
      <c r="A184" s="33" t="str">
        <f>hyperlink("https://issues.sierrawireless.com/browse/OEMPRI-7384", "OEMPRI-7384")</f>
        <v>OEMPRI-7384</v>
      </c>
      <c r="B184" s="30" t="s">
        <v>139</v>
      </c>
      <c r="C184" s="30" t="s">
        <v>148</v>
      </c>
      <c r="D184" s="30" t="s">
        <v>141</v>
      </c>
      <c r="E184" s="35">
        <v>43259.0</v>
      </c>
      <c r="F184" s="37" t="s">
        <v>150</v>
      </c>
      <c r="G184" s="30" t="s">
        <v>264</v>
      </c>
      <c r="H184" s="30" t="s">
        <v>146</v>
      </c>
      <c r="I184" s="30" t="s">
        <v>146</v>
      </c>
      <c r="J184" s="30" t="s">
        <v>146</v>
      </c>
      <c r="K184" s="30" t="s">
        <v>152</v>
      </c>
      <c r="L184" s="30" t="s">
        <v>152</v>
      </c>
      <c r="M184" s="30" t="s">
        <v>1270</v>
      </c>
      <c r="N184" s="30" t="s">
        <v>145</v>
      </c>
      <c r="O184" s="30" t="s">
        <v>145</v>
      </c>
      <c r="P184" s="30" t="s">
        <v>145</v>
      </c>
      <c r="Q184" s="30" t="s">
        <v>156</v>
      </c>
    </row>
    <row r="185" hidden="1">
      <c r="A185" s="33" t="str">
        <f>hyperlink("https://issues.sierrawireless.com/browse/OEMPRI-5787", "OEMPRI-5787")</f>
        <v>OEMPRI-5787</v>
      </c>
      <c r="B185" s="30" t="s">
        <v>139</v>
      </c>
      <c r="C185" s="30" t="s">
        <v>148</v>
      </c>
      <c r="D185" s="30" t="s">
        <v>164</v>
      </c>
      <c r="E185" s="35">
        <v>43110.0</v>
      </c>
      <c r="F185" s="37" t="s">
        <v>150</v>
      </c>
      <c r="G185" s="30" t="s">
        <v>148</v>
      </c>
      <c r="H185" s="30" t="s">
        <v>152</v>
      </c>
      <c r="I185" s="30" t="s">
        <v>152</v>
      </c>
      <c r="J185" s="30" t="s">
        <v>152</v>
      </c>
      <c r="K185" s="30" t="s">
        <v>152</v>
      </c>
      <c r="L185" s="30" t="s">
        <v>152</v>
      </c>
      <c r="M185" s="30" t="s">
        <v>152</v>
      </c>
      <c r="N185" s="30" t="s">
        <v>145</v>
      </c>
      <c r="O185" s="30" t="s">
        <v>145</v>
      </c>
      <c r="P185" s="30" t="s">
        <v>145</v>
      </c>
      <c r="Q185" s="30" t="s">
        <v>213</v>
      </c>
    </row>
    <row r="186" hidden="1">
      <c r="A186" s="33" t="str">
        <f>hyperlink("https://issues.sierrawireless.com/browse/OEMPRI-5783", "OEMPRI-5783")</f>
        <v>OEMPRI-5783</v>
      </c>
      <c r="B186" s="30" t="s">
        <v>139</v>
      </c>
      <c r="C186" s="30" t="s">
        <v>122</v>
      </c>
      <c r="D186" s="30" t="s">
        <v>122</v>
      </c>
      <c r="E186" s="35">
        <v>43110.0</v>
      </c>
      <c r="F186" s="37" t="s">
        <v>150</v>
      </c>
      <c r="G186" s="30" t="s">
        <v>1280</v>
      </c>
      <c r="H186" s="30" t="s">
        <v>223</v>
      </c>
      <c r="I186" s="30" t="s">
        <v>146</v>
      </c>
      <c r="J186" s="30" t="s">
        <v>146</v>
      </c>
      <c r="K186" s="30" t="s">
        <v>340</v>
      </c>
      <c r="L186" s="30" t="s">
        <v>152</v>
      </c>
      <c r="M186" s="30" t="s">
        <v>687</v>
      </c>
      <c r="N186" s="30" t="s">
        <v>145</v>
      </c>
      <c r="O186" s="30" t="s">
        <v>145</v>
      </c>
      <c r="P186" s="30" t="s">
        <v>145</v>
      </c>
      <c r="Q186" s="30" t="s">
        <v>1284</v>
      </c>
    </row>
    <row r="187" hidden="1">
      <c r="A187" s="33" t="str">
        <f>hyperlink("https://issues.sierrawireless.com/browse/OEMPRI-5792", "OEMPRI-5792")</f>
        <v>OEMPRI-5792</v>
      </c>
      <c r="B187" s="30" t="s">
        <v>139</v>
      </c>
      <c r="C187" s="30" t="s">
        <v>122</v>
      </c>
      <c r="D187" s="30" t="s">
        <v>122</v>
      </c>
      <c r="E187" s="35">
        <v>43110.0</v>
      </c>
      <c r="F187" s="37" t="s">
        <v>150</v>
      </c>
      <c r="G187" s="30" t="s">
        <v>1288</v>
      </c>
      <c r="H187" s="30" t="s">
        <v>223</v>
      </c>
      <c r="I187" s="30" t="s">
        <v>185</v>
      </c>
      <c r="J187" s="30" t="s">
        <v>146</v>
      </c>
      <c r="K187" s="30" t="s">
        <v>1291</v>
      </c>
      <c r="L187" s="30" t="s">
        <v>145</v>
      </c>
      <c r="M187" s="30" t="s">
        <v>145</v>
      </c>
      <c r="N187" s="30" t="s">
        <v>145</v>
      </c>
      <c r="O187" s="30" t="s">
        <v>145</v>
      </c>
      <c r="P187" s="30" t="s">
        <v>145</v>
      </c>
      <c r="Q187" s="30" t="s">
        <v>687</v>
      </c>
    </row>
    <row r="188" hidden="1">
      <c r="A188" s="33" t="str">
        <f>hyperlink("https://issues.sierrawireless.com/browse/OEMPRI-5802", "OEMPRI-5802")</f>
        <v>OEMPRI-5802</v>
      </c>
      <c r="B188" s="30" t="s">
        <v>139</v>
      </c>
      <c r="C188" s="30" t="s">
        <v>122</v>
      </c>
      <c r="D188" s="30" t="s">
        <v>122</v>
      </c>
      <c r="E188" s="35">
        <v>43110.0</v>
      </c>
      <c r="F188" s="37" t="s">
        <v>150</v>
      </c>
      <c r="G188" s="30" t="s">
        <v>1288</v>
      </c>
      <c r="H188" s="30" t="s">
        <v>223</v>
      </c>
      <c r="I188" s="30" t="s">
        <v>185</v>
      </c>
      <c r="J188" s="30" t="s">
        <v>146</v>
      </c>
      <c r="K188" s="30" t="s">
        <v>1291</v>
      </c>
      <c r="L188" s="30" t="s">
        <v>145</v>
      </c>
      <c r="M188" s="30" t="s">
        <v>145</v>
      </c>
      <c r="N188" s="30" t="s">
        <v>145</v>
      </c>
      <c r="O188" s="30" t="s">
        <v>145</v>
      </c>
      <c r="P188" s="30" t="s">
        <v>145</v>
      </c>
      <c r="Q188" s="30" t="s">
        <v>687</v>
      </c>
    </row>
    <row r="189" hidden="1">
      <c r="A189" s="33" t="str">
        <f>hyperlink("https://issues.sierrawireless.com/browse/OEMPRI-5797", "OEMPRI-5797")</f>
        <v>OEMPRI-5797</v>
      </c>
      <c r="B189" s="30" t="s">
        <v>139</v>
      </c>
      <c r="C189" s="30" t="s">
        <v>122</v>
      </c>
      <c r="D189" s="30" t="s">
        <v>122</v>
      </c>
      <c r="E189" s="35">
        <v>43110.0</v>
      </c>
      <c r="F189" s="37" t="s">
        <v>150</v>
      </c>
      <c r="G189" s="30" t="s">
        <v>352</v>
      </c>
      <c r="H189" s="30" t="s">
        <v>146</v>
      </c>
      <c r="I189" s="30" t="s">
        <v>146</v>
      </c>
      <c r="J189" s="30" t="s">
        <v>1301</v>
      </c>
      <c r="K189" s="30" t="s">
        <v>1291</v>
      </c>
      <c r="L189" s="30" t="s">
        <v>145</v>
      </c>
      <c r="M189" s="30" t="s">
        <v>145</v>
      </c>
      <c r="N189" s="30" t="s">
        <v>145</v>
      </c>
      <c r="O189" s="30" t="s">
        <v>145</v>
      </c>
      <c r="P189" s="30" t="s">
        <v>145</v>
      </c>
      <c r="Q189" s="30" t="s">
        <v>687</v>
      </c>
    </row>
    <row r="190" hidden="1">
      <c r="A190" s="33" t="str">
        <f>hyperlink("https://issues.sierrawireless.com/browse/OEMPRI-5784", "OEMPRI-5784")</f>
        <v>OEMPRI-5784</v>
      </c>
      <c r="B190" s="30" t="s">
        <v>139</v>
      </c>
      <c r="C190" s="30" t="s">
        <v>148</v>
      </c>
      <c r="D190" s="30" t="s">
        <v>122</v>
      </c>
      <c r="E190" s="35">
        <v>43110.0</v>
      </c>
      <c r="F190" s="37" t="s">
        <v>154</v>
      </c>
      <c r="G190" s="30" t="s">
        <v>1307</v>
      </c>
      <c r="H190" s="30" t="s">
        <v>145</v>
      </c>
      <c r="I190" s="30" t="s">
        <v>145</v>
      </c>
      <c r="J190" s="30" t="s">
        <v>145</v>
      </c>
      <c r="K190" s="30" t="s">
        <v>145</v>
      </c>
      <c r="L190" s="30" t="s">
        <v>145</v>
      </c>
      <c r="M190" s="30" t="s">
        <v>145</v>
      </c>
      <c r="N190" s="30" t="s">
        <v>145</v>
      </c>
      <c r="O190" s="30" t="s">
        <v>145</v>
      </c>
      <c r="P190" s="30" t="s">
        <v>145</v>
      </c>
      <c r="Q190" s="30" t="s">
        <v>152</v>
      </c>
    </row>
    <row r="191" hidden="1">
      <c r="A191" s="33" t="str">
        <f>hyperlink("https://issues.sierrawireless.com/browse/OEMPRI-5774", "OEMPRI-5774")</f>
        <v>OEMPRI-5774</v>
      </c>
      <c r="B191" s="30" t="s">
        <v>139</v>
      </c>
      <c r="C191" s="30" t="s">
        <v>337</v>
      </c>
      <c r="D191" s="30" t="s">
        <v>337</v>
      </c>
      <c r="E191" s="35">
        <v>43109.0</v>
      </c>
      <c r="F191" s="37" t="s">
        <v>150</v>
      </c>
      <c r="G191" s="30" t="s">
        <v>264</v>
      </c>
      <c r="H191" s="30" t="s">
        <v>146</v>
      </c>
      <c r="I191" s="30" t="s">
        <v>163</v>
      </c>
      <c r="J191" s="30" t="s">
        <v>618</v>
      </c>
      <c r="K191" s="30" t="s">
        <v>152</v>
      </c>
      <c r="L191" s="30" t="s">
        <v>152</v>
      </c>
      <c r="M191" s="30" t="s">
        <v>1318</v>
      </c>
      <c r="N191" s="30" t="s">
        <v>166</v>
      </c>
      <c r="O191" s="30" t="s">
        <v>166</v>
      </c>
      <c r="P191" s="30" t="s">
        <v>166</v>
      </c>
      <c r="Q191" s="30" t="s">
        <v>166</v>
      </c>
    </row>
    <row r="192" hidden="1">
      <c r="A192" s="33" t="str">
        <f>hyperlink("https://issues.sierrawireless.com/browse/OEMPRI-6151", "OEMPRI-6151")</f>
        <v>OEMPRI-6151</v>
      </c>
      <c r="B192" s="30" t="s">
        <v>139</v>
      </c>
      <c r="C192" s="30" t="s">
        <v>140</v>
      </c>
      <c r="D192" s="30" t="s">
        <v>140</v>
      </c>
      <c r="E192" s="35">
        <v>43136.0</v>
      </c>
      <c r="F192" s="37" t="s">
        <v>184</v>
      </c>
      <c r="G192" s="30" t="s">
        <v>1322</v>
      </c>
      <c r="H192" s="30" t="s">
        <v>146</v>
      </c>
      <c r="I192" s="30" t="s">
        <v>432</v>
      </c>
      <c r="J192" s="30" t="s">
        <v>146</v>
      </c>
      <c r="K192" s="30" t="s">
        <v>146</v>
      </c>
      <c r="L192" s="30" t="s">
        <v>146</v>
      </c>
      <c r="M192" s="30" t="s">
        <v>145</v>
      </c>
      <c r="N192" s="30" t="s">
        <v>145</v>
      </c>
      <c r="O192" s="30" t="s">
        <v>145</v>
      </c>
      <c r="P192" s="30" t="s">
        <v>145</v>
      </c>
      <c r="Q192" s="30" t="s">
        <v>146</v>
      </c>
    </row>
    <row r="193" hidden="1">
      <c r="A193" s="33" t="str">
        <f>hyperlink("https://issues.sierrawireless.com/browse/OEMPRI-5759", "OEMPRI-5759")</f>
        <v>OEMPRI-5759</v>
      </c>
      <c r="B193" s="30" t="s">
        <v>139</v>
      </c>
      <c r="C193" s="30" t="s">
        <v>140</v>
      </c>
      <c r="D193" s="30" t="s">
        <v>177</v>
      </c>
      <c r="E193" s="35">
        <v>43108.0</v>
      </c>
      <c r="F193" s="37" t="s">
        <v>154</v>
      </c>
      <c r="G193" s="30" t="s">
        <v>503</v>
      </c>
      <c r="H193" s="30" t="s">
        <v>145</v>
      </c>
      <c r="I193" s="30" t="s">
        <v>145</v>
      </c>
      <c r="J193" s="30" t="s">
        <v>145</v>
      </c>
      <c r="K193" s="30" t="s">
        <v>145</v>
      </c>
      <c r="L193" s="30" t="s">
        <v>145</v>
      </c>
      <c r="M193" s="30" t="s">
        <v>145</v>
      </c>
      <c r="N193" s="30" t="s">
        <v>145</v>
      </c>
      <c r="O193" s="30" t="s">
        <v>145</v>
      </c>
      <c r="P193" s="30" t="s">
        <v>145</v>
      </c>
      <c r="Q193" s="30" t="s">
        <v>146</v>
      </c>
    </row>
    <row r="194" hidden="1">
      <c r="A194" s="33" t="str">
        <f>hyperlink("https://issues.sierrawireless.com/browse/OEMPRI-5757", "OEMPRI-5757")</f>
        <v>OEMPRI-5757</v>
      </c>
      <c r="B194" s="30" t="s">
        <v>139</v>
      </c>
      <c r="C194" s="30" t="s">
        <v>140</v>
      </c>
      <c r="D194" s="30" t="s">
        <v>177</v>
      </c>
      <c r="E194" s="35">
        <v>43108.0</v>
      </c>
      <c r="F194" s="37" t="s">
        <v>154</v>
      </c>
      <c r="G194" s="30" t="s">
        <v>503</v>
      </c>
      <c r="H194" s="30" t="s">
        <v>145</v>
      </c>
      <c r="I194" s="30" t="s">
        <v>145</v>
      </c>
      <c r="J194" s="30" t="s">
        <v>145</v>
      </c>
      <c r="K194" s="30" t="s">
        <v>145</v>
      </c>
      <c r="L194" s="30" t="s">
        <v>145</v>
      </c>
      <c r="M194" s="30" t="s">
        <v>145</v>
      </c>
      <c r="N194" s="30" t="s">
        <v>145</v>
      </c>
      <c r="O194" s="30" t="s">
        <v>145</v>
      </c>
      <c r="P194" s="30" t="s">
        <v>145</v>
      </c>
      <c r="Q194" s="30" t="s">
        <v>146</v>
      </c>
    </row>
    <row r="195" hidden="1">
      <c r="A195" s="33" t="str">
        <f>hyperlink("https://issues.sierrawireless.com/browse/QTI9X28-2788", "QTI9X28-2788")</f>
        <v>QTI9X28-2788</v>
      </c>
      <c r="B195" s="30" t="s">
        <v>417</v>
      </c>
      <c r="C195" s="30" t="s">
        <v>140</v>
      </c>
      <c r="D195" s="30" t="s">
        <v>206</v>
      </c>
      <c r="E195" s="43">
        <v>43090.0</v>
      </c>
      <c r="F195" s="44" t="s">
        <v>207</v>
      </c>
      <c r="G195" s="2" t="s">
        <v>1342</v>
      </c>
      <c r="H195" s="30" t="s">
        <v>145</v>
      </c>
      <c r="I195" s="30" t="s">
        <v>145</v>
      </c>
      <c r="J195" s="30" t="s">
        <v>145</v>
      </c>
      <c r="K195" s="30" t="s">
        <v>145</v>
      </c>
      <c r="L195" s="30" t="s">
        <v>145</v>
      </c>
      <c r="M195" s="30" t="s">
        <v>145</v>
      </c>
      <c r="N195" s="30" t="s">
        <v>145</v>
      </c>
      <c r="O195" s="30" t="s">
        <v>145</v>
      </c>
      <c r="P195" s="30" t="s">
        <v>145</v>
      </c>
      <c r="Q195" s="30" t="s">
        <v>166</v>
      </c>
    </row>
    <row r="196" hidden="1">
      <c r="A196" s="33" t="str">
        <f>hyperlink("https://issues.sierrawireless.com/browse/QTI9X28-2730", "QTI9X28-2730")</f>
        <v>QTI9X28-2730</v>
      </c>
      <c r="B196" s="30" t="s">
        <v>139</v>
      </c>
      <c r="C196" s="30" t="s">
        <v>1347</v>
      </c>
      <c r="D196" s="30" t="s">
        <v>1347</v>
      </c>
      <c r="E196" s="43">
        <v>43082.0</v>
      </c>
      <c r="F196" s="44" t="s">
        <v>207</v>
      </c>
      <c r="G196" s="2" t="s">
        <v>1348</v>
      </c>
      <c r="H196" s="30" t="s">
        <v>145</v>
      </c>
      <c r="I196" s="30" t="s">
        <v>145</v>
      </c>
      <c r="J196" s="30" t="s">
        <v>145</v>
      </c>
      <c r="K196" s="30" t="s">
        <v>145</v>
      </c>
      <c r="L196" s="30" t="s">
        <v>146</v>
      </c>
      <c r="M196" s="30" t="s">
        <v>1349</v>
      </c>
      <c r="N196" s="30" t="s">
        <v>145</v>
      </c>
      <c r="O196" s="30" t="s">
        <v>145</v>
      </c>
      <c r="P196" s="30" t="s">
        <v>145</v>
      </c>
      <c r="Q196" s="30" t="s">
        <v>1352</v>
      </c>
    </row>
    <row r="197" hidden="1">
      <c r="A197" s="33" t="str">
        <f>hyperlink("https://issues.sierrawireless.com/browse/OEMPRI-5761", "OEMPRI-5761")</f>
        <v>OEMPRI-5761</v>
      </c>
      <c r="B197" s="30" t="s">
        <v>139</v>
      </c>
      <c r="C197" s="30" t="s">
        <v>337</v>
      </c>
      <c r="D197" s="30" t="s">
        <v>337</v>
      </c>
      <c r="E197" s="35">
        <v>43108.0</v>
      </c>
      <c r="F197" s="37" t="s">
        <v>150</v>
      </c>
      <c r="G197" s="30" t="s">
        <v>223</v>
      </c>
      <c r="H197" s="30" t="s">
        <v>223</v>
      </c>
      <c r="I197" s="30" t="s">
        <v>146</v>
      </c>
      <c r="J197" s="30" t="s">
        <v>407</v>
      </c>
      <c r="K197" s="30" t="s">
        <v>146</v>
      </c>
      <c r="L197" s="30" t="s">
        <v>146</v>
      </c>
      <c r="M197" s="30" t="s">
        <v>1358</v>
      </c>
      <c r="N197" s="30" t="s">
        <v>145</v>
      </c>
      <c r="O197" s="30" t="s">
        <v>145</v>
      </c>
      <c r="P197" s="30" t="s">
        <v>145</v>
      </c>
      <c r="Q197" s="30" t="s">
        <v>404</v>
      </c>
    </row>
    <row r="198" hidden="1">
      <c r="A198" s="33" t="str">
        <f>hyperlink("https://issues.sierrawireless.com/browse/OEMPRI-5756", "OEMPRI-5756")</f>
        <v>OEMPRI-5756</v>
      </c>
      <c r="B198" s="30" t="s">
        <v>139</v>
      </c>
      <c r="C198" s="30" t="s">
        <v>148</v>
      </c>
      <c r="D198" s="30" t="s">
        <v>177</v>
      </c>
      <c r="E198" s="35">
        <v>43108.0</v>
      </c>
      <c r="F198" s="37" t="s">
        <v>150</v>
      </c>
      <c r="G198" s="30" t="s">
        <v>626</v>
      </c>
      <c r="H198" s="30" t="s">
        <v>146</v>
      </c>
      <c r="I198" s="30" t="s">
        <v>146</v>
      </c>
      <c r="J198" s="30" t="s">
        <v>189</v>
      </c>
      <c r="K198" s="30" t="s">
        <v>213</v>
      </c>
      <c r="L198" s="30" t="s">
        <v>152</v>
      </c>
      <c r="M198" s="30" t="s">
        <v>1362</v>
      </c>
      <c r="N198" s="30" t="s">
        <v>152</v>
      </c>
      <c r="O198" s="30" t="s">
        <v>152</v>
      </c>
      <c r="P198" s="30" t="s">
        <v>152</v>
      </c>
      <c r="Q198" s="30" t="s">
        <v>152</v>
      </c>
    </row>
    <row r="199" hidden="1">
      <c r="A199" s="33" t="str">
        <f>hyperlink("https://issues.sierrawireless.com/browse/OEMPRI-5764", "OEMPRI-5764")</f>
        <v>OEMPRI-5764</v>
      </c>
      <c r="B199" s="30" t="s">
        <v>139</v>
      </c>
      <c r="C199" s="30" t="s">
        <v>141</v>
      </c>
      <c r="D199" s="30" t="s">
        <v>141</v>
      </c>
      <c r="E199" s="35">
        <v>43108.0</v>
      </c>
      <c r="F199" s="37" t="s">
        <v>150</v>
      </c>
      <c r="G199" s="30" t="s">
        <v>1367</v>
      </c>
      <c r="H199" s="30" t="s">
        <v>146</v>
      </c>
      <c r="I199" s="30" t="s">
        <v>146</v>
      </c>
      <c r="J199" s="30" t="s">
        <v>1370</v>
      </c>
      <c r="K199" s="30" t="s">
        <v>145</v>
      </c>
      <c r="L199" s="30" t="s">
        <v>145</v>
      </c>
      <c r="M199" s="30" t="s">
        <v>145</v>
      </c>
      <c r="N199" s="30" t="s">
        <v>145</v>
      </c>
      <c r="O199" s="30" t="s">
        <v>145</v>
      </c>
      <c r="P199" s="30" t="s">
        <v>145</v>
      </c>
      <c r="Q199" s="30" t="s">
        <v>180</v>
      </c>
    </row>
    <row r="200" hidden="1">
      <c r="A200" s="33" t="str">
        <f>hyperlink("https://issues.sierrawireless.com/browse/OEMPRI-5753", "OEMPRI-5753")</f>
        <v>OEMPRI-5753</v>
      </c>
      <c r="B200" s="30" t="s">
        <v>139</v>
      </c>
      <c r="C200" s="30" t="s">
        <v>148</v>
      </c>
      <c r="D200" s="30" t="s">
        <v>141</v>
      </c>
      <c r="E200" s="35">
        <v>43105.0</v>
      </c>
      <c r="F200" s="37" t="s">
        <v>150</v>
      </c>
      <c r="G200" s="30" t="s">
        <v>1380</v>
      </c>
      <c r="H200" s="30" t="s">
        <v>223</v>
      </c>
      <c r="I200" s="30" t="s">
        <v>278</v>
      </c>
      <c r="J200" s="30" t="s">
        <v>531</v>
      </c>
      <c r="K200" s="30" t="s">
        <v>152</v>
      </c>
      <c r="L200" s="30" t="s">
        <v>152</v>
      </c>
      <c r="M200" s="30" t="s">
        <v>1383</v>
      </c>
      <c r="N200" s="30" t="s">
        <v>145</v>
      </c>
      <c r="O200" s="30" t="s">
        <v>145</v>
      </c>
      <c r="P200" s="30" t="s">
        <v>145</v>
      </c>
      <c r="Q200" s="30" t="s">
        <v>151</v>
      </c>
    </row>
    <row r="201" hidden="1">
      <c r="A201" s="33" t="str">
        <f>hyperlink("https://issues.sierrawireless.com/browse/OEMPRI-7068", "OEMPRI-7068")</f>
        <v>OEMPRI-7068</v>
      </c>
      <c r="B201" s="30" t="s">
        <v>139</v>
      </c>
      <c r="C201" s="30" t="s">
        <v>170</v>
      </c>
      <c r="D201" s="30" t="s">
        <v>170</v>
      </c>
      <c r="E201" s="35">
        <v>43229.0</v>
      </c>
      <c r="F201" s="37" t="s">
        <v>150</v>
      </c>
      <c r="G201" s="30" t="s">
        <v>503</v>
      </c>
      <c r="H201" s="30" t="s">
        <v>146</v>
      </c>
      <c r="I201" s="30" t="s">
        <v>146</v>
      </c>
      <c r="J201" s="30" t="s">
        <v>407</v>
      </c>
      <c r="K201" s="30" t="s">
        <v>152</v>
      </c>
      <c r="L201" s="30" t="s">
        <v>152</v>
      </c>
      <c r="M201" s="30" t="s">
        <v>1391</v>
      </c>
      <c r="N201" s="30" t="s">
        <v>145</v>
      </c>
      <c r="O201" s="30" t="s">
        <v>145</v>
      </c>
      <c r="P201" s="30" t="s">
        <v>145</v>
      </c>
      <c r="Q201" s="30" t="s">
        <v>743</v>
      </c>
    </row>
    <row r="202" hidden="1">
      <c r="A202" s="33" t="str">
        <f>hyperlink("https://issues.sierrawireless.com/browse/OEMPRI-5739", "OEMPRI-5739")</f>
        <v>OEMPRI-5739</v>
      </c>
      <c r="B202" s="30" t="s">
        <v>139</v>
      </c>
      <c r="C202" s="30" t="s">
        <v>140</v>
      </c>
      <c r="D202" s="30" t="s">
        <v>177</v>
      </c>
      <c r="E202" s="35">
        <v>43104.0</v>
      </c>
      <c r="F202" s="37" t="s">
        <v>154</v>
      </c>
      <c r="G202" s="30" t="s">
        <v>171</v>
      </c>
      <c r="H202" s="30" t="s">
        <v>145</v>
      </c>
      <c r="I202" s="30" t="s">
        <v>145</v>
      </c>
      <c r="J202" s="30" t="s">
        <v>145</v>
      </c>
      <c r="K202" s="30" t="s">
        <v>145</v>
      </c>
      <c r="L202" s="30" t="s">
        <v>145</v>
      </c>
      <c r="M202" s="30" t="s">
        <v>145</v>
      </c>
      <c r="N202" s="30" t="s">
        <v>145</v>
      </c>
      <c r="O202" s="30" t="s">
        <v>145</v>
      </c>
      <c r="P202" s="30" t="s">
        <v>145</v>
      </c>
      <c r="Q202" s="30" t="s">
        <v>146</v>
      </c>
    </row>
    <row r="203" hidden="1">
      <c r="A203" s="33" t="str">
        <f>hyperlink("https://issues.sierrawireless.com/browse/OEMPRI-5748", "OEMPRI-5748")</f>
        <v>OEMPRI-5748</v>
      </c>
      <c r="B203" s="30" t="s">
        <v>139</v>
      </c>
      <c r="C203" s="30" t="s">
        <v>148</v>
      </c>
      <c r="D203" s="30" t="s">
        <v>148</v>
      </c>
      <c r="E203" s="35">
        <v>43104.0</v>
      </c>
      <c r="F203" s="37" t="s">
        <v>154</v>
      </c>
      <c r="G203" s="30" t="s">
        <v>152</v>
      </c>
      <c r="H203" s="30" t="s">
        <v>145</v>
      </c>
      <c r="I203" s="30" t="s">
        <v>145</v>
      </c>
      <c r="J203" s="30" t="s">
        <v>145</v>
      </c>
      <c r="K203" s="30" t="s">
        <v>145</v>
      </c>
      <c r="L203" s="30" t="s">
        <v>145</v>
      </c>
      <c r="M203" s="30" t="s">
        <v>145</v>
      </c>
      <c r="N203" s="30" t="s">
        <v>145</v>
      </c>
      <c r="O203" s="30" t="s">
        <v>145</v>
      </c>
      <c r="P203" s="30" t="s">
        <v>145</v>
      </c>
      <c r="Q203" s="30" t="s">
        <v>152</v>
      </c>
    </row>
    <row r="204" hidden="1">
      <c r="A204" s="33" t="str">
        <f>hyperlink("https://issues.sierrawireless.com/browse/OEMPRI-7067", "OEMPRI-7067")</f>
        <v>OEMPRI-7067</v>
      </c>
      <c r="B204" s="30" t="s">
        <v>139</v>
      </c>
      <c r="C204" s="30" t="s">
        <v>170</v>
      </c>
      <c r="D204" s="30" t="s">
        <v>170</v>
      </c>
      <c r="E204" s="35">
        <v>43229.0</v>
      </c>
      <c r="F204" s="37" t="s">
        <v>150</v>
      </c>
      <c r="G204" s="30" t="s">
        <v>503</v>
      </c>
      <c r="H204" s="30" t="s">
        <v>146</v>
      </c>
      <c r="I204" s="30" t="s">
        <v>146</v>
      </c>
      <c r="J204" s="30" t="s">
        <v>1411</v>
      </c>
      <c r="K204" s="30" t="s">
        <v>152</v>
      </c>
      <c r="L204" s="30" t="s">
        <v>152</v>
      </c>
      <c r="M204" s="30" t="s">
        <v>1412</v>
      </c>
      <c r="N204" s="30" t="s">
        <v>145</v>
      </c>
      <c r="O204" s="30" t="s">
        <v>145</v>
      </c>
      <c r="P204" s="30" t="s">
        <v>145</v>
      </c>
      <c r="Q204" s="30" t="s">
        <v>743</v>
      </c>
    </row>
    <row r="205" hidden="1">
      <c r="A205" s="33" t="str">
        <f>hyperlink("https://issues.sierrawireless.com/browse/OEMPRI-5723", "OEMPRI-5723")</f>
        <v>OEMPRI-5723</v>
      </c>
      <c r="B205" s="30" t="s">
        <v>139</v>
      </c>
      <c r="C205" s="30" t="s">
        <v>148</v>
      </c>
      <c r="D205" s="30" t="s">
        <v>1400</v>
      </c>
      <c r="E205" s="35">
        <v>43103.0</v>
      </c>
      <c r="F205" s="37" t="s">
        <v>150</v>
      </c>
      <c r="G205" s="30" t="s">
        <v>152</v>
      </c>
      <c r="H205" s="30" t="s">
        <v>152</v>
      </c>
      <c r="I205" s="30" t="s">
        <v>152</v>
      </c>
      <c r="J205" s="30" t="s">
        <v>152</v>
      </c>
      <c r="K205" s="30" t="s">
        <v>152</v>
      </c>
      <c r="L205" s="30" t="s">
        <v>152</v>
      </c>
      <c r="M205" s="30" t="s">
        <v>156</v>
      </c>
      <c r="N205" s="30" t="s">
        <v>213</v>
      </c>
      <c r="O205" s="30" t="s">
        <v>213</v>
      </c>
      <c r="P205" s="30" t="s">
        <v>152</v>
      </c>
      <c r="Q205" s="30" t="s">
        <v>152</v>
      </c>
    </row>
    <row r="206" hidden="1">
      <c r="A206" s="33" t="str">
        <f>hyperlink("https://issues.sierrawireless.com/browse/OEMPRI-5724", "OEMPRI-5724")</f>
        <v>OEMPRI-5724</v>
      </c>
      <c r="B206" s="30" t="s">
        <v>139</v>
      </c>
      <c r="C206" s="30" t="s">
        <v>148</v>
      </c>
      <c r="D206" s="30" t="s">
        <v>153</v>
      </c>
      <c r="E206" s="35">
        <v>43103.0</v>
      </c>
      <c r="F206" s="37" t="s">
        <v>154</v>
      </c>
      <c r="G206" s="30" t="s">
        <v>152</v>
      </c>
      <c r="H206" s="30" t="s">
        <v>145</v>
      </c>
      <c r="I206" s="30" t="s">
        <v>145</v>
      </c>
      <c r="J206" s="30" t="s">
        <v>145</v>
      </c>
      <c r="K206" s="30" t="s">
        <v>145</v>
      </c>
      <c r="L206" s="30" t="s">
        <v>145</v>
      </c>
      <c r="M206" s="30" t="s">
        <v>145</v>
      </c>
      <c r="N206" s="30" t="s">
        <v>145</v>
      </c>
      <c r="O206" s="30" t="s">
        <v>145</v>
      </c>
      <c r="P206" s="30" t="s">
        <v>145</v>
      </c>
      <c r="Q206" s="30" t="s">
        <v>152</v>
      </c>
    </row>
    <row r="207" hidden="1">
      <c r="A207" s="33" t="str">
        <f>hyperlink("https://issues.sierrawireless.com/browse/OEMPRI-5706", "OEMPRI-5706")</f>
        <v>OEMPRI-5706</v>
      </c>
      <c r="B207" s="30" t="s">
        <v>139</v>
      </c>
      <c r="C207" s="30" t="s">
        <v>148</v>
      </c>
      <c r="D207" s="30" t="s">
        <v>148</v>
      </c>
      <c r="E207" s="35">
        <v>43102.0</v>
      </c>
      <c r="F207" s="37" t="s">
        <v>154</v>
      </c>
      <c r="G207" s="30" t="s">
        <v>368</v>
      </c>
      <c r="H207" s="30" t="s">
        <v>145</v>
      </c>
      <c r="I207" s="30" t="s">
        <v>145</v>
      </c>
      <c r="J207" s="30" t="s">
        <v>145</v>
      </c>
      <c r="K207" s="30" t="s">
        <v>145</v>
      </c>
      <c r="L207" s="30" t="s">
        <v>145</v>
      </c>
      <c r="M207" s="30" t="s">
        <v>145</v>
      </c>
      <c r="N207" s="30" t="s">
        <v>145</v>
      </c>
      <c r="O207" s="30" t="s">
        <v>145</v>
      </c>
      <c r="P207" s="30" t="s">
        <v>145</v>
      </c>
      <c r="Q207" s="30" t="s">
        <v>152</v>
      </c>
    </row>
    <row r="208" hidden="1">
      <c r="A208" s="33" t="str">
        <f>hyperlink("https://issues.sierrawireless.com/browse/OEMPRI-5686", "OEMPRI-5686")</f>
        <v>OEMPRI-5686</v>
      </c>
      <c r="B208" s="30" t="s">
        <v>139</v>
      </c>
      <c r="C208" s="30" t="s">
        <v>148</v>
      </c>
      <c r="D208" s="30" t="s">
        <v>177</v>
      </c>
      <c r="E208" s="35">
        <v>43098.0</v>
      </c>
      <c r="F208" s="37" t="s">
        <v>154</v>
      </c>
      <c r="G208" s="30" t="s">
        <v>340</v>
      </c>
      <c r="H208" s="30" t="s">
        <v>145</v>
      </c>
      <c r="I208" s="30" t="s">
        <v>145</v>
      </c>
      <c r="J208" s="30" t="s">
        <v>145</v>
      </c>
      <c r="K208" s="30" t="s">
        <v>145</v>
      </c>
      <c r="L208" s="30" t="s">
        <v>145</v>
      </c>
      <c r="M208" s="30" t="s">
        <v>145</v>
      </c>
      <c r="N208" s="30" t="s">
        <v>145</v>
      </c>
      <c r="O208" s="30" t="s">
        <v>145</v>
      </c>
      <c r="P208" s="30" t="s">
        <v>145</v>
      </c>
      <c r="Q208" s="30" t="s">
        <v>152</v>
      </c>
    </row>
    <row r="209" hidden="1">
      <c r="A209" s="33" t="str">
        <f>hyperlink("https://issues.sierrawireless.com/browse/OEMPRI-5690", "OEMPRI-5690")</f>
        <v>OEMPRI-5690</v>
      </c>
      <c r="B209" s="30" t="s">
        <v>139</v>
      </c>
      <c r="C209" s="30" t="s">
        <v>140</v>
      </c>
      <c r="D209" s="30" t="s">
        <v>177</v>
      </c>
      <c r="E209" s="35">
        <v>43098.0</v>
      </c>
      <c r="F209" s="37" t="s">
        <v>154</v>
      </c>
      <c r="G209" s="30" t="s">
        <v>1441</v>
      </c>
      <c r="H209" s="30" t="s">
        <v>145</v>
      </c>
      <c r="I209" s="30" t="s">
        <v>145</v>
      </c>
      <c r="J209" s="30" t="s">
        <v>145</v>
      </c>
      <c r="K209" s="30" t="s">
        <v>145</v>
      </c>
      <c r="L209" s="30" t="s">
        <v>145</v>
      </c>
      <c r="M209" s="30" t="s">
        <v>145</v>
      </c>
      <c r="N209" s="30" t="s">
        <v>145</v>
      </c>
      <c r="O209" s="30" t="s">
        <v>145</v>
      </c>
      <c r="P209" s="30" t="s">
        <v>145</v>
      </c>
      <c r="Q209" s="30" t="s">
        <v>146</v>
      </c>
    </row>
    <row r="210" hidden="1">
      <c r="A210" s="33" t="str">
        <f>hyperlink("https://issues.sierrawireless.com/browse/OEMPRI-5695", "OEMPRI-5695")</f>
        <v>OEMPRI-5695</v>
      </c>
      <c r="B210" s="30" t="s">
        <v>139</v>
      </c>
      <c r="C210" s="30" t="s">
        <v>140</v>
      </c>
      <c r="D210" s="30" t="s">
        <v>177</v>
      </c>
      <c r="E210" s="35">
        <v>43098.0</v>
      </c>
      <c r="F210" s="37" t="s">
        <v>154</v>
      </c>
      <c r="G210" s="30" t="s">
        <v>654</v>
      </c>
      <c r="H210" s="30" t="s">
        <v>145</v>
      </c>
      <c r="I210" s="30" t="s">
        <v>145</v>
      </c>
      <c r="J210" s="30" t="s">
        <v>145</v>
      </c>
      <c r="K210" s="30" t="s">
        <v>145</v>
      </c>
      <c r="L210" s="30" t="s">
        <v>145</v>
      </c>
      <c r="M210" s="30" t="s">
        <v>145</v>
      </c>
      <c r="N210" s="30" t="s">
        <v>145</v>
      </c>
      <c r="O210" s="30" t="s">
        <v>145</v>
      </c>
      <c r="P210" s="30" t="s">
        <v>145</v>
      </c>
      <c r="Q210" s="30" t="s">
        <v>146</v>
      </c>
    </row>
    <row r="211" hidden="1">
      <c r="A211" s="33" t="str">
        <f>hyperlink("https://issues.sierrawireless.com/browse/OEMPRI-5684", "OEMPRI-5684")</f>
        <v>OEMPRI-5684</v>
      </c>
      <c r="B211" s="30" t="s">
        <v>139</v>
      </c>
      <c r="C211" s="30" t="s">
        <v>148</v>
      </c>
      <c r="D211" s="30" t="s">
        <v>177</v>
      </c>
      <c r="E211" s="35">
        <v>43098.0</v>
      </c>
      <c r="F211" s="37" t="s">
        <v>154</v>
      </c>
      <c r="G211" s="30" t="s">
        <v>1453</v>
      </c>
      <c r="H211" s="30" t="s">
        <v>145</v>
      </c>
      <c r="I211" s="30" t="s">
        <v>145</v>
      </c>
      <c r="J211" s="30" t="s">
        <v>145</v>
      </c>
      <c r="K211" s="30" t="s">
        <v>145</v>
      </c>
      <c r="L211" s="30" t="s">
        <v>145</v>
      </c>
      <c r="M211" s="30" t="s">
        <v>145</v>
      </c>
      <c r="N211" s="30" t="s">
        <v>145</v>
      </c>
      <c r="O211" s="30" t="s">
        <v>145</v>
      </c>
      <c r="P211" s="30" t="s">
        <v>145</v>
      </c>
      <c r="Q211" s="30" t="s">
        <v>152</v>
      </c>
    </row>
    <row r="212" hidden="1">
      <c r="A212" s="33" t="str">
        <f>hyperlink("https://issues.sierrawireless.com/browse/OEMPRI-5699", "OEMPRI-5699")</f>
        <v>OEMPRI-5699</v>
      </c>
      <c r="B212" s="30" t="s">
        <v>139</v>
      </c>
      <c r="C212" s="30" t="s">
        <v>453</v>
      </c>
      <c r="D212" s="30" t="s">
        <v>177</v>
      </c>
      <c r="E212" s="35">
        <v>43098.0</v>
      </c>
      <c r="F212" s="37" t="s">
        <v>154</v>
      </c>
      <c r="G212" s="30" t="s">
        <v>1459</v>
      </c>
      <c r="H212" s="30" t="s">
        <v>145</v>
      </c>
      <c r="I212" s="30" t="s">
        <v>145</v>
      </c>
      <c r="J212" s="30" t="s">
        <v>145</v>
      </c>
      <c r="K212" s="30" t="s">
        <v>145</v>
      </c>
      <c r="L212" s="30" t="s">
        <v>145</v>
      </c>
      <c r="M212" s="30" t="s">
        <v>145</v>
      </c>
      <c r="N212" s="30" t="s">
        <v>145</v>
      </c>
      <c r="O212" s="30" t="s">
        <v>145</v>
      </c>
      <c r="P212" s="30" t="s">
        <v>145</v>
      </c>
      <c r="Q212" s="30" t="s">
        <v>457</v>
      </c>
    </row>
    <row r="213" hidden="1">
      <c r="A213" s="33" t="str">
        <f>hyperlink("https://issues.sierrawireless.com/browse/OEMPRI-5683", "OEMPRI-5683")</f>
        <v>OEMPRI-5683</v>
      </c>
      <c r="B213" s="30" t="s">
        <v>139</v>
      </c>
      <c r="C213" s="30" t="s">
        <v>148</v>
      </c>
      <c r="D213" s="30" t="s">
        <v>177</v>
      </c>
      <c r="E213" s="35">
        <v>43098.0</v>
      </c>
      <c r="F213" s="37" t="s">
        <v>150</v>
      </c>
      <c r="G213" s="30" t="s">
        <v>397</v>
      </c>
      <c r="H213" s="30" t="s">
        <v>145</v>
      </c>
      <c r="I213" s="30" t="s">
        <v>223</v>
      </c>
      <c r="J213" s="30" t="s">
        <v>407</v>
      </c>
      <c r="K213" s="30" t="s">
        <v>556</v>
      </c>
      <c r="L213" s="30" t="s">
        <v>152</v>
      </c>
      <c r="M213" s="30" t="s">
        <v>324</v>
      </c>
      <c r="N213" s="30" t="s">
        <v>152</v>
      </c>
      <c r="O213" s="30" t="s">
        <v>152</v>
      </c>
      <c r="P213" s="30" t="s">
        <v>1453</v>
      </c>
      <c r="Q213" s="30" t="s">
        <v>152</v>
      </c>
    </row>
    <row r="214" hidden="1">
      <c r="A214" s="33" t="str">
        <f>hyperlink("https://issues.sierrawireless.com/browse/OEMPRI-5688", "OEMPRI-5688")</f>
        <v>OEMPRI-5688</v>
      </c>
      <c r="B214" s="30" t="s">
        <v>139</v>
      </c>
      <c r="C214" s="30" t="s">
        <v>177</v>
      </c>
      <c r="D214" s="30" t="s">
        <v>177</v>
      </c>
      <c r="E214" s="35">
        <v>43098.0</v>
      </c>
      <c r="F214" s="37" t="s">
        <v>150</v>
      </c>
      <c r="G214" s="30" t="s">
        <v>397</v>
      </c>
      <c r="H214" s="30" t="s">
        <v>145</v>
      </c>
      <c r="I214" s="30" t="s">
        <v>223</v>
      </c>
      <c r="J214" s="30" t="s">
        <v>618</v>
      </c>
      <c r="K214" s="30" t="s">
        <v>213</v>
      </c>
      <c r="L214" s="30" t="s">
        <v>152</v>
      </c>
      <c r="M214" s="30" t="s">
        <v>1470</v>
      </c>
      <c r="N214" s="30" t="s">
        <v>1471</v>
      </c>
      <c r="O214" s="30" t="s">
        <v>145</v>
      </c>
      <c r="P214" s="30" t="s">
        <v>145</v>
      </c>
      <c r="Q214" s="30" t="s">
        <v>1471</v>
      </c>
    </row>
    <row r="215" hidden="1">
      <c r="A215" s="33" t="str">
        <f>hyperlink("https://issues.sierrawireless.com/browse/OEMPRI-5697", "OEMPRI-5697")</f>
        <v>OEMPRI-5697</v>
      </c>
      <c r="B215" s="30" t="s">
        <v>139</v>
      </c>
      <c r="C215" s="30" t="s">
        <v>177</v>
      </c>
      <c r="D215" s="30" t="s">
        <v>177</v>
      </c>
      <c r="E215" s="35">
        <v>43098.0</v>
      </c>
      <c r="F215" s="37" t="s">
        <v>150</v>
      </c>
      <c r="G215" s="30" t="s">
        <v>232</v>
      </c>
      <c r="H215" s="30" t="s">
        <v>152</v>
      </c>
      <c r="I215" s="30" t="s">
        <v>146</v>
      </c>
      <c r="J215" s="30" t="s">
        <v>1476</v>
      </c>
      <c r="K215" s="30" t="s">
        <v>556</v>
      </c>
      <c r="L215" s="30" t="s">
        <v>152</v>
      </c>
      <c r="M215" s="30" t="s">
        <v>1318</v>
      </c>
      <c r="N215" s="30" t="s">
        <v>152</v>
      </c>
      <c r="O215" s="30" t="s">
        <v>152</v>
      </c>
      <c r="P215" s="30" t="s">
        <v>152</v>
      </c>
      <c r="Q215" s="30" t="s">
        <v>1471</v>
      </c>
    </row>
    <row r="216" hidden="1">
      <c r="A216" s="33" t="str">
        <f>hyperlink("https://issues.sierrawireless.com/browse/OEMPRI-5693", "OEMPRI-5693")</f>
        <v>OEMPRI-5693</v>
      </c>
      <c r="B216" s="30" t="s">
        <v>139</v>
      </c>
      <c r="C216" s="30" t="s">
        <v>177</v>
      </c>
      <c r="D216" s="30" t="s">
        <v>177</v>
      </c>
      <c r="E216" s="35">
        <v>43098.0</v>
      </c>
      <c r="F216" s="37" t="s">
        <v>150</v>
      </c>
      <c r="G216" s="30" t="s">
        <v>654</v>
      </c>
      <c r="H216" s="30" t="s">
        <v>146</v>
      </c>
      <c r="I216" s="30" t="s">
        <v>146</v>
      </c>
      <c r="J216" s="30" t="s">
        <v>407</v>
      </c>
      <c r="K216" s="30" t="s">
        <v>213</v>
      </c>
      <c r="L216" s="30" t="s">
        <v>152</v>
      </c>
      <c r="M216" s="30" t="s">
        <v>1482</v>
      </c>
      <c r="N216" s="30" t="s">
        <v>152</v>
      </c>
      <c r="O216" s="30" t="s">
        <v>152</v>
      </c>
      <c r="P216" s="30" t="s">
        <v>152</v>
      </c>
      <c r="Q216" s="30" t="s">
        <v>1471</v>
      </c>
    </row>
    <row r="217" hidden="1">
      <c r="A217" s="33" t="str">
        <f>hyperlink("https://issues.sierrawireless.com/browse/OEMPRI-5689", "OEMPRI-5689")</f>
        <v>OEMPRI-5689</v>
      </c>
      <c r="B217" s="30" t="s">
        <v>139</v>
      </c>
      <c r="C217" s="30" t="s">
        <v>140</v>
      </c>
      <c r="D217" s="30" t="s">
        <v>177</v>
      </c>
      <c r="E217" s="35">
        <v>43098.0</v>
      </c>
      <c r="F217" s="37" t="s">
        <v>154</v>
      </c>
      <c r="G217" s="30" t="s">
        <v>1441</v>
      </c>
      <c r="H217" s="30" t="s">
        <v>145</v>
      </c>
      <c r="I217" s="30" t="s">
        <v>145</v>
      </c>
      <c r="J217" s="30" t="s">
        <v>145</v>
      </c>
      <c r="K217" s="30" t="s">
        <v>145</v>
      </c>
      <c r="L217" s="30" t="s">
        <v>145</v>
      </c>
      <c r="M217" s="30" t="s">
        <v>145</v>
      </c>
      <c r="N217" s="30" t="s">
        <v>145</v>
      </c>
      <c r="O217" s="30" t="s">
        <v>145</v>
      </c>
      <c r="P217" s="30" t="s">
        <v>145</v>
      </c>
      <c r="Q217" s="30" t="s">
        <v>146</v>
      </c>
    </row>
    <row r="218" hidden="1">
      <c r="A218" s="33" t="str">
        <f>hyperlink("https://issues.sierrawireless.com/browse/OEMPRI-6857", "OEMPRI-6857")</f>
        <v>OEMPRI-6857</v>
      </c>
      <c r="B218" s="30" t="s">
        <v>139</v>
      </c>
      <c r="C218" s="30" t="s">
        <v>140</v>
      </c>
      <c r="D218" s="30" t="s">
        <v>140</v>
      </c>
      <c r="E218" s="35">
        <v>43213.0</v>
      </c>
      <c r="F218" s="37" t="s">
        <v>269</v>
      </c>
      <c r="G218" s="30" t="s">
        <v>1493</v>
      </c>
      <c r="H218" s="30" t="s">
        <v>145</v>
      </c>
      <c r="I218" s="30" t="s">
        <v>145</v>
      </c>
      <c r="J218" s="30" t="s">
        <v>145</v>
      </c>
      <c r="K218" s="30" t="s">
        <v>145</v>
      </c>
      <c r="L218" s="30" t="s">
        <v>145</v>
      </c>
      <c r="M218" s="30" t="s">
        <v>145</v>
      </c>
      <c r="N218" s="30" t="s">
        <v>145</v>
      </c>
      <c r="O218" s="30" t="s">
        <v>145</v>
      </c>
      <c r="P218" s="30" t="s">
        <v>145</v>
      </c>
      <c r="Q218" s="30" t="s">
        <v>146</v>
      </c>
    </row>
    <row r="219" hidden="1">
      <c r="A219" s="33" t="str">
        <f>hyperlink("https://issues.sierrawireless.com/browse/OEMPRI-5679", "OEMPRI-5679")</f>
        <v>OEMPRI-5679</v>
      </c>
      <c r="B219" s="30" t="s">
        <v>139</v>
      </c>
      <c r="C219" s="30" t="s">
        <v>148</v>
      </c>
      <c r="D219" s="30" t="s">
        <v>633</v>
      </c>
      <c r="E219" s="35">
        <v>43097.0</v>
      </c>
      <c r="F219" s="37" t="s">
        <v>184</v>
      </c>
      <c r="G219" s="30" t="s">
        <v>152</v>
      </c>
      <c r="H219" s="30" t="s">
        <v>145</v>
      </c>
      <c r="I219" s="30" t="s">
        <v>145</v>
      </c>
      <c r="J219" s="30" t="s">
        <v>145</v>
      </c>
      <c r="K219" s="30" t="s">
        <v>145</v>
      </c>
      <c r="L219" s="30" t="s">
        <v>145</v>
      </c>
      <c r="M219" s="30" t="s">
        <v>145</v>
      </c>
      <c r="N219" s="30" t="s">
        <v>145</v>
      </c>
      <c r="O219" s="30" t="s">
        <v>145</v>
      </c>
      <c r="P219" s="30" t="s">
        <v>145</v>
      </c>
      <c r="Q219" s="30" t="s">
        <v>152</v>
      </c>
    </row>
    <row r="220" hidden="1">
      <c r="A220" s="33" t="str">
        <f>hyperlink("https://issues.sierrawireless.com/browse/OEMPRI-5680", "OEMPRI-5680")</f>
        <v>OEMPRI-5680</v>
      </c>
      <c r="B220" s="30" t="s">
        <v>139</v>
      </c>
      <c r="C220" s="30" t="s">
        <v>140</v>
      </c>
      <c r="D220" s="30" t="s">
        <v>140</v>
      </c>
      <c r="E220" s="35">
        <v>43097.0</v>
      </c>
      <c r="F220" s="37" t="s">
        <v>269</v>
      </c>
      <c r="G220" s="30" t="s">
        <v>1502</v>
      </c>
      <c r="H220" s="30" t="s">
        <v>145</v>
      </c>
      <c r="I220" s="30" t="s">
        <v>145</v>
      </c>
      <c r="J220" s="30" t="s">
        <v>145</v>
      </c>
      <c r="K220" s="30" t="s">
        <v>145</v>
      </c>
      <c r="L220" s="30" t="s">
        <v>145</v>
      </c>
      <c r="M220" s="30" t="s">
        <v>145</v>
      </c>
      <c r="N220" s="30" t="s">
        <v>145</v>
      </c>
      <c r="O220" s="30" t="s">
        <v>145</v>
      </c>
      <c r="P220" s="30" t="s">
        <v>145</v>
      </c>
      <c r="Q220" s="30" t="s">
        <v>146</v>
      </c>
    </row>
    <row r="221" hidden="1">
      <c r="A221" s="33" t="str">
        <f>hyperlink("https://issues.sierrawireless.com/browse/OEMPRI-5673", "OEMPRI-5673")</f>
        <v>OEMPRI-5673</v>
      </c>
      <c r="B221" s="30" t="s">
        <v>139</v>
      </c>
      <c r="C221" s="30" t="s">
        <v>320</v>
      </c>
      <c r="D221" s="30" t="s">
        <v>337</v>
      </c>
      <c r="E221" s="43">
        <v>43096.0</v>
      </c>
      <c r="F221" s="44" t="s">
        <v>150</v>
      </c>
      <c r="G221" s="2" t="s">
        <v>1510</v>
      </c>
      <c r="H221" s="30" t="s">
        <v>223</v>
      </c>
      <c r="I221" s="30" t="s">
        <v>152</v>
      </c>
      <c r="J221" s="30" t="s">
        <v>407</v>
      </c>
      <c r="K221" s="30" t="s">
        <v>152</v>
      </c>
      <c r="L221" s="30" t="s">
        <v>152</v>
      </c>
      <c r="M221" s="30" t="s">
        <v>1318</v>
      </c>
      <c r="N221" s="30" t="s">
        <v>145</v>
      </c>
      <c r="O221" s="30" t="s">
        <v>145</v>
      </c>
      <c r="P221" s="30" t="s">
        <v>145</v>
      </c>
      <c r="Q221" s="30" t="s">
        <v>324</v>
      </c>
    </row>
    <row r="222" hidden="1">
      <c r="A222" s="33" t="str">
        <f>hyperlink("https://issues.sierrawireless.com/browse/OEMPRI-5674", "OEMPRI-5674")</f>
        <v>OEMPRI-5674</v>
      </c>
      <c r="B222" s="30" t="s">
        <v>139</v>
      </c>
      <c r="C222" s="30" t="s">
        <v>148</v>
      </c>
      <c r="D222" s="30" t="s">
        <v>244</v>
      </c>
      <c r="E222" s="35">
        <v>43096.0</v>
      </c>
      <c r="F222" s="37" t="s">
        <v>150</v>
      </c>
      <c r="G222" s="30" t="s">
        <v>199</v>
      </c>
      <c r="H222" s="30" t="s">
        <v>152</v>
      </c>
      <c r="I222" s="30" t="s">
        <v>358</v>
      </c>
      <c r="J222" s="30" t="s">
        <v>189</v>
      </c>
      <c r="K222" s="30" t="s">
        <v>152</v>
      </c>
      <c r="L222" s="30" t="s">
        <v>152</v>
      </c>
      <c r="M222" s="30" t="s">
        <v>152</v>
      </c>
      <c r="N222" s="30" t="s">
        <v>152</v>
      </c>
      <c r="O222" s="30" t="s">
        <v>152</v>
      </c>
      <c r="P222" s="30" t="s">
        <v>152</v>
      </c>
      <c r="Q222" s="30" t="s">
        <v>152</v>
      </c>
    </row>
    <row r="223" hidden="1">
      <c r="A223" s="33" t="str">
        <f>hyperlink("https://issues.sierrawireless.com/browse/QTI9X28-2422", "QTI9X28-2422")</f>
        <v>QTI9X28-2422</v>
      </c>
      <c r="B223" s="30" t="s">
        <v>139</v>
      </c>
      <c r="C223" s="30" t="s">
        <v>206</v>
      </c>
      <c r="D223" s="30" t="s">
        <v>206</v>
      </c>
      <c r="E223" s="43">
        <v>43026.0</v>
      </c>
      <c r="F223" s="44" t="s">
        <v>207</v>
      </c>
      <c r="G223" s="30" t="s">
        <v>1523</v>
      </c>
      <c r="H223" s="30" t="s">
        <v>145</v>
      </c>
      <c r="I223" s="30" t="s">
        <v>145</v>
      </c>
      <c r="J223" s="30" t="s">
        <v>145</v>
      </c>
      <c r="K223" s="30" t="s">
        <v>145</v>
      </c>
      <c r="L223" s="30" t="s">
        <v>1524</v>
      </c>
      <c r="M223" s="2" t="s">
        <v>1525</v>
      </c>
      <c r="N223" s="30" t="s">
        <v>145</v>
      </c>
      <c r="O223" s="30" t="s">
        <v>145</v>
      </c>
      <c r="P223" s="30" t="s">
        <v>145</v>
      </c>
      <c r="Q223" s="30" t="s">
        <v>209</v>
      </c>
    </row>
    <row r="224" hidden="1">
      <c r="A224" s="33" t="str">
        <f>hyperlink("https://issues.sierrawireless.com/browse/QTI9X28-2789", "QTI9X28-2789")</f>
        <v>QTI9X28-2789</v>
      </c>
      <c r="B224" s="30" t="s">
        <v>417</v>
      </c>
      <c r="C224" s="30" t="s">
        <v>140</v>
      </c>
      <c r="D224" s="30" t="s">
        <v>206</v>
      </c>
      <c r="E224" s="43">
        <v>43090.0</v>
      </c>
      <c r="F224" s="44" t="s">
        <v>207</v>
      </c>
      <c r="G224" s="2" t="s">
        <v>1342</v>
      </c>
      <c r="H224" s="30" t="s">
        <v>145</v>
      </c>
      <c r="I224" s="30" t="s">
        <v>145</v>
      </c>
      <c r="J224" s="30" t="s">
        <v>145</v>
      </c>
      <c r="K224" s="30" t="s">
        <v>145</v>
      </c>
      <c r="L224" s="30" t="s">
        <v>145</v>
      </c>
      <c r="M224" s="30" t="s">
        <v>145</v>
      </c>
      <c r="N224" s="30" t="s">
        <v>145</v>
      </c>
      <c r="O224" s="30" t="s">
        <v>145</v>
      </c>
      <c r="P224" s="30" t="s">
        <v>145</v>
      </c>
      <c r="Q224" s="30" t="s">
        <v>166</v>
      </c>
    </row>
    <row r="225" hidden="1">
      <c r="A225" s="33" t="str">
        <f>hyperlink("https://issues.sierrawireless.com/browse/OEMPRI-5672", "OEMPRI-5672")</f>
        <v>OEMPRI-5672</v>
      </c>
      <c r="B225" s="30" t="s">
        <v>139</v>
      </c>
      <c r="C225" s="30" t="s">
        <v>148</v>
      </c>
      <c r="D225" s="30" t="s">
        <v>244</v>
      </c>
      <c r="E225" s="43">
        <v>43096.0</v>
      </c>
      <c r="F225" s="44" t="s">
        <v>150</v>
      </c>
      <c r="G225" s="2" t="s">
        <v>1536</v>
      </c>
      <c r="H225" s="30" t="s">
        <v>146</v>
      </c>
      <c r="I225" s="30" t="s">
        <v>146</v>
      </c>
      <c r="J225" s="30" t="s">
        <v>278</v>
      </c>
      <c r="K225" s="30" t="s">
        <v>152</v>
      </c>
      <c r="L225" s="30" t="s">
        <v>152</v>
      </c>
      <c r="M225" s="30" t="s">
        <v>882</v>
      </c>
      <c r="N225" s="30" t="s">
        <v>213</v>
      </c>
      <c r="O225" s="30" t="s">
        <v>197</v>
      </c>
      <c r="P225" s="30" t="s">
        <v>152</v>
      </c>
      <c r="Q225" s="30" t="s">
        <v>152</v>
      </c>
    </row>
    <row r="226" hidden="1">
      <c r="A226" s="33" t="str">
        <f>hyperlink("https://issues.sierrawireless.com/browse/OEMPRI-5671", "OEMPRI-5671")</f>
        <v>OEMPRI-5671</v>
      </c>
      <c r="B226" s="30" t="s">
        <v>139</v>
      </c>
      <c r="C226" s="30" t="s">
        <v>148</v>
      </c>
      <c r="D226" s="30" t="s">
        <v>244</v>
      </c>
      <c r="E226" s="43">
        <v>43095.0</v>
      </c>
      <c r="F226" s="44" t="s">
        <v>150</v>
      </c>
      <c r="G226" s="2" t="s">
        <v>1536</v>
      </c>
      <c r="H226" s="30" t="s">
        <v>146</v>
      </c>
      <c r="I226" s="30" t="s">
        <v>146</v>
      </c>
      <c r="J226" s="30" t="s">
        <v>531</v>
      </c>
      <c r="K226" s="30" t="s">
        <v>152</v>
      </c>
      <c r="L226" s="30" t="s">
        <v>152</v>
      </c>
      <c r="M226" s="30" t="s">
        <v>1541</v>
      </c>
      <c r="N226" s="30" t="s">
        <v>152</v>
      </c>
      <c r="O226" s="30" t="s">
        <v>152</v>
      </c>
      <c r="P226" s="30" t="s">
        <v>152</v>
      </c>
      <c r="Q226" s="30" t="s">
        <v>152</v>
      </c>
    </row>
    <row r="227" hidden="1">
      <c r="A227" s="33" t="str">
        <f>hyperlink("https://issues.sierrawireless.com/browse/OEMPRI-5670", "OEMPRI-5670")</f>
        <v>OEMPRI-5670</v>
      </c>
      <c r="B227" s="30" t="s">
        <v>139</v>
      </c>
      <c r="C227" s="30" t="s">
        <v>141</v>
      </c>
      <c r="D227" s="30" t="s">
        <v>141</v>
      </c>
      <c r="E227" s="43">
        <v>43094.0</v>
      </c>
      <c r="F227" s="44" t="s">
        <v>143</v>
      </c>
      <c r="G227" s="2" t="s">
        <v>1544</v>
      </c>
      <c r="H227" s="30" t="s">
        <v>166</v>
      </c>
      <c r="I227" s="30" t="s">
        <v>166</v>
      </c>
      <c r="J227" s="30" t="s">
        <v>166</v>
      </c>
      <c r="K227" s="30" t="s">
        <v>166</v>
      </c>
      <c r="L227" s="30" t="s">
        <v>166</v>
      </c>
      <c r="M227" s="30" t="s">
        <v>166</v>
      </c>
      <c r="N227" s="30" t="s">
        <v>145</v>
      </c>
      <c r="O227" s="30" t="s">
        <v>145</v>
      </c>
      <c r="P227" s="30" t="s">
        <v>145</v>
      </c>
      <c r="Q227" s="30" t="s">
        <v>166</v>
      </c>
    </row>
    <row r="228" hidden="1">
      <c r="A228" s="33" t="str">
        <f>hyperlink("https://issues.sierrawireless.com/browse/OEMPRI-5656", "OEMPRI-5656")</f>
        <v>OEMPRI-5656</v>
      </c>
      <c r="B228" s="30" t="s">
        <v>139</v>
      </c>
      <c r="C228" s="30" t="s">
        <v>148</v>
      </c>
      <c r="D228" s="30" t="s">
        <v>244</v>
      </c>
      <c r="E228" s="43">
        <v>43090.0</v>
      </c>
      <c r="F228" s="44" t="s">
        <v>150</v>
      </c>
      <c r="G228" s="30" t="s">
        <v>144</v>
      </c>
      <c r="H228" s="30" t="s">
        <v>145</v>
      </c>
      <c r="I228" s="30" t="s">
        <v>146</v>
      </c>
      <c r="J228" s="30" t="s">
        <v>189</v>
      </c>
      <c r="K228" s="2" t="s">
        <v>213</v>
      </c>
      <c r="L228" s="30" t="s">
        <v>152</v>
      </c>
      <c r="M228" s="30" t="s">
        <v>1541</v>
      </c>
      <c r="N228" s="30" t="s">
        <v>152</v>
      </c>
      <c r="O228" s="30" t="s">
        <v>152</v>
      </c>
      <c r="P228" s="30" t="s">
        <v>152</v>
      </c>
      <c r="Q228" s="30" t="s">
        <v>152</v>
      </c>
    </row>
    <row r="229" hidden="1">
      <c r="A229" s="33" t="str">
        <f>hyperlink("https://issues.sierrawireless.com/browse/OEMPRI-5629", "OEMPRI-5629")</f>
        <v>OEMPRI-5629</v>
      </c>
      <c r="B229" s="30" t="s">
        <v>139</v>
      </c>
      <c r="C229" s="30" t="s">
        <v>122</v>
      </c>
      <c r="D229" s="30" t="s">
        <v>122</v>
      </c>
      <c r="E229" s="43">
        <v>43090.0</v>
      </c>
      <c r="F229" s="44" t="s">
        <v>150</v>
      </c>
      <c r="G229" s="2" t="s">
        <v>626</v>
      </c>
      <c r="H229" s="30" t="s">
        <v>146</v>
      </c>
      <c r="I229" s="30" t="s">
        <v>146</v>
      </c>
      <c r="J229" s="30" t="s">
        <v>1554</v>
      </c>
      <c r="K229" s="30" t="s">
        <v>145</v>
      </c>
      <c r="L229" s="30" t="s">
        <v>145</v>
      </c>
      <c r="M229" s="30" t="s">
        <v>145</v>
      </c>
      <c r="N229" s="30" t="s">
        <v>145</v>
      </c>
      <c r="O229" s="30" t="s">
        <v>145</v>
      </c>
      <c r="P229" s="30" t="s">
        <v>145</v>
      </c>
      <c r="Q229" s="30" t="s">
        <v>687</v>
      </c>
    </row>
    <row r="230" hidden="1">
      <c r="A230" s="33" t="str">
        <f>hyperlink("https://issues.sierrawireless.com/browse/OEMPRI-5634", "OEMPRI-5634")</f>
        <v>OEMPRI-5634</v>
      </c>
      <c r="B230" s="30" t="s">
        <v>139</v>
      </c>
      <c r="C230" s="30" t="s">
        <v>122</v>
      </c>
      <c r="D230" s="30" t="s">
        <v>122</v>
      </c>
      <c r="E230" s="43">
        <v>43090.0</v>
      </c>
      <c r="F230" s="44" t="s">
        <v>150</v>
      </c>
      <c r="G230" s="30" t="s">
        <v>503</v>
      </c>
      <c r="H230" s="30" t="s">
        <v>146</v>
      </c>
      <c r="I230" s="30" t="s">
        <v>146</v>
      </c>
      <c r="J230" s="2" t="s">
        <v>1560</v>
      </c>
      <c r="K230" s="30" t="s">
        <v>145</v>
      </c>
      <c r="L230" s="30" t="s">
        <v>145</v>
      </c>
      <c r="M230" s="30" t="s">
        <v>145</v>
      </c>
      <c r="N230" s="30" t="s">
        <v>145</v>
      </c>
      <c r="O230" s="30" t="s">
        <v>145</v>
      </c>
      <c r="P230" s="30" t="s">
        <v>145</v>
      </c>
      <c r="Q230" s="30" t="s">
        <v>687</v>
      </c>
    </row>
    <row r="231" hidden="1">
      <c r="A231" s="33" t="str">
        <f>hyperlink("https://issues.sierrawireless.com/browse/OEMPRI-5639", "OEMPRI-5639")</f>
        <v>OEMPRI-5639</v>
      </c>
      <c r="B231" s="30" t="s">
        <v>139</v>
      </c>
      <c r="C231" s="30" t="s">
        <v>122</v>
      </c>
      <c r="D231" s="30" t="s">
        <v>122</v>
      </c>
      <c r="E231" s="43">
        <v>43090.0</v>
      </c>
      <c r="F231" s="44" t="s">
        <v>150</v>
      </c>
      <c r="G231" s="2" t="s">
        <v>626</v>
      </c>
      <c r="H231" s="30" t="s">
        <v>145</v>
      </c>
      <c r="I231" s="30" t="s">
        <v>146</v>
      </c>
      <c r="J231" s="30" t="s">
        <v>1564</v>
      </c>
      <c r="K231" s="30" t="s">
        <v>1284</v>
      </c>
      <c r="L231" s="30" t="s">
        <v>145</v>
      </c>
      <c r="M231" s="30" t="s">
        <v>145</v>
      </c>
      <c r="N231" s="30" t="s">
        <v>145</v>
      </c>
      <c r="O231" s="30" t="s">
        <v>145</v>
      </c>
      <c r="P231" s="30" t="s">
        <v>145</v>
      </c>
      <c r="Q231" s="30" t="s">
        <v>687</v>
      </c>
    </row>
    <row r="232" hidden="1">
      <c r="A232" s="33" t="str">
        <f>hyperlink("https://issues.sierrawireless.com/browse/OEMPRI-6041", "OEMPRI-6041")</f>
        <v>OEMPRI-6041</v>
      </c>
      <c r="B232" s="30" t="s">
        <v>139</v>
      </c>
      <c r="C232" s="30" t="s">
        <v>148</v>
      </c>
      <c r="D232" s="30" t="s">
        <v>177</v>
      </c>
      <c r="E232" s="35">
        <v>43125.0</v>
      </c>
      <c r="F232" s="37" t="s">
        <v>150</v>
      </c>
      <c r="G232" s="30" t="s">
        <v>1569</v>
      </c>
      <c r="H232" s="30" t="s">
        <v>223</v>
      </c>
      <c r="I232" s="30" t="s">
        <v>163</v>
      </c>
      <c r="J232" s="30" t="s">
        <v>618</v>
      </c>
      <c r="K232" s="30" t="s">
        <v>152</v>
      </c>
      <c r="L232" s="30" t="s">
        <v>152</v>
      </c>
      <c r="M232" s="30" t="s">
        <v>1470</v>
      </c>
      <c r="N232" s="30" t="s">
        <v>152</v>
      </c>
      <c r="O232" s="30" t="s">
        <v>152</v>
      </c>
      <c r="P232" s="30" t="s">
        <v>368</v>
      </c>
      <c r="Q232" s="30" t="s">
        <v>152</v>
      </c>
    </row>
    <row r="233" hidden="1">
      <c r="A233" s="33" t="str">
        <f>hyperlink("https://issues.sierrawireless.com/browse/OEMPRI-5618", "OEMPRI-5618")</f>
        <v>OEMPRI-5618</v>
      </c>
      <c r="B233" s="30" t="s">
        <v>139</v>
      </c>
      <c r="C233" s="30" t="s">
        <v>148</v>
      </c>
      <c r="D233" s="30" t="s">
        <v>140</v>
      </c>
      <c r="E233" s="43">
        <v>43088.0</v>
      </c>
      <c r="F233" s="44" t="s">
        <v>154</v>
      </c>
      <c r="G233" s="30" t="s">
        <v>199</v>
      </c>
      <c r="H233" s="30" t="s">
        <v>145</v>
      </c>
      <c r="I233" s="30" t="s">
        <v>145</v>
      </c>
      <c r="J233" s="30" t="s">
        <v>145</v>
      </c>
      <c r="K233" s="30" t="s">
        <v>145</v>
      </c>
      <c r="L233" s="30" t="s">
        <v>145</v>
      </c>
      <c r="M233" s="30" t="s">
        <v>145</v>
      </c>
      <c r="N233" s="30" t="s">
        <v>145</v>
      </c>
      <c r="O233" s="30" t="s">
        <v>145</v>
      </c>
      <c r="P233" s="30" t="s">
        <v>145</v>
      </c>
      <c r="Q233" s="30" t="s">
        <v>152</v>
      </c>
    </row>
    <row r="234" hidden="1">
      <c r="A234" s="33" t="str">
        <f>hyperlink("https://issues.sierrawireless.com/browse/OEMPRI-5624", "OEMPRI-5624")</f>
        <v>OEMPRI-5624</v>
      </c>
      <c r="B234" s="30" t="s">
        <v>139</v>
      </c>
      <c r="C234" s="30" t="s">
        <v>140</v>
      </c>
      <c r="D234" s="30" t="s">
        <v>140</v>
      </c>
      <c r="E234" s="43">
        <v>43088.0</v>
      </c>
      <c r="F234" s="44" t="s">
        <v>1576</v>
      </c>
      <c r="G234" s="2" t="s">
        <v>1577</v>
      </c>
      <c r="H234" s="30" t="s">
        <v>145</v>
      </c>
      <c r="I234" s="30" t="s">
        <v>146</v>
      </c>
      <c r="J234" s="30" t="s">
        <v>146</v>
      </c>
      <c r="K234" s="30" t="s">
        <v>146</v>
      </c>
      <c r="L234" s="30" t="s">
        <v>146</v>
      </c>
      <c r="M234" s="30" t="s">
        <v>145</v>
      </c>
      <c r="N234" s="30" t="s">
        <v>145</v>
      </c>
      <c r="O234" s="30" t="s">
        <v>145</v>
      </c>
      <c r="P234" s="30" t="s">
        <v>145</v>
      </c>
      <c r="Q234" s="30" t="s">
        <v>146</v>
      </c>
    </row>
    <row r="235" hidden="1">
      <c r="A235" s="33" t="str">
        <f>hyperlink("https://issues.sierrawireless.com/browse/OEMPRI-5605", "OEMPRI-5605")</f>
        <v>OEMPRI-5605</v>
      </c>
      <c r="B235" s="30" t="s">
        <v>139</v>
      </c>
      <c r="C235" s="30" t="s">
        <v>140</v>
      </c>
      <c r="D235" s="30" t="s">
        <v>153</v>
      </c>
      <c r="E235" s="43">
        <v>43087.0</v>
      </c>
      <c r="F235" s="44" t="s">
        <v>154</v>
      </c>
      <c r="G235" s="30" t="s">
        <v>146</v>
      </c>
      <c r="H235" s="30" t="s">
        <v>145</v>
      </c>
      <c r="I235" s="30" t="s">
        <v>145</v>
      </c>
      <c r="J235" s="30" t="s">
        <v>145</v>
      </c>
      <c r="K235" s="30" t="s">
        <v>145</v>
      </c>
      <c r="L235" s="30" t="s">
        <v>145</v>
      </c>
      <c r="M235" s="30" t="s">
        <v>145</v>
      </c>
      <c r="N235" s="30" t="s">
        <v>145</v>
      </c>
      <c r="O235" s="30" t="s">
        <v>145</v>
      </c>
      <c r="P235" s="30" t="s">
        <v>145</v>
      </c>
      <c r="Q235" s="30" t="s">
        <v>146</v>
      </c>
    </row>
    <row r="236" hidden="1">
      <c r="A236" s="33" t="str">
        <f>hyperlink("https://issues.sierrawireless.com/browse/OEMPRI-5606", "OEMPRI-5606")</f>
        <v>OEMPRI-5606</v>
      </c>
      <c r="B236" s="30" t="s">
        <v>139</v>
      </c>
      <c r="C236" s="30" t="s">
        <v>148</v>
      </c>
      <c r="D236" s="30" t="s">
        <v>141</v>
      </c>
      <c r="E236" s="43">
        <v>43087.0</v>
      </c>
      <c r="F236" s="44" t="s">
        <v>143</v>
      </c>
      <c r="G236" s="30" t="s">
        <v>199</v>
      </c>
      <c r="H236" s="30" t="s">
        <v>145</v>
      </c>
      <c r="I236" s="30" t="s">
        <v>145</v>
      </c>
      <c r="J236" s="30" t="s">
        <v>145</v>
      </c>
      <c r="K236" s="30" t="s">
        <v>145</v>
      </c>
      <c r="L236" s="30" t="s">
        <v>145</v>
      </c>
      <c r="M236" s="30" t="s">
        <v>145</v>
      </c>
      <c r="N236" s="30" t="s">
        <v>145</v>
      </c>
      <c r="O236" s="30" t="s">
        <v>145</v>
      </c>
      <c r="P236" s="30" t="s">
        <v>145</v>
      </c>
      <c r="Q236" s="30" t="s">
        <v>152</v>
      </c>
    </row>
    <row r="237" hidden="1">
      <c r="A237" s="33" t="str">
        <f>hyperlink("https://issues.sierrawireless.com/browse/QTI9X40-2894", "QTI9X40-2894")</f>
        <v>QTI9X40-2894</v>
      </c>
      <c r="B237" s="30" t="s">
        <v>417</v>
      </c>
      <c r="C237" s="30" t="s">
        <v>140</v>
      </c>
      <c r="D237" s="30" t="s">
        <v>1587</v>
      </c>
      <c r="E237" s="43">
        <v>43089.0</v>
      </c>
      <c r="F237" s="44" t="s">
        <v>379</v>
      </c>
      <c r="G237" s="2" t="s">
        <v>1342</v>
      </c>
      <c r="H237" s="30" t="s">
        <v>166</v>
      </c>
      <c r="I237" s="30" t="s">
        <v>166</v>
      </c>
      <c r="J237" s="30" t="s">
        <v>166</v>
      </c>
      <c r="K237" s="30" t="s">
        <v>166</v>
      </c>
      <c r="L237" s="30" t="s">
        <v>166</v>
      </c>
      <c r="M237" s="30" t="s">
        <v>166</v>
      </c>
      <c r="N237" s="30" t="s">
        <v>145</v>
      </c>
      <c r="O237" s="30" t="s">
        <v>145</v>
      </c>
      <c r="P237" s="30" t="s">
        <v>145</v>
      </c>
      <c r="Q237" s="30" t="s">
        <v>166</v>
      </c>
    </row>
    <row r="238" hidden="1">
      <c r="A238" s="33" t="str">
        <f>hyperlink("https://issues.sierrawireless.com/browse/OEMPRI-5602", "OEMPRI-5602")</f>
        <v>OEMPRI-5602</v>
      </c>
      <c r="B238" s="30" t="s">
        <v>139</v>
      </c>
      <c r="C238" s="30" t="s">
        <v>140</v>
      </c>
      <c r="D238" s="30" t="s">
        <v>153</v>
      </c>
      <c r="E238" s="43">
        <v>43084.0</v>
      </c>
      <c r="F238" s="44" t="s">
        <v>154</v>
      </c>
      <c r="G238" s="30" t="s">
        <v>185</v>
      </c>
      <c r="H238" s="30" t="s">
        <v>145</v>
      </c>
      <c r="I238" s="30" t="s">
        <v>145</v>
      </c>
      <c r="J238" s="30" t="s">
        <v>145</v>
      </c>
      <c r="K238" s="30" t="s">
        <v>145</v>
      </c>
      <c r="L238" s="30" t="s">
        <v>145</v>
      </c>
      <c r="M238" s="30" t="s">
        <v>145</v>
      </c>
      <c r="N238" s="30" t="s">
        <v>145</v>
      </c>
      <c r="O238" s="30" t="s">
        <v>145</v>
      </c>
      <c r="P238" s="30" t="s">
        <v>145</v>
      </c>
      <c r="Q238" s="30" t="s">
        <v>146</v>
      </c>
    </row>
    <row r="239" hidden="1">
      <c r="A239" s="33" t="str">
        <f>hyperlink("https://issues.sierrawireless.com/browse/OEMPRI-7385", "OEMPRI-7385")</f>
        <v>OEMPRI-7385</v>
      </c>
      <c r="B239" s="30" t="s">
        <v>139</v>
      </c>
      <c r="C239" s="30" t="s">
        <v>148</v>
      </c>
      <c r="D239" s="30" t="s">
        <v>141</v>
      </c>
      <c r="E239" s="35">
        <v>43259.0</v>
      </c>
      <c r="F239" s="37" t="s">
        <v>150</v>
      </c>
      <c r="G239" s="30" t="s">
        <v>668</v>
      </c>
      <c r="H239" s="30" t="s">
        <v>223</v>
      </c>
      <c r="I239" s="30" t="s">
        <v>264</v>
      </c>
      <c r="J239" s="30" t="s">
        <v>278</v>
      </c>
      <c r="K239" s="30" t="s">
        <v>152</v>
      </c>
      <c r="L239" s="30" t="s">
        <v>152</v>
      </c>
      <c r="M239" s="30" t="s">
        <v>1599</v>
      </c>
      <c r="N239" s="30" t="s">
        <v>145</v>
      </c>
      <c r="O239" s="30" t="s">
        <v>145</v>
      </c>
      <c r="P239" s="30" t="s">
        <v>145</v>
      </c>
      <c r="Q239" s="30" t="s">
        <v>152</v>
      </c>
    </row>
    <row r="240" hidden="1">
      <c r="A240" s="33" t="str">
        <f>hyperlink("https://issues.sierrawireless.com/browse/OEMPRI-5567", "OEMPRI-5567")</f>
        <v>OEMPRI-5567</v>
      </c>
      <c r="B240" s="30" t="s">
        <v>139</v>
      </c>
      <c r="C240" s="30" t="s">
        <v>140</v>
      </c>
      <c r="D240" s="30" t="s">
        <v>140</v>
      </c>
      <c r="E240" s="43">
        <v>43081.0</v>
      </c>
      <c r="F240" s="44" t="s">
        <v>143</v>
      </c>
      <c r="G240" s="30" t="s">
        <v>1536</v>
      </c>
      <c r="H240" s="30" t="s">
        <v>145</v>
      </c>
      <c r="I240" s="30" t="s">
        <v>145</v>
      </c>
      <c r="J240" s="30" t="s">
        <v>145</v>
      </c>
      <c r="K240" s="30" t="s">
        <v>145</v>
      </c>
      <c r="L240" s="30" t="s">
        <v>145</v>
      </c>
      <c r="M240" s="30" t="s">
        <v>145</v>
      </c>
      <c r="N240" s="30" t="s">
        <v>145</v>
      </c>
      <c r="O240" s="30" t="s">
        <v>145</v>
      </c>
      <c r="P240" s="30" t="s">
        <v>145</v>
      </c>
      <c r="Q240" s="30" t="s">
        <v>146</v>
      </c>
    </row>
    <row r="241" hidden="1">
      <c r="A241" s="33" t="str">
        <f>hyperlink("https://issues.sierrawireless.com/browse/QTI9X28-2775", "QTI9X28-2775")</f>
        <v>QTI9X28-2775</v>
      </c>
      <c r="B241" s="30" t="s">
        <v>417</v>
      </c>
      <c r="C241" s="30" t="s">
        <v>140</v>
      </c>
      <c r="D241" s="30" t="s">
        <v>1203</v>
      </c>
      <c r="E241" s="43">
        <v>43089.0</v>
      </c>
      <c r="F241" s="44" t="s">
        <v>207</v>
      </c>
      <c r="G241" s="2" t="s">
        <v>1342</v>
      </c>
      <c r="H241" s="30" t="s">
        <v>145</v>
      </c>
      <c r="I241" s="30" t="s">
        <v>145</v>
      </c>
      <c r="J241" s="30" t="s">
        <v>145</v>
      </c>
      <c r="K241" s="30" t="s">
        <v>145</v>
      </c>
      <c r="L241" s="30" t="s">
        <v>145</v>
      </c>
      <c r="M241" s="30" t="s">
        <v>145</v>
      </c>
      <c r="N241" s="30" t="s">
        <v>145</v>
      </c>
      <c r="O241" s="30" t="s">
        <v>145</v>
      </c>
      <c r="P241" s="30" t="s">
        <v>145</v>
      </c>
      <c r="Q241" s="30" t="s">
        <v>166</v>
      </c>
    </row>
    <row r="242" hidden="1">
      <c r="A242" s="33" t="str">
        <f>hyperlink("https://issues.sierrawireless.com/browse/OEMPRI-5562", "OEMPRI-5562")</f>
        <v>OEMPRI-5562</v>
      </c>
      <c r="B242" s="30" t="s">
        <v>139</v>
      </c>
      <c r="C242" s="30" t="s">
        <v>148</v>
      </c>
      <c r="D242" s="30" t="s">
        <v>140</v>
      </c>
      <c r="E242" s="43">
        <v>43081.0</v>
      </c>
      <c r="F242" s="44" t="s">
        <v>154</v>
      </c>
      <c r="G242" s="30" t="s">
        <v>1611</v>
      </c>
      <c r="H242" s="30" t="s">
        <v>145</v>
      </c>
      <c r="I242" s="30" t="s">
        <v>145</v>
      </c>
      <c r="J242" s="30" t="s">
        <v>145</v>
      </c>
      <c r="K242" s="30" t="s">
        <v>145</v>
      </c>
      <c r="L242" s="30" t="s">
        <v>145</v>
      </c>
      <c r="M242" s="30" t="s">
        <v>145</v>
      </c>
      <c r="N242" s="30" t="s">
        <v>145</v>
      </c>
      <c r="O242" s="30" t="s">
        <v>145</v>
      </c>
      <c r="P242" s="30" t="s">
        <v>145</v>
      </c>
      <c r="Q242" s="30" t="s">
        <v>152</v>
      </c>
    </row>
    <row r="243" hidden="1">
      <c r="A243" s="33" t="str">
        <f>hyperlink("https://issues.sierrawireless.com/browse/OEMPRI-5565", "OEMPRI-5565")</f>
        <v>OEMPRI-5565</v>
      </c>
      <c r="B243" s="30" t="s">
        <v>139</v>
      </c>
      <c r="C243" s="30" t="s">
        <v>148</v>
      </c>
      <c r="D243" s="30" t="s">
        <v>140</v>
      </c>
      <c r="E243" s="43">
        <v>43081.0</v>
      </c>
      <c r="F243" s="44" t="s">
        <v>154</v>
      </c>
      <c r="G243" s="30" t="s">
        <v>1611</v>
      </c>
      <c r="H243" s="30" t="s">
        <v>145</v>
      </c>
      <c r="I243" s="30" t="s">
        <v>145</v>
      </c>
      <c r="J243" s="30" t="s">
        <v>145</v>
      </c>
      <c r="K243" s="30" t="s">
        <v>145</v>
      </c>
      <c r="L243" s="30" t="s">
        <v>145</v>
      </c>
      <c r="M243" s="30" t="s">
        <v>145</v>
      </c>
      <c r="N243" s="30" t="s">
        <v>145</v>
      </c>
      <c r="O243" s="30" t="s">
        <v>145</v>
      </c>
      <c r="P243" s="30" t="s">
        <v>145</v>
      </c>
      <c r="Q243" s="30" t="s">
        <v>152</v>
      </c>
    </row>
    <row r="244" hidden="1">
      <c r="A244" s="33" t="str">
        <f>hyperlink("https://issues.sierrawireless.com/browse/OEMPRI-5566", "OEMPRI-5566")</f>
        <v>OEMPRI-5566</v>
      </c>
      <c r="B244" s="30" t="s">
        <v>139</v>
      </c>
      <c r="C244" s="30" t="s">
        <v>148</v>
      </c>
      <c r="D244" s="30" t="s">
        <v>140</v>
      </c>
      <c r="E244" s="35">
        <v>43081.0</v>
      </c>
      <c r="F244" s="37" t="s">
        <v>154</v>
      </c>
      <c r="G244" s="30" t="s">
        <v>1621</v>
      </c>
      <c r="H244" s="30" t="s">
        <v>145</v>
      </c>
      <c r="I244" s="30" t="s">
        <v>145</v>
      </c>
      <c r="J244" s="30" t="s">
        <v>145</v>
      </c>
      <c r="K244" s="30" t="s">
        <v>145</v>
      </c>
      <c r="L244" s="30" t="s">
        <v>145</v>
      </c>
      <c r="M244" s="30" t="s">
        <v>145</v>
      </c>
      <c r="N244" s="30" t="s">
        <v>145</v>
      </c>
      <c r="O244" s="30" t="s">
        <v>145</v>
      </c>
      <c r="P244" s="30" t="s">
        <v>145</v>
      </c>
      <c r="Q244" s="30" t="s">
        <v>152</v>
      </c>
    </row>
    <row r="245" hidden="1">
      <c r="A245" s="33" t="str">
        <f>hyperlink("https://issues.sierrawireless.com/browse/OEMPRI-7386", "OEMPRI-7386")</f>
        <v>OEMPRI-7386</v>
      </c>
      <c r="B245" s="30" t="s">
        <v>139</v>
      </c>
      <c r="C245" s="30" t="s">
        <v>148</v>
      </c>
      <c r="D245" s="30" t="s">
        <v>141</v>
      </c>
      <c r="E245" s="35">
        <v>43259.0</v>
      </c>
      <c r="F245" s="37" t="s">
        <v>150</v>
      </c>
      <c r="G245" s="30" t="s">
        <v>152</v>
      </c>
      <c r="H245" s="30" t="s">
        <v>145</v>
      </c>
      <c r="I245" s="30" t="s">
        <v>145</v>
      </c>
      <c r="J245" s="30" t="s">
        <v>145</v>
      </c>
      <c r="K245" s="30" t="s">
        <v>145</v>
      </c>
      <c r="L245" s="30" t="s">
        <v>145</v>
      </c>
      <c r="M245" s="30" t="s">
        <v>145</v>
      </c>
      <c r="N245" s="30" t="s">
        <v>145</v>
      </c>
      <c r="O245" s="30" t="s">
        <v>145</v>
      </c>
      <c r="P245" s="30" t="s">
        <v>145</v>
      </c>
      <c r="Q245" s="30" t="s">
        <v>152</v>
      </c>
    </row>
    <row r="246" hidden="1">
      <c r="A246" s="33" t="str">
        <f>hyperlink("https://issues.sierrawireless.com/browse/OEMPRI-5555", "OEMPRI-5555")</f>
        <v>OEMPRI-5555</v>
      </c>
      <c r="B246" s="30" t="s">
        <v>139</v>
      </c>
      <c r="C246" s="30" t="s">
        <v>337</v>
      </c>
      <c r="D246" s="30" t="s">
        <v>337</v>
      </c>
      <c r="E246" s="35">
        <v>43077.0</v>
      </c>
      <c r="F246" s="37" t="s">
        <v>150</v>
      </c>
      <c r="G246" s="30" t="s">
        <v>438</v>
      </c>
      <c r="H246" s="30" t="s">
        <v>146</v>
      </c>
      <c r="I246" s="30" t="s">
        <v>146</v>
      </c>
      <c r="J246" s="30" t="s">
        <v>618</v>
      </c>
      <c r="K246" s="30" t="s">
        <v>146</v>
      </c>
      <c r="L246" s="30" t="s">
        <v>146</v>
      </c>
      <c r="M246" s="2" t="s">
        <v>1632</v>
      </c>
      <c r="N246" s="30" t="s">
        <v>145</v>
      </c>
      <c r="O246" s="30" t="s">
        <v>145</v>
      </c>
      <c r="P246" s="30" t="s">
        <v>145</v>
      </c>
      <c r="Q246" s="30" t="s">
        <v>409</v>
      </c>
    </row>
    <row r="247" hidden="1">
      <c r="A247" s="33" t="str">
        <f>hyperlink("https://issues.sierrawireless.com/browse/OEMPRI-5554", "OEMPRI-5554")</f>
        <v>OEMPRI-5554</v>
      </c>
      <c r="B247" s="30" t="s">
        <v>139</v>
      </c>
      <c r="C247" s="30" t="s">
        <v>140</v>
      </c>
      <c r="D247" s="30" t="s">
        <v>140</v>
      </c>
      <c r="E247" s="35">
        <v>43077.0</v>
      </c>
      <c r="F247" s="37" t="s">
        <v>143</v>
      </c>
      <c r="G247" s="2" t="s">
        <v>1636</v>
      </c>
      <c r="H247" s="30" t="s">
        <v>145</v>
      </c>
      <c r="I247" s="30" t="s">
        <v>145</v>
      </c>
      <c r="J247" s="30" t="s">
        <v>145</v>
      </c>
      <c r="K247" s="30" t="s">
        <v>145</v>
      </c>
      <c r="L247" s="30" t="s">
        <v>145</v>
      </c>
      <c r="M247" s="30" t="s">
        <v>145</v>
      </c>
      <c r="N247" s="30" t="s">
        <v>145</v>
      </c>
      <c r="O247" s="30" t="s">
        <v>145</v>
      </c>
      <c r="P247" s="30" t="s">
        <v>145</v>
      </c>
      <c r="Q247" s="30" t="s">
        <v>146</v>
      </c>
    </row>
    <row r="248" hidden="1">
      <c r="A248" s="33" t="str">
        <f>hyperlink("https://issues.sierrawireless.com/browse/OEMPRI-5556", "OEMPRI-5556")</f>
        <v>OEMPRI-5556</v>
      </c>
      <c r="B248" s="30" t="s">
        <v>139</v>
      </c>
      <c r="C248" s="30" t="s">
        <v>337</v>
      </c>
      <c r="D248" s="30" t="s">
        <v>337</v>
      </c>
      <c r="E248" s="35">
        <v>43077.0</v>
      </c>
      <c r="F248" s="37" t="s">
        <v>150</v>
      </c>
      <c r="G248" s="30" t="s">
        <v>626</v>
      </c>
      <c r="H248" s="30" t="s">
        <v>146</v>
      </c>
      <c r="I248" s="30" t="s">
        <v>185</v>
      </c>
      <c r="J248" s="30" t="s">
        <v>618</v>
      </c>
      <c r="K248" s="30" t="s">
        <v>146</v>
      </c>
      <c r="L248" s="30" t="s">
        <v>146</v>
      </c>
      <c r="M248" s="2" t="s">
        <v>1644</v>
      </c>
      <c r="N248" s="30" t="s">
        <v>145</v>
      </c>
      <c r="O248" s="30" t="s">
        <v>145</v>
      </c>
      <c r="P248" s="30" t="s">
        <v>145</v>
      </c>
      <c r="Q248" s="30" t="s">
        <v>404</v>
      </c>
    </row>
    <row r="249" hidden="1">
      <c r="A249" s="33" t="str">
        <f>hyperlink("https://issues.sierrawireless.com/browse/OEMPRI-5540", "OEMPRI-5540")</f>
        <v>OEMPRI-5540</v>
      </c>
      <c r="B249" s="30" t="s">
        <v>139</v>
      </c>
      <c r="C249" s="30" t="s">
        <v>148</v>
      </c>
      <c r="D249" s="30" t="s">
        <v>153</v>
      </c>
      <c r="E249" s="35">
        <v>43075.0</v>
      </c>
      <c r="F249" s="37" t="s">
        <v>154</v>
      </c>
      <c r="G249" s="30" t="s">
        <v>556</v>
      </c>
      <c r="H249" s="30" t="s">
        <v>145</v>
      </c>
      <c r="I249" s="30" t="s">
        <v>145</v>
      </c>
      <c r="J249" s="30" t="s">
        <v>145</v>
      </c>
      <c r="K249" s="30" t="s">
        <v>145</v>
      </c>
      <c r="L249" s="30" t="s">
        <v>145</v>
      </c>
      <c r="M249" s="30" t="s">
        <v>145</v>
      </c>
      <c r="N249" s="30" t="s">
        <v>145</v>
      </c>
      <c r="O249" s="30" t="s">
        <v>145</v>
      </c>
      <c r="P249" s="30" t="s">
        <v>145</v>
      </c>
      <c r="Q249" s="30" t="s">
        <v>152</v>
      </c>
    </row>
    <row r="250" hidden="1">
      <c r="A250" s="33" t="str">
        <f>hyperlink("https://issues.sierrawireless.com/browse/OEMPRI-5536", "OEMPRI-5536")</f>
        <v>OEMPRI-5536</v>
      </c>
      <c r="B250" s="30" t="s">
        <v>139</v>
      </c>
      <c r="C250" s="30" t="s">
        <v>140</v>
      </c>
      <c r="D250" s="30" t="s">
        <v>141</v>
      </c>
      <c r="E250" s="35">
        <v>43075.0</v>
      </c>
      <c r="F250" s="37" t="s">
        <v>150</v>
      </c>
      <c r="G250" s="2" t="s">
        <v>843</v>
      </c>
      <c r="H250" s="30" t="s">
        <v>145</v>
      </c>
      <c r="I250" s="30" t="s">
        <v>145</v>
      </c>
      <c r="J250" s="30" t="s">
        <v>145</v>
      </c>
      <c r="K250" s="30" t="s">
        <v>145</v>
      </c>
      <c r="L250" s="30" t="s">
        <v>145</v>
      </c>
      <c r="M250" s="30" t="s">
        <v>145</v>
      </c>
      <c r="N250" s="30" t="s">
        <v>145</v>
      </c>
      <c r="O250" s="30" t="s">
        <v>145</v>
      </c>
      <c r="P250" s="30" t="s">
        <v>145</v>
      </c>
      <c r="Q250" s="30" t="s">
        <v>146</v>
      </c>
    </row>
    <row r="251" hidden="1">
      <c r="A251" s="33" t="str">
        <f>hyperlink("https://issues.sierrawireless.com/browse/CORONADO-1592", "CORONADO-1592")</f>
        <v>CORONADO-1592</v>
      </c>
      <c r="B251" s="30" t="s">
        <v>139</v>
      </c>
      <c r="C251" s="30" t="s">
        <v>140</v>
      </c>
      <c r="D251" s="30" t="s">
        <v>140</v>
      </c>
      <c r="E251" s="43">
        <v>43019.0</v>
      </c>
      <c r="F251" s="44" t="s">
        <v>162</v>
      </c>
      <c r="G251" s="30" t="s">
        <v>146</v>
      </c>
      <c r="H251" s="30" t="s">
        <v>146</v>
      </c>
      <c r="I251" s="30" t="s">
        <v>163</v>
      </c>
      <c r="J251" s="30" t="s">
        <v>264</v>
      </c>
      <c r="K251" s="30" t="s">
        <v>146</v>
      </c>
      <c r="L251" s="30" t="s">
        <v>185</v>
      </c>
      <c r="M251" s="30" t="s">
        <v>145</v>
      </c>
      <c r="N251" s="30" t="s">
        <v>145</v>
      </c>
      <c r="O251" s="30" t="s">
        <v>145</v>
      </c>
      <c r="P251" s="30" t="s">
        <v>145</v>
      </c>
      <c r="Q251" s="30" t="s">
        <v>185</v>
      </c>
    </row>
    <row r="252" hidden="1">
      <c r="A252" s="33" t="str">
        <f>hyperlink("https://issues.sierrawireless.com/browse/OEMPRI-5538", "OEMPRI-5538")</f>
        <v>OEMPRI-5538</v>
      </c>
      <c r="B252" s="30" t="s">
        <v>139</v>
      </c>
      <c r="C252" s="30" t="s">
        <v>140</v>
      </c>
      <c r="D252" s="30" t="s">
        <v>141</v>
      </c>
      <c r="E252" s="35">
        <v>43075.0</v>
      </c>
      <c r="F252" s="37" t="s">
        <v>150</v>
      </c>
      <c r="G252" s="2" t="s">
        <v>1661</v>
      </c>
      <c r="H252" s="30" t="s">
        <v>145</v>
      </c>
      <c r="I252" s="30" t="s">
        <v>145</v>
      </c>
      <c r="J252" s="30" t="s">
        <v>145</v>
      </c>
      <c r="K252" s="30" t="s">
        <v>145</v>
      </c>
      <c r="L252" s="30" t="s">
        <v>145</v>
      </c>
      <c r="M252" s="30" t="s">
        <v>145</v>
      </c>
      <c r="N252" s="30" t="s">
        <v>145</v>
      </c>
      <c r="O252" s="30" t="s">
        <v>145</v>
      </c>
      <c r="P252" s="30" t="s">
        <v>145</v>
      </c>
      <c r="Q252" s="30" t="s">
        <v>146</v>
      </c>
    </row>
    <row r="253" hidden="1">
      <c r="A253" s="33" t="str">
        <f>hyperlink("https://issues.sierrawireless.com/browse/OEMPRI-5537", "OEMPRI-5537")</f>
        <v>OEMPRI-5537</v>
      </c>
      <c r="B253" s="30" t="s">
        <v>139</v>
      </c>
      <c r="C253" s="30" t="s">
        <v>148</v>
      </c>
      <c r="D253" s="30" t="s">
        <v>141</v>
      </c>
      <c r="E253" s="35">
        <v>43075.0</v>
      </c>
      <c r="F253" s="37" t="s">
        <v>150</v>
      </c>
      <c r="G253" s="2" t="s">
        <v>1667</v>
      </c>
      <c r="H253" s="30" t="s">
        <v>145</v>
      </c>
      <c r="I253" s="30" t="s">
        <v>146</v>
      </c>
      <c r="J253" s="30" t="s">
        <v>189</v>
      </c>
      <c r="K253" s="30" t="s">
        <v>152</v>
      </c>
      <c r="L253" s="30" t="s">
        <v>152</v>
      </c>
      <c r="M253" s="30" t="s">
        <v>532</v>
      </c>
      <c r="N253" s="30" t="s">
        <v>145</v>
      </c>
      <c r="O253" s="30" t="s">
        <v>145</v>
      </c>
      <c r="P253" s="30" t="s">
        <v>145</v>
      </c>
      <c r="Q253" s="30" t="s">
        <v>151</v>
      </c>
    </row>
    <row r="254" hidden="1">
      <c r="A254" s="33" t="str">
        <f>hyperlink("https://issues.sierrawireless.com/browse/OEMPRI-5539", "OEMPRI-5539")</f>
        <v>OEMPRI-5539</v>
      </c>
      <c r="B254" s="30" t="s">
        <v>139</v>
      </c>
      <c r="C254" s="30" t="s">
        <v>140</v>
      </c>
      <c r="D254" s="30" t="s">
        <v>141</v>
      </c>
      <c r="E254" s="35">
        <v>43075.0</v>
      </c>
      <c r="F254" s="37" t="s">
        <v>150</v>
      </c>
      <c r="G254" s="2" t="s">
        <v>1661</v>
      </c>
      <c r="H254" s="30" t="s">
        <v>145</v>
      </c>
      <c r="I254" s="30" t="s">
        <v>145</v>
      </c>
      <c r="J254" s="30" t="s">
        <v>145</v>
      </c>
      <c r="K254" s="30" t="s">
        <v>145</v>
      </c>
      <c r="L254" s="30" t="s">
        <v>145</v>
      </c>
      <c r="M254" s="30" t="s">
        <v>145</v>
      </c>
      <c r="N254" s="30" t="s">
        <v>145</v>
      </c>
      <c r="O254" s="30" t="s">
        <v>145</v>
      </c>
      <c r="P254" s="30" t="s">
        <v>145</v>
      </c>
      <c r="Q254" s="30" t="s">
        <v>146</v>
      </c>
    </row>
    <row r="255" hidden="1">
      <c r="A255" s="33" t="str">
        <f>hyperlink("https://issues.sierrawireless.com/browse/OEMPRI-5519", "OEMPRI-5519")</f>
        <v>OEMPRI-5519</v>
      </c>
      <c r="B255" s="30" t="s">
        <v>139</v>
      </c>
      <c r="C255" s="30" t="s">
        <v>140</v>
      </c>
      <c r="D255" s="30" t="s">
        <v>153</v>
      </c>
      <c r="E255" s="35">
        <v>43074.0</v>
      </c>
      <c r="F255" s="37" t="s">
        <v>154</v>
      </c>
      <c r="G255" s="30" t="s">
        <v>503</v>
      </c>
      <c r="H255" s="30" t="s">
        <v>145</v>
      </c>
      <c r="I255" s="30" t="s">
        <v>145</v>
      </c>
      <c r="J255" s="30" t="s">
        <v>145</v>
      </c>
      <c r="K255" s="30" t="s">
        <v>145</v>
      </c>
      <c r="L255" s="30" t="s">
        <v>145</v>
      </c>
      <c r="M255" s="30" t="s">
        <v>145</v>
      </c>
      <c r="N255" s="30" t="s">
        <v>145</v>
      </c>
      <c r="O255" s="30" t="s">
        <v>145</v>
      </c>
      <c r="P255" s="30" t="s">
        <v>145</v>
      </c>
      <c r="Q255" s="30" t="s">
        <v>146</v>
      </c>
    </row>
    <row r="256" hidden="1">
      <c r="A256" s="33" t="str">
        <f>hyperlink("https://issues.sierrawireless.com/browse/OEMPRI-5520", "OEMPRI-5520")</f>
        <v>OEMPRI-5520</v>
      </c>
      <c r="B256" s="30" t="s">
        <v>139</v>
      </c>
      <c r="C256" s="30" t="s">
        <v>148</v>
      </c>
      <c r="D256" s="30" t="s">
        <v>149</v>
      </c>
      <c r="E256" s="35">
        <v>43074.0</v>
      </c>
      <c r="F256" s="37" t="s">
        <v>150</v>
      </c>
      <c r="G256" s="30" t="s">
        <v>503</v>
      </c>
      <c r="H256" s="30" t="s">
        <v>145</v>
      </c>
      <c r="I256" s="30" t="s">
        <v>146</v>
      </c>
      <c r="J256" s="30" t="s">
        <v>146</v>
      </c>
      <c r="K256" s="30" t="s">
        <v>1611</v>
      </c>
      <c r="L256" s="30" t="s">
        <v>152</v>
      </c>
      <c r="M256" s="30" t="s">
        <v>152</v>
      </c>
      <c r="N256" s="2" t="s">
        <v>152</v>
      </c>
      <c r="O256" s="30" t="s">
        <v>368</v>
      </c>
      <c r="P256" s="30" t="s">
        <v>152</v>
      </c>
      <c r="Q256" s="30" t="s">
        <v>152</v>
      </c>
    </row>
    <row r="257" hidden="1">
      <c r="A257" s="33" t="str">
        <f>hyperlink("https://issues.sierrawireless.com/browse/OEMPRI-5521", "OEMPRI-5521")</f>
        <v>OEMPRI-5521</v>
      </c>
      <c r="B257" s="30" t="s">
        <v>139</v>
      </c>
      <c r="C257" s="30" t="s">
        <v>148</v>
      </c>
      <c r="D257" s="30" t="s">
        <v>149</v>
      </c>
      <c r="E257" s="35">
        <v>43074.0</v>
      </c>
      <c r="F257" s="37" t="s">
        <v>150</v>
      </c>
      <c r="G257" s="30" t="s">
        <v>503</v>
      </c>
      <c r="H257" s="30" t="s">
        <v>145</v>
      </c>
      <c r="I257" s="30" t="s">
        <v>146</v>
      </c>
      <c r="J257" s="30" t="s">
        <v>146</v>
      </c>
      <c r="K257" s="2" t="s">
        <v>1621</v>
      </c>
      <c r="L257" s="30" t="s">
        <v>152</v>
      </c>
      <c r="M257" s="30" t="s">
        <v>152</v>
      </c>
      <c r="N257" s="30" t="s">
        <v>152</v>
      </c>
      <c r="O257" s="30" t="s">
        <v>152</v>
      </c>
      <c r="P257" s="30" t="s">
        <v>152</v>
      </c>
      <c r="Q257" s="30" t="s">
        <v>152</v>
      </c>
    </row>
    <row r="258" hidden="1">
      <c r="A258" s="33" t="str">
        <f>hyperlink("https://issues.sierrawireless.com/browse/QTI9X28-2754", "QTI9X28-2754")</f>
        <v>QTI9X28-2754</v>
      </c>
      <c r="B258" s="30" t="s">
        <v>417</v>
      </c>
      <c r="C258" s="30" t="s">
        <v>140</v>
      </c>
      <c r="D258" s="30" t="s">
        <v>1203</v>
      </c>
      <c r="E258" s="43">
        <v>43088.0</v>
      </c>
      <c r="F258" s="44" t="s">
        <v>207</v>
      </c>
      <c r="G258" s="2" t="s">
        <v>1696</v>
      </c>
      <c r="H258" s="30" t="s">
        <v>145</v>
      </c>
      <c r="I258" s="30" t="s">
        <v>145</v>
      </c>
      <c r="J258" s="30" t="s">
        <v>145</v>
      </c>
      <c r="K258" s="30" t="s">
        <v>145</v>
      </c>
      <c r="L258" s="30" t="s">
        <v>145</v>
      </c>
      <c r="M258" s="30" t="s">
        <v>145</v>
      </c>
      <c r="N258" s="30" t="s">
        <v>145</v>
      </c>
      <c r="O258" s="30" t="s">
        <v>145</v>
      </c>
      <c r="P258" s="30" t="s">
        <v>145</v>
      </c>
      <c r="Q258" s="30" t="s">
        <v>166</v>
      </c>
    </row>
    <row r="259" hidden="1">
      <c r="A259" s="33" t="str">
        <f>hyperlink("https://issues.sierrawireless.com/browse/OEMPRI-5499", "OEMPRI-5499")</f>
        <v>OEMPRI-5499</v>
      </c>
      <c r="B259" s="30" t="s">
        <v>139</v>
      </c>
      <c r="C259" s="30" t="s">
        <v>140</v>
      </c>
      <c r="D259" s="30" t="s">
        <v>153</v>
      </c>
      <c r="E259" s="35">
        <v>43073.0</v>
      </c>
      <c r="F259" s="37" t="s">
        <v>154</v>
      </c>
      <c r="G259" s="30" t="s">
        <v>146</v>
      </c>
      <c r="H259" s="30" t="s">
        <v>145</v>
      </c>
      <c r="I259" s="30" t="s">
        <v>145</v>
      </c>
      <c r="J259" s="30" t="s">
        <v>145</v>
      </c>
      <c r="K259" s="30" t="s">
        <v>145</v>
      </c>
      <c r="L259" s="30" t="s">
        <v>145</v>
      </c>
      <c r="M259" s="30" t="s">
        <v>145</v>
      </c>
      <c r="N259" s="30" t="s">
        <v>145</v>
      </c>
      <c r="O259" s="30" t="s">
        <v>145</v>
      </c>
      <c r="P259" s="30" t="s">
        <v>145</v>
      </c>
      <c r="Q259" s="30" t="s">
        <v>146</v>
      </c>
    </row>
    <row r="260" hidden="1">
      <c r="A260" s="33" t="str">
        <f>hyperlink("https://issues.sierrawireless.com/browse/OEMPRI-5502", "OEMPRI-5502")</f>
        <v>OEMPRI-5502</v>
      </c>
      <c r="B260" s="30" t="s">
        <v>139</v>
      </c>
      <c r="C260" s="30" t="s">
        <v>140</v>
      </c>
      <c r="D260" s="30" t="s">
        <v>153</v>
      </c>
      <c r="E260" s="35">
        <v>43073.0</v>
      </c>
      <c r="F260" s="37" t="s">
        <v>154</v>
      </c>
      <c r="G260" s="30" t="s">
        <v>654</v>
      </c>
      <c r="H260" s="30" t="s">
        <v>145</v>
      </c>
      <c r="I260" s="30" t="s">
        <v>145</v>
      </c>
      <c r="J260" s="30" t="s">
        <v>145</v>
      </c>
      <c r="K260" s="30" t="s">
        <v>145</v>
      </c>
      <c r="L260" s="30" t="s">
        <v>145</v>
      </c>
      <c r="M260" s="30" t="s">
        <v>145</v>
      </c>
      <c r="N260" s="30" t="s">
        <v>145</v>
      </c>
      <c r="O260" s="30" t="s">
        <v>145</v>
      </c>
      <c r="P260" s="30" t="s">
        <v>145</v>
      </c>
      <c r="Q260" s="30" t="s">
        <v>146</v>
      </c>
    </row>
    <row r="261" hidden="1">
      <c r="A261" s="33" t="str">
        <f>hyperlink("https://issues.sierrawireless.com/browse/OEMPRI-5498", "OEMPRI-5498")</f>
        <v>OEMPRI-5498</v>
      </c>
      <c r="B261" s="30" t="s">
        <v>139</v>
      </c>
      <c r="C261" s="30" t="s">
        <v>337</v>
      </c>
      <c r="D261" s="30" t="s">
        <v>337</v>
      </c>
      <c r="E261" s="35">
        <v>43073.0</v>
      </c>
      <c r="F261" s="37" t="s">
        <v>150</v>
      </c>
      <c r="G261" s="30" t="s">
        <v>140</v>
      </c>
      <c r="H261" s="30" t="s">
        <v>223</v>
      </c>
      <c r="I261" s="30" t="s">
        <v>1711</v>
      </c>
      <c r="J261" s="2" t="s">
        <v>407</v>
      </c>
      <c r="K261" s="30" t="s">
        <v>152</v>
      </c>
      <c r="L261" s="30" t="s">
        <v>152</v>
      </c>
      <c r="M261" s="30" t="s">
        <v>1714</v>
      </c>
      <c r="N261" s="30" t="s">
        <v>145</v>
      </c>
      <c r="O261" s="30" t="s">
        <v>145</v>
      </c>
      <c r="P261" s="30" t="s">
        <v>145</v>
      </c>
      <c r="Q261" s="30" t="s">
        <v>404</v>
      </c>
    </row>
    <row r="262" hidden="1">
      <c r="A262" s="33" t="str">
        <f>hyperlink("https://issues.sierrawireless.com/browse/OEMPRI-5483", "OEMPRI-5483")</f>
        <v>OEMPRI-5483</v>
      </c>
      <c r="B262" s="30" t="s">
        <v>139</v>
      </c>
      <c r="C262" s="30" t="s">
        <v>140</v>
      </c>
      <c r="D262" s="30" t="s">
        <v>140</v>
      </c>
      <c r="E262" s="35">
        <v>43070.0</v>
      </c>
      <c r="F262" s="37" t="s">
        <v>143</v>
      </c>
      <c r="G262" s="30" t="s">
        <v>264</v>
      </c>
      <c r="H262" s="30" t="s">
        <v>145</v>
      </c>
      <c r="I262" s="30" t="s">
        <v>145</v>
      </c>
      <c r="J262" s="30" t="s">
        <v>145</v>
      </c>
      <c r="K262" s="30" t="s">
        <v>145</v>
      </c>
      <c r="L262" s="30" t="s">
        <v>145</v>
      </c>
      <c r="M262" s="30" t="s">
        <v>145</v>
      </c>
      <c r="N262" s="30" t="s">
        <v>145</v>
      </c>
      <c r="O262" s="30" t="s">
        <v>145</v>
      </c>
      <c r="P262" s="30" t="s">
        <v>145</v>
      </c>
      <c r="Q262" s="30" t="s">
        <v>146</v>
      </c>
    </row>
    <row r="263" hidden="1">
      <c r="A263" s="33" t="str">
        <f>hyperlink("https://issues.sierrawireless.com/browse/OEMPRI-5485", "OEMPRI-5485")</f>
        <v>OEMPRI-5485</v>
      </c>
      <c r="B263" s="30" t="s">
        <v>139</v>
      </c>
      <c r="C263" s="30" t="s">
        <v>148</v>
      </c>
      <c r="D263" s="30" t="s">
        <v>122</v>
      </c>
      <c r="E263" s="35">
        <v>43070.0</v>
      </c>
      <c r="F263" s="37" t="s">
        <v>150</v>
      </c>
      <c r="G263" s="30" t="s">
        <v>171</v>
      </c>
      <c r="H263" s="30" t="s">
        <v>146</v>
      </c>
      <c r="I263" s="30" t="s">
        <v>146</v>
      </c>
      <c r="J263" s="30" t="s">
        <v>146</v>
      </c>
      <c r="K263" s="30" t="s">
        <v>687</v>
      </c>
      <c r="L263" s="30" t="s">
        <v>687</v>
      </c>
      <c r="M263" s="30" t="s">
        <v>213</v>
      </c>
      <c r="N263" s="2" t="s">
        <v>152</v>
      </c>
      <c r="O263" s="30" t="s">
        <v>152</v>
      </c>
      <c r="P263" s="30" t="s">
        <v>152</v>
      </c>
      <c r="Q263" s="30" t="s">
        <v>152</v>
      </c>
    </row>
    <row r="264" hidden="1">
      <c r="A264" s="33" t="str">
        <f>hyperlink("https://issues.sierrawireless.com/browse/OEMPRI-5487", "OEMPRI-5487")</f>
        <v>OEMPRI-5487</v>
      </c>
      <c r="B264" s="30" t="s">
        <v>139</v>
      </c>
      <c r="C264" s="30" t="s">
        <v>140</v>
      </c>
      <c r="D264" s="30" t="s">
        <v>153</v>
      </c>
      <c r="E264" s="35">
        <v>43070.0</v>
      </c>
      <c r="F264" s="37" t="s">
        <v>154</v>
      </c>
      <c r="G264" s="30" t="s">
        <v>146</v>
      </c>
      <c r="H264" s="30" t="s">
        <v>145</v>
      </c>
      <c r="I264" s="30" t="s">
        <v>145</v>
      </c>
      <c r="J264" s="30" t="s">
        <v>145</v>
      </c>
      <c r="K264" s="30" t="s">
        <v>145</v>
      </c>
      <c r="L264" s="30" t="s">
        <v>145</v>
      </c>
      <c r="M264" s="30" t="s">
        <v>145</v>
      </c>
      <c r="N264" s="30" t="s">
        <v>145</v>
      </c>
      <c r="O264" s="30" t="s">
        <v>145</v>
      </c>
      <c r="P264" s="30" t="s">
        <v>145</v>
      </c>
      <c r="Q264" s="30" t="s">
        <v>146</v>
      </c>
    </row>
    <row r="265" hidden="1">
      <c r="A265" s="33" t="str">
        <f>hyperlink("https://issues.sierrawireless.com/browse/OEMPRI-5484", "OEMPRI-5484")</f>
        <v>OEMPRI-5484</v>
      </c>
      <c r="B265" s="30" t="s">
        <v>139</v>
      </c>
      <c r="C265" s="30" t="s">
        <v>140</v>
      </c>
      <c r="D265" s="30" t="s">
        <v>140</v>
      </c>
      <c r="E265" s="35">
        <v>43070.0</v>
      </c>
      <c r="F265" s="37" t="s">
        <v>269</v>
      </c>
      <c r="G265" s="2" t="s">
        <v>1729</v>
      </c>
      <c r="H265" s="30" t="s">
        <v>145</v>
      </c>
      <c r="I265" s="30" t="s">
        <v>145</v>
      </c>
      <c r="J265" s="30" t="s">
        <v>145</v>
      </c>
      <c r="K265" s="30" t="s">
        <v>145</v>
      </c>
      <c r="L265" s="30" t="s">
        <v>145</v>
      </c>
      <c r="M265" s="30" t="s">
        <v>145</v>
      </c>
      <c r="N265" s="30" t="s">
        <v>145</v>
      </c>
      <c r="O265" s="30" t="s">
        <v>145</v>
      </c>
      <c r="P265" s="30" t="s">
        <v>145</v>
      </c>
      <c r="Q265" s="30" t="s">
        <v>146</v>
      </c>
    </row>
    <row r="266" hidden="1">
      <c r="A266" s="33" t="str">
        <f>hyperlink("https://issues.sierrawireless.com/browse/OEMPRI-7364", "OEMPRI-7364")</f>
        <v>OEMPRI-7364</v>
      </c>
      <c r="B266" s="30" t="s">
        <v>139</v>
      </c>
      <c r="C266" s="30" t="s">
        <v>170</v>
      </c>
      <c r="D266" s="30" t="s">
        <v>170</v>
      </c>
      <c r="E266" s="35">
        <v>43258.0</v>
      </c>
      <c r="F266" s="37" t="s">
        <v>150</v>
      </c>
      <c r="G266" s="30" t="s">
        <v>146</v>
      </c>
      <c r="H266" s="30" t="s">
        <v>146</v>
      </c>
      <c r="I266" s="30" t="s">
        <v>146</v>
      </c>
      <c r="J266" s="30" t="s">
        <v>1737</v>
      </c>
      <c r="K266" s="30" t="s">
        <v>152</v>
      </c>
      <c r="L266" s="30" t="s">
        <v>152</v>
      </c>
      <c r="M266" s="30" t="s">
        <v>678</v>
      </c>
      <c r="N266" s="30" t="s">
        <v>145</v>
      </c>
      <c r="O266" s="30" t="s">
        <v>145</v>
      </c>
      <c r="P266" s="30" t="s">
        <v>145</v>
      </c>
      <c r="Q266" s="30" t="s">
        <v>743</v>
      </c>
    </row>
    <row r="267" hidden="1">
      <c r="A267" s="33" t="str">
        <f>hyperlink("https://issues.sierrawireless.com/browse/OEMPRI-5448", "OEMPRI-5448")</f>
        <v>OEMPRI-5448</v>
      </c>
      <c r="B267" s="30" t="s">
        <v>139</v>
      </c>
      <c r="C267" s="30" t="s">
        <v>148</v>
      </c>
      <c r="D267" s="30" t="s">
        <v>140</v>
      </c>
      <c r="E267" s="43">
        <v>43068.0</v>
      </c>
      <c r="F267" s="44" t="s">
        <v>154</v>
      </c>
      <c r="G267" s="30" t="s">
        <v>727</v>
      </c>
      <c r="H267" s="30" t="s">
        <v>145</v>
      </c>
      <c r="I267" s="30" t="s">
        <v>145</v>
      </c>
      <c r="J267" s="30" t="s">
        <v>145</v>
      </c>
      <c r="K267" s="30" t="s">
        <v>145</v>
      </c>
      <c r="L267" s="30" t="s">
        <v>145</v>
      </c>
      <c r="M267" s="30" t="s">
        <v>145</v>
      </c>
      <c r="N267" s="30" t="s">
        <v>145</v>
      </c>
      <c r="O267" s="30" t="s">
        <v>145</v>
      </c>
      <c r="P267" s="30" t="s">
        <v>145</v>
      </c>
      <c r="Q267" s="30" t="s">
        <v>152</v>
      </c>
    </row>
    <row r="268" hidden="1">
      <c r="A268" s="33" t="str">
        <f>hyperlink("https://issues.sierrawireless.com/browse/OEMPRI-5450", "OEMPRI-5450")</f>
        <v>OEMPRI-5450</v>
      </c>
      <c r="B268" s="30" t="s">
        <v>139</v>
      </c>
      <c r="C268" s="30" t="s">
        <v>148</v>
      </c>
      <c r="D268" s="30" t="s">
        <v>140</v>
      </c>
      <c r="E268" s="43">
        <v>43068.0</v>
      </c>
      <c r="F268" s="44" t="s">
        <v>154</v>
      </c>
      <c r="G268" s="30" t="s">
        <v>727</v>
      </c>
      <c r="H268" s="30" t="s">
        <v>145</v>
      </c>
      <c r="I268" s="30" t="s">
        <v>145</v>
      </c>
      <c r="J268" s="30" t="s">
        <v>145</v>
      </c>
      <c r="K268" s="30" t="s">
        <v>145</v>
      </c>
      <c r="L268" s="30" t="s">
        <v>145</v>
      </c>
      <c r="M268" s="30" t="s">
        <v>145</v>
      </c>
      <c r="N268" s="30" t="s">
        <v>145</v>
      </c>
      <c r="O268" s="30" t="s">
        <v>145</v>
      </c>
      <c r="P268" s="30" t="s">
        <v>145</v>
      </c>
      <c r="Q268" s="30" t="s">
        <v>152</v>
      </c>
    </row>
    <row r="269" hidden="1">
      <c r="A269" s="33" t="str">
        <f>hyperlink("https://issues.sierrawireless.com/browse/OEMPRI-5471", "OEMPRI-5471")</f>
        <v>OEMPRI-5471</v>
      </c>
      <c r="B269" s="30" t="s">
        <v>139</v>
      </c>
      <c r="C269" s="30" t="s">
        <v>140</v>
      </c>
      <c r="D269" s="30" t="s">
        <v>1748</v>
      </c>
      <c r="E269" s="43">
        <v>43067.0</v>
      </c>
      <c r="F269" s="44" t="s">
        <v>143</v>
      </c>
      <c r="G269" s="30" t="s">
        <v>1749</v>
      </c>
      <c r="H269" s="2" t="s">
        <v>626</v>
      </c>
      <c r="I269" s="30" t="s">
        <v>145</v>
      </c>
      <c r="J269" s="30" t="s">
        <v>145</v>
      </c>
      <c r="K269" s="30" t="s">
        <v>145</v>
      </c>
      <c r="L269" s="30" t="s">
        <v>145</v>
      </c>
      <c r="M269" s="30" t="s">
        <v>145</v>
      </c>
      <c r="N269" s="30" t="s">
        <v>145</v>
      </c>
      <c r="O269" s="30" t="s">
        <v>145</v>
      </c>
      <c r="P269" s="30" t="s">
        <v>145</v>
      </c>
      <c r="Q269" s="30" t="s">
        <v>146</v>
      </c>
    </row>
    <row r="270" hidden="1">
      <c r="A270" s="33" t="str">
        <f>hyperlink("https://issues.sierrawireless.com/browse/OEMPRI-5402", "OEMPRI-5402")</f>
        <v>OEMPRI-5402</v>
      </c>
      <c r="B270" s="30" t="s">
        <v>139</v>
      </c>
      <c r="C270" s="30" t="s">
        <v>337</v>
      </c>
      <c r="D270" s="30" t="s">
        <v>337</v>
      </c>
      <c r="E270" s="43">
        <v>43063.0</v>
      </c>
      <c r="F270" s="44" t="s">
        <v>150</v>
      </c>
      <c r="G270" s="30" t="s">
        <v>153</v>
      </c>
      <c r="H270" s="30" t="s">
        <v>146</v>
      </c>
      <c r="I270" s="30" t="s">
        <v>878</v>
      </c>
      <c r="J270" s="30" t="s">
        <v>618</v>
      </c>
      <c r="K270" s="30" t="s">
        <v>146</v>
      </c>
      <c r="L270" s="30" t="s">
        <v>146</v>
      </c>
      <c r="M270" s="30" t="s">
        <v>922</v>
      </c>
      <c r="N270" s="30" t="s">
        <v>145</v>
      </c>
      <c r="O270" s="30" t="s">
        <v>145</v>
      </c>
      <c r="P270" s="30" t="s">
        <v>145</v>
      </c>
      <c r="Q270" s="30" t="s">
        <v>404</v>
      </c>
    </row>
    <row r="271" hidden="1">
      <c r="A271" s="33" t="str">
        <f>hyperlink("https://issues.sierrawireless.com/browse/OEMPRI-5399", "OEMPRI-5399")</f>
        <v>OEMPRI-5399</v>
      </c>
      <c r="B271" s="30" t="s">
        <v>139</v>
      </c>
      <c r="C271" s="30" t="s">
        <v>148</v>
      </c>
      <c r="D271" s="30" t="s">
        <v>140</v>
      </c>
      <c r="E271" s="43">
        <v>43063.0</v>
      </c>
      <c r="F271" s="44" t="s">
        <v>154</v>
      </c>
      <c r="G271" s="30" t="s">
        <v>1761</v>
      </c>
      <c r="H271" s="30" t="s">
        <v>145</v>
      </c>
      <c r="I271" s="30" t="s">
        <v>145</v>
      </c>
      <c r="J271" s="30" t="s">
        <v>145</v>
      </c>
      <c r="K271" s="30" t="s">
        <v>145</v>
      </c>
      <c r="L271" s="30" t="s">
        <v>145</v>
      </c>
      <c r="M271" s="30" t="s">
        <v>145</v>
      </c>
      <c r="N271" s="30" t="s">
        <v>145</v>
      </c>
      <c r="O271" s="30" t="s">
        <v>145</v>
      </c>
      <c r="P271" s="30" t="s">
        <v>145</v>
      </c>
      <c r="Q271" s="30" t="s">
        <v>152</v>
      </c>
    </row>
    <row r="272" hidden="1">
      <c r="A272" s="33" t="str">
        <f>hyperlink("https://issues.sierrawireless.com/browse/OEMPRI-5400", "OEMPRI-5400")</f>
        <v>OEMPRI-5400</v>
      </c>
      <c r="B272" s="30" t="s">
        <v>139</v>
      </c>
      <c r="C272" s="30" t="s">
        <v>148</v>
      </c>
      <c r="D272" s="30" t="s">
        <v>149</v>
      </c>
      <c r="E272" s="43">
        <v>43063.0</v>
      </c>
      <c r="F272" s="44" t="s">
        <v>150</v>
      </c>
      <c r="G272" s="30" t="s">
        <v>264</v>
      </c>
      <c r="H272" s="30" t="s">
        <v>146</v>
      </c>
      <c r="I272" s="30" t="s">
        <v>146</v>
      </c>
      <c r="J272" s="30" t="s">
        <v>146</v>
      </c>
      <c r="K272" s="30" t="s">
        <v>1772</v>
      </c>
      <c r="L272" s="30" t="s">
        <v>1773</v>
      </c>
      <c r="M272" s="30" t="s">
        <v>1773</v>
      </c>
      <c r="N272" s="2" t="s">
        <v>152</v>
      </c>
      <c r="O272" s="30" t="s">
        <v>1774</v>
      </c>
      <c r="P272" s="30" t="s">
        <v>152</v>
      </c>
      <c r="Q272" s="30" t="s">
        <v>152</v>
      </c>
    </row>
    <row r="273" hidden="1">
      <c r="A273" s="33" t="str">
        <f>hyperlink("https://issues.sierrawireless.com/browse/OEMPRI-5401", "OEMPRI-5401")</f>
        <v>OEMPRI-5401</v>
      </c>
      <c r="B273" s="30" t="s">
        <v>139</v>
      </c>
      <c r="C273" s="30" t="s">
        <v>148</v>
      </c>
      <c r="D273" s="30" t="s">
        <v>149</v>
      </c>
      <c r="E273" s="43">
        <v>43063.0</v>
      </c>
      <c r="F273" s="44" t="s">
        <v>150</v>
      </c>
      <c r="G273" s="30" t="s">
        <v>144</v>
      </c>
      <c r="H273" s="30" t="s">
        <v>146</v>
      </c>
      <c r="I273" s="30" t="s">
        <v>146</v>
      </c>
      <c r="J273" s="30" t="s">
        <v>146</v>
      </c>
      <c r="K273" s="30" t="s">
        <v>1772</v>
      </c>
      <c r="L273" s="30" t="s">
        <v>1773</v>
      </c>
      <c r="M273" s="30" t="s">
        <v>1773</v>
      </c>
      <c r="N273" s="2" t="s">
        <v>152</v>
      </c>
      <c r="O273" s="30" t="s">
        <v>152</v>
      </c>
      <c r="P273" s="30" t="s">
        <v>152</v>
      </c>
      <c r="Q273" s="30" t="s">
        <v>152</v>
      </c>
    </row>
    <row r="274" hidden="1">
      <c r="A274" s="33" t="str">
        <f>hyperlink("https://issues.sierrawireless.com/browse/QTI9X28-2737", "QTI9X28-2737")</f>
        <v>QTI9X28-2737</v>
      </c>
      <c r="B274" s="30" t="s">
        <v>139</v>
      </c>
      <c r="C274" s="30" t="s">
        <v>1380</v>
      </c>
      <c r="D274" s="30" t="s">
        <v>1367</v>
      </c>
      <c r="E274" s="35">
        <v>43084.0</v>
      </c>
      <c r="F274" s="37" t="s">
        <v>207</v>
      </c>
      <c r="G274" s="30" t="s">
        <v>1786</v>
      </c>
      <c r="H274" s="30" t="s">
        <v>145</v>
      </c>
      <c r="I274" s="30" t="s">
        <v>145</v>
      </c>
      <c r="J274" s="30" t="s">
        <v>145</v>
      </c>
      <c r="K274" s="30" t="s">
        <v>145</v>
      </c>
      <c r="L274" s="30" t="s">
        <v>1788</v>
      </c>
      <c r="M274" s="30" t="s">
        <v>1789</v>
      </c>
      <c r="N274" s="30" t="s">
        <v>145</v>
      </c>
      <c r="O274" s="30" t="s">
        <v>145</v>
      </c>
      <c r="P274" s="30" t="s">
        <v>145</v>
      </c>
      <c r="Q274" s="30" t="s">
        <v>189</v>
      </c>
    </row>
    <row r="275" hidden="1">
      <c r="A275" s="33" t="str">
        <f>hyperlink("https://issues.sierrawireless.com/browse/OEMPRI-5394", "OEMPRI-5394")</f>
        <v>OEMPRI-5394</v>
      </c>
      <c r="B275" s="30" t="s">
        <v>139</v>
      </c>
      <c r="C275" s="30" t="s">
        <v>148</v>
      </c>
      <c r="D275" s="30" t="s">
        <v>244</v>
      </c>
      <c r="E275" s="43">
        <v>43062.0</v>
      </c>
      <c r="F275" s="44" t="s">
        <v>150</v>
      </c>
      <c r="G275" s="30" t="s">
        <v>151</v>
      </c>
      <c r="H275" s="30" t="s">
        <v>152</v>
      </c>
      <c r="I275" s="30" t="s">
        <v>152</v>
      </c>
      <c r="J275" s="30" t="s">
        <v>278</v>
      </c>
      <c r="K275" s="30" t="s">
        <v>506</v>
      </c>
      <c r="L275" s="30" t="s">
        <v>506</v>
      </c>
      <c r="M275" s="30" t="s">
        <v>1798</v>
      </c>
      <c r="N275" s="2" t="s">
        <v>152</v>
      </c>
      <c r="O275" s="30" t="s">
        <v>213</v>
      </c>
      <c r="P275" s="30" t="s">
        <v>152</v>
      </c>
      <c r="Q275" s="30" t="s">
        <v>152</v>
      </c>
    </row>
    <row r="276" hidden="1">
      <c r="A276" s="33" t="str">
        <f>hyperlink("https://issues.sierrawireless.com/browse/OEMPRI-5392", "OEMPRI-5392")</f>
        <v>OEMPRI-5392</v>
      </c>
      <c r="B276" s="30" t="s">
        <v>139</v>
      </c>
      <c r="C276" s="30" t="s">
        <v>148</v>
      </c>
      <c r="D276" s="30" t="s">
        <v>244</v>
      </c>
      <c r="E276" s="43">
        <v>43062.0</v>
      </c>
      <c r="F276" s="44" t="s">
        <v>150</v>
      </c>
      <c r="G276" s="30" t="s">
        <v>140</v>
      </c>
      <c r="H276" s="30" t="s">
        <v>152</v>
      </c>
      <c r="I276" s="30" t="s">
        <v>146</v>
      </c>
      <c r="J276" s="30" t="s">
        <v>189</v>
      </c>
      <c r="K276" s="30" t="s">
        <v>1798</v>
      </c>
      <c r="L276" s="30" t="s">
        <v>506</v>
      </c>
      <c r="M276" s="30" t="s">
        <v>506</v>
      </c>
      <c r="N276" s="2" t="s">
        <v>152</v>
      </c>
      <c r="O276" s="30" t="s">
        <v>152</v>
      </c>
      <c r="P276" s="30" t="s">
        <v>152</v>
      </c>
      <c r="Q276" s="30" t="s">
        <v>152</v>
      </c>
    </row>
    <row r="277" hidden="1">
      <c r="A277" s="33" t="str">
        <f>hyperlink("https://issues.sierrawireless.com/browse/OEMPRI-5397", "OEMPRI-5397")</f>
        <v>OEMPRI-5397</v>
      </c>
      <c r="B277" s="30" t="s">
        <v>139</v>
      </c>
      <c r="C277" s="30" t="s">
        <v>140</v>
      </c>
      <c r="D277" s="30" t="s">
        <v>153</v>
      </c>
      <c r="E277" s="43">
        <v>43062.0</v>
      </c>
      <c r="F277" s="44" t="s">
        <v>154</v>
      </c>
      <c r="G277" s="30" t="s">
        <v>146</v>
      </c>
      <c r="H277" s="30" t="s">
        <v>145</v>
      </c>
      <c r="I277" s="30" t="s">
        <v>145</v>
      </c>
      <c r="J277" s="30" t="s">
        <v>145</v>
      </c>
      <c r="K277" s="30" t="s">
        <v>145</v>
      </c>
      <c r="L277" s="30" t="s">
        <v>145</v>
      </c>
      <c r="M277" s="30" t="s">
        <v>145</v>
      </c>
      <c r="N277" s="30" t="s">
        <v>145</v>
      </c>
      <c r="O277" s="30" t="s">
        <v>145</v>
      </c>
      <c r="P277" s="30" t="s">
        <v>145</v>
      </c>
      <c r="Q277" s="30" t="s">
        <v>146</v>
      </c>
    </row>
    <row r="278" hidden="1">
      <c r="A278" s="33" t="str">
        <f>hyperlink("https://issues.sierrawireless.com/browse/OEMPRI-5391", "OEMPRI-5391")</f>
        <v>OEMPRI-5391</v>
      </c>
      <c r="B278" s="30" t="s">
        <v>139</v>
      </c>
      <c r="C278" s="30" t="s">
        <v>140</v>
      </c>
      <c r="D278" s="30" t="s">
        <v>153</v>
      </c>
      <c r="E278" s="43">
        <v>43062.0</v>
      </c>
      <c r="F278" s="44" t="s">
        <v>154</v>
      </c>
      <c r="G278" s="30" t="s">
        <v>146</v>
      </c>
      <c r="H278" s="30" t="s">
        <v>145</v>
      </c>
      <c r="I278" s="30" t="s">
        <v>145</v>
      </c>
      <c r="J278" s="30" t="s">
        <v>145</v>
      </c>
      <c r="K278" s="30" t="s">
        <v>145</v>
      </c>
      <c r="L278" s="30" t="s">
        <v>145</v>
      </c>
      <c r="M278" s="30" t="s">
        <v>145</v>
      </c>
      <c r="N278" s="30" t="s">
        <v>145</v>
      </c>
      <c r="O278" s="30" t="s">
        <v>145</v>
      </c>
      <c r="P278" s="30" t="s">
        <v>145</v>
      </c>
      <c r="Q278" s="30" t="s">
        <v>146</v>
      </c>
    </row>
    <row r="279" hidden="1">
      <c r="A279" s="33" t="str">
        <f>hyperlink("https://issues.sierrawireless.com/browse/OEMPRI-5396", "OEMPRI-5396")</f>
        <v>OEMPRI-5396</v>
      </c>
      <c r="B279" s="30" t="s">
        <v>139</v>
      </c>
      <c r="C279" s="30" t="s">
        <v>148</v>
      </c>
      <c r="D279" s="30" t="s">
        <v>140</v>
      </c>
      <c r="E279" s="43">
        <v>43062.0</v>
      </c>
      <c r="F279" s="44" t="s">
        <v>154</v>
      </c>
      <c r="G279" s="30" t="s">
        <v>1818</v>
      </c>
      <c r="H279" s="30" t="s">
        <v>145</v>
      </c>
      <c r="I279" s="30" t="s">
        <v>145</v>
      </c>
      <c r="J279" s="30" t="s">
        <v>145</v>
      </c>
      <c r="K279" s="30" t="s">
        <v>145</v>
      </c>
      <c r="L279" s="30" t="s">
        <v>145</v>
      </c>
      <c r="M279" s="30" t="s">
        <v>145</v>
      </c>
      <c r="N279" s="30" t="s">
        <v>145</v>
      </c>
      <c r="O279" s="30" t="s">
        <v>145</v>
      </c>
      <c r="P279" s="30" t="s">
        <v>145</v>
      </c>
      <c r="Q279" s="30" t="s">
        <v>152</v>
      </c>
    </row>
    <row r="280" hidden="1">
      <c r="A280" s="33" t="str">
        <f>hyperlink("https://issues.sierrawireless.com/browse/OEMPRI-5398", "OEMPRI-5398")</f>
        <v>OEMPRI-5398</v>
      </c>
      <c r="B280" s="30" t="s">
        <v>139</v>
      </c>
      <c r="C280" s="30" t="s">
        <v>148</v>
      </c>
      <c r="D280" s="30" t="s">
        <v>140</v>
      </c>
      <c r="E280" s="43">
        <v>43062.0</v>
      </c>
      <c r="F280" s="44" t="s">
        <v>154</v>
      </c>
      <c r="G280" s="30" t="s">
        <v>1818</v>
      </c>
      <c r="H280" s="30" t="s">
        <v>145</v>
      </c>
      <c r="I280" s="30" t="s">
        <v>145</v>
      </c>
      <c r="J280" s="30" t="s">
        <v>145</v>
      </c>
      <c r="K280" s="30" t="s">
        <v>145</v>
      </c>
      <c r="L280" s="30" t="s">
        <v>145</v>
      </c>
      <c r="M280" s="30" t="s">
        <v>145</v>
      </c>
      <c r="N280" s="30" t="s">
        <v>145</v>
      </c>
      <c r="O280" s="30" t="s">
        <v>145</v>
      </c>
      <c r="P280" s="30" t="s">
        <v>145</v>
      </c>
      <c r="Q280" s="30" t="s">
        <v>152</v>
      </c>
    </row>
    <row r="281" hidden="1">
      <c r="A281" s="33" t="str">
        <f>hyperlink("https://issues.sierrawireless.com/browse/OEMPRI-5384", "OEMPRI-5384")</f>
        <v>OEMPRI-5384</v>
      </c>
      <c r="B281" s="30" t="s">
        <v>139</v>
      </c>
      <c r="C281" s="30" t="s">
        <v>140</v>
      </c>
      <c r="D281" s="30" t="s">
        <v>155</v>
      </c>
      <c r="E281" s="43">
        <v>43061.0</v>
      </c>
      <c r="F281" s="44" t="s">
        <v>150</v>
      </c>
      <c r="G281" s="30" t="s">
        <v>1831</v>
      </c>
      <c r="H281" s="30" t="s">
        <v>145</v>
      </c>
      <c r="I281" s="30" t="s">
        <v>145</v>
      </c>
      <c r="J281" s="30" t="s">
        <v>145</v>
      </c>
      <c r="K281" s="30" t="s">
        <v>145</v>
      </c>
      <c r="L281" s="30" t="s">
        <v>145</v>
      </c>
      <c r="M281" s="30" t="s">
        <v>145</v>
      </c>
      <c r="N281" s="30" t="s">
        <v>145</v>
      </c>
      <c r="O281" s="30" t="s">
        <v>145</v>
      </c>
      <c r="P281" s="30" t="s">
        <v>145</v>
      </c>
      <c r="Q281" s="30" t="s">
        <v>146</v>
      </c>
    </row>
    <row r="282" hidden="1">
      <c r="A282" s="33" t="str">
        <f>hyperlink("https://issues.sierrawireless.com/browse/OEMPRI-5386", "OEMPRI-5386")</f>
        <v>OEMPRI-5386</v>
      </c>
      <c r="B282" s="30" t="s">
        <v>139</v>
      </c>
      <c r="C282" s="30" t="s">
        <v>140</v>
      </c>
      <c r="D282" s="30" t="s">
        <v>153</v>
      </c>
      <c r="E282" s="43">
        <v>43061.0</v>
      </c>
      <c r="F282" s="44" t="s">
        <v>154</v>
      </c>
      <c r="G282" s="30" t="s">
        <v>146</v>
      </c>
      <c r="H282" s="30" t="s">
        <v>145</v>
      </c>
      <c r="I282" s="30" t="s">
        <v>145</v>
      </c>
      <c r="J282" s="30" t="s">
        <v>145</v>
      </c>
      <c r="K282" s="30" t="s">
        <v>145</v>
      </c>
      <c r="L282" s="30" t="s">
        <v>145</v>
      </c>
      <c r="M282" s="30" t="s">
        <v>145</v>
      </c>
      <c r="N282" s="30" t="s">
        <v>145</v>
      </c>
      <c r="O282" s="30" t="s">
        <v>145</v>
      </c>
      <c r="P282" s="30" t="s">
        <v>145</v>
      </c>
      <c r="Q282" s="30" t="s">
        <v>146</v>
      </c>
    </row>
    <row r="283" hidden="1">
      <c r="A283" s="104" t="str">
        <f>hyperlink("https://issues.sierrawireless.com/browse/OEMPRI-5387", "OEMPRI-5387")</f>
        <v>OEMPRI-5387</v>
      </c>
      <c r="B283" s="30" t="s">
        <v>139</v>
      </c>
      <c r="C283" s="30" t="s">
        <v>140</v>
      </c>
      <c r="D283" s="30" t="s">
        <v>122</v>
      </c>
      <c r="E283" s="43">
        <v>43061.0</v>
      </c>
      <c r="F283" s="44" t="s">
        <v>150</v>
      </c>
      <c r="G283" s="30" t="s">
        <v>146</v>
      </c>
      <c r="H283" s="30" t="s">
        <v>146</v>
      </c>
      <c r="I283" s="30" t="s">
        <v>146</v>
      </c>
      <c r="J283" s="30" t="s">
        <v>146</v>
      </c>
      <c r="K283" s="30" t="s">
        <v>146</v>
      </c>
      <c r="L283" s="30" t="s">
        <v>146</v>
      </c>
      <c r="M283" s="30" t="s">
        <v>152</v>
      </c>
      <c r="N283" s="2" t="s">
        <v>1849</v>
      </c>
      <c r="O283" s="30" t="s">
        <v>145</v>
      </c>
      <c r="P283" s="30" t="s">
        <v>145</v>
      </c>
      <c r="Q283" s="30" t="s">
        <v>146</v>
      </c>
    </row>
    <row r="284" hidden="1">
      <c r="A284" s="33" t="s">
        <v>1851</v>
      </c>
      <c r="B284" s="30" t="s">
        <v>139</v>
      </c>
      <c r="C284" s="30" t="s">
        <v>140</v>
      </c>
      <c r="D284" s="30" t="s">
        <v>153</v>
      </c>
      <c r="E284" s="43">
        <v>43060.0</v>
      </c>
      <c r="F284" s="44" t="s">
        <v>154</v>
      </c>
      <c r="G284" s="30" t="s">
        <v>146</v>
      </c>
      <c r="H284" s="30" t="s">
        <v>145</v>
      </c>
      <c r="I284" s="30" t="s">
        <v>145</v>
      </c>
      <c r="J284" s="30" t="s">
        <v>145</v>
      </c>
      <c r="K284" s="30" t="s">
        <v>145</v>
      </c>
      <c r="L284" s="30" t="s">
        <v>145</v>
      </c>
      <c r="M284" s="30" t="s">
        <v>145</v>
      </c>
      <c r="N284" s="30" t="s">
        <v>145</v>
      </c>
      <c r="O284" s="30" t="s">
        <v>145</v>
      </c>
      <c r="P284" s="30" t="s">
        <v>145</v>
      </c>
      <c r="Q284" s="30" t="s">
        <v>146</v>
      </c>
    </row>
    <row r="285" hidden="1">
      <c r="A285" s="33" t="s">
        <v>1856</v>
      </c>
      <c r="B285" s="30" t="s">
        <v>139</v>
      </c>
      <c r="C285" s="30" t="s">
        <v>140</v>
      </c>
      <c r="D285" s="30" t="s">
        <v>153</v>
      </c>
      <c r="E285" s="43">
        <v>43059.0</v>
      </c>
      <c r="F285" s="44" t="s">
        <v>154</v>
      </c>
      <c r="G285" s="30" t="s">
        <v>144</v>
      </c>
      <c r="H285" s="30" t="s">
        <v>145</v>
      </c>
      <c r="I285" s="30" t="s">
        <v>145</v>
      </c>
      <c r="J285" s="30" t="s">
        <v>145</v>
      </c>
      <c r="K285" s="30" t="s">
        <v>145</v>
      </c>
      <c r="L285" s="30" t="s">
        <v>145</v>
      </c>
      <c r="M285" s="30" t="s">
        <v>145</v>
      </c>
      <c r="N285" s="30" t="s">
        <v>145</v>
      </c>
      <c r="O285" s="30" t="s">
        <v>145</v>
      </c>
      <c r="P285" s="30" t="s">
        <v>145</v>
      </c>
      <c r="Q285" s="30" t="s">
        <v>146</v>
      </c>
    </row>
    <row r="286" hidden="1">
      <c r="A286" s="33" t="s">
        <v>1860</v>
      </c>
      <c r="B286" s="30" t="s">
        <v>139</v>
      </c>
      <c r="C286" s="30" t="s">
        <v>140</v>
      </c>
      <c r="D286" s="30" t="s">
        <v>153</v>
      </c>
      <c r="E286" s="43">
        <v>43059.0</v>
      </c>
      <c r="F286" s="44" t="s">
        <v>154</v>
      </c>
      <c r="G286" s="30" t="s">
        <v>146</v>
      </c>
      <c r="H286" s="30" t="s">
        <v>145</v>
      </c>
      <c r="I286" s="30" t="s">
        <v>145</v>
      </c>
      <c r="J286" s="30" t="s">
        <v>145</v>
      </c>
      <c r="K286" s="30" t="s">
        <v>145</v>
      </c>
      <c r="L286" s="30" t="s">
        <v>145</v>
      </c>
      <c r="M286" s="30" t="s">
        <v>145</v>
      </c>
      <c r="N286" s="30" t="s">
        <v>145</v>
      </c>
      <c r="O286" s="30" t="s">
        <v>145</v>
      </c>
      <c r="P286" s="30" t="s">
        <v>145</v>
      </c>
      <c r="Q286" s="30" t="s">
        <v>146</v>
      </c>
    </row>
    <row r="287" hidden="1">
      <c r="A287" s="33" t="s">
        <v>1865</v>
      </c>
      <c r="B287" s="30" t="s">
        <v>139</v>
      </c>
      <c r="C287" s="30" t="s">
        <v>148</v>
      </c>
      <c r="D287" s="30" t="s">
        <v>140</v>
      </c>
      <c r="E287" s="43">
        <v>43059.0</v>
      </c>
      <c r="F287" s="44" t="s">
        <v>154</v>
      </c>
      <c r="G287" s="30" t="s">
        <v>1621</v>
      </c>
      <c r="H287" s="30" t="s">
        <v>145</v>
      </c>
      <c r="I287" s="30" t="s">
        <v>145</v>
      </c>
      <c r="J287" s="30" t="s">
        <v>145</v>
      </c>
      <c r="K287" s="30" t="s">
        <v>145</v>
      </c>
      <c r="L287" s="30" t="s">
        <v>145</v>
      </c>
      <c r="M287" s="30" t="s">
        <v>145</v>
      </c>
      <c r="N287" s="30" t="s">
        <v>145</v>
      </c>
      <c r="O287" s="30" t="s">
        <v>145</v>
      </c>
      <c r="P287" s="30" t="s">
        <v>145</v>
      </c>
      <c r="Q287" s="30" t="s">
        <v>152</v>
      </c>
    </row>
    <row r="288" hidden="1">
      <c r="A288" s="104" t="s">
        <v>1868</v>
      </c>
      <c r="B288" s="30" t="s">
        <v>139</v>
      </c>
      <c r="C288" s="30" t="s">
        <v>141</v>
      </c>
      <c r="D288" s="30" t="s">
        <v>141</v>
      </c>
      <c r="E288" s="43">
        <v>43057.0</v>
      </c>
      <c r="F288" s="44" t="s">
        <v>143</v>
      </c>
      <c r="G288" s="30" t="s">
        <v>1872</v>
      </c>
      <c r="H288" s="30" t="s">
        <v>145</v>
      </c>
      <c r="I288" s="30" t="s">
        <v>145</v>
      </c>
      <c r="J288" s="30" t="s">
        <v>145</v>
      </c>
      <c r="K288" s="30" t="s">
        <v>145</v>
      </c>
      <c r="L288" s="30" t="s">
        <v>145</v>
      </c>
      <c r="M288" s="30" t="s">
        <v>145</v>
      </c>
      <c r="N288" s="30" t="s">
        <v>145</v>
      </c>
      <c r="O288" s="30" t="s">
        <v>145</v>
      </c>
      <c r="P288" s="30" t="s">
        <v>145</v>
      </c>
      <c r="Q288" s="30" t="s">
        <v>180</v>
      </c>
    </row>
    <row r="289" hidden="1">
      <c r="A289" s="33" t="s">
        <v>1873</v>
      </c>
      <c r="B289" s="30" t="s">
        <v>139</v>
      </c>
      <c r="C289" s="30" t="s">
        <v>140</v>
      </c>
      <c r="D289" s="30" t="s">
        <v>153</v>
      </c>
      <c r="E289" s="43">
        <v>43056.0</v>
      </c>
      <c r="F289" s="44" t="s">
        <v>154</v>
      </c>
      <c r="G289" s="30" t="s">
        <v>146</v>
      </c>
      <c r="H289" s="30" t="s">
        <v>145</v>
      </c>
      <c r="I289" s="30" t="s">
        <v>145</v>
      </c>
      <c r="J289" s="30" t="s">
        <v>145</v>
      </c>
      <c r="K289" s="30" t="s">
        <v>145</v>
      </c>
      <c r="L289" s="30" t="s">
        <v>145</v>
      </c>
      <c r="M289" s="30" t="s">
        <v>145</v>
      </c>
      <c r="N289" s="30" t="s">
        <v>145</v>
      </c>
      <c r="O289" s="30" t="s">
        <v>145</v>
      </c>
      <c r="P289" s="30" t="s">
        <v>145</v>
      </c>
      <c r="Q289" s="30" t="s">
        <v>146</v>
      </c>
    </row>
    <row r="290" hidden="1">
      <c r="A290" s="33" t="s">
        <v>1879</v>
      </c>
      <c r="B290" s="30" t="s">
        <v>139</v>
      </c>
      <c r="C290" s="30" t="s">
        <v>337</v>
      </c>
      <c r="D290" s="30" t="s">
        <v>337</v>
      </c>
      <c r="E290" s="43">
        <v>43056.0</v>
      </c>
      <c r="F290" s="44" t="s">
        <v>150</v>
      </c>
      <c r="G290" s="30" t="s">
        <v>1441</v>
      </c>
      <c r="H290" s="30" t="s">
        <v>146</v>
      </c>
      <c r="I290" s="30" t="s">
        <v>146</v>
      </c>
      <c r="J290" s="30" t="s">
        <v>1737</v>
      </c>
      <c r="K290" s="30" t="s">
        <v>368</v>
      </c>
      <c r="L290" s="30" t="s">
        <v>152</v>
      </c>
      <c r="M290" s="2" t="s">
        <v>1881</v>
      </c>
      <c r="N290" s="30" t="s">
        <v>145</v>
      </c>
      <c r="O290" s="30" t="s">
        <v>145</v>
      </c>
      <c r="P290" s="30" t="s">
        <v>145</v>
      </c>
      <c r="Q290" s="30" t="s">
        <v>404</v>
      </c>
    </row>
    <row r="291" hidden="1">
      <c r="A291" s="33" t="str">
        <f>hyperlink("https://issues.sierrawireless.com/browse/QTI9X28-2734", "QTI9X28-2734")</f>
        <v>QTI9X28-2734</v>
      </c>
      <c r="B291" s="30" t="s">
        <v>417</v>
      </c>
      <c r="C291" s="30" t="s">
        <v>140</v>
      </c>
      <c r="D291" s="30" t="s">
        <v>419</v>
      </c>
      <c r="E291" s="43">
        <v>43083.0</v>
      </c>
      <c r="F291" s="44" t="s">
        <v>207</v>
      </c>
      <c r="G291" s="2" t="s">
        <v>1886</v>
      </c>
      <c r="H291" s="30" t="s">
        <v>145</v>
      </c>
      <c r="I291" s="30" t="s">
        <v>145</v>
      </c>
      <c r="J291" s="30" t="s">
        <v>145</v>
      </c>
      <c r="K291" s="30" t="s">
        <v>145</v>
      </c>
      <c r="L291" s="30" t="s">
        <v>145</v>
      </c>
      <c r="M291" s="30" t="s">
        <v>145</v>
      </c>
      <c r="N291" s="30" t="s">
        <v>145</v>
      </c>
      <c r="O291" s="30" t="s">
        <v>145</v>
      </c>
      <c r="P291" s="30" t="s">
        <v>145</v>
      </c>
      <c r="Q291" s="30" t="s">
        <v>166</v>
      </c>
    </row>
    <row r="292" hidden="1">
      <c r="A292" s="33" t="s">
        <v>1890</v>
      </c>
      <c r="B292" s="30" t="s">
        <v>139</v>
      </c>
      <c r="C292" s="30" t="s">
        <v>1891</v>
      </c>
      <c r="D292" s="30" t="s">
        <v>1891</v>
      </c>
      <c r="E292" s="35">
        <v>43003.0</v>
      </c>
      <c r="F292" s="37" t="s">
        <v>1894</v>
      </c>
      <c r="G292" s="30" t="s">
        <v>1895</v>
      </c>
      <c r="H292" s="30" t="s">
        <v>1896</v>
      </c>
      <c r="I292" s="30" t="s">
        <v>1897</v>
      </c>
      <c r="J292" s="30" t="s">
        <v>145</v>
      </c>
      <c r="K292" s="30" t="s">
        <v>145</v>
      </c>
      <c r="L292" s="30" t="s">
        <v>145</v>
      </c>
      <c r="M292" s="30" t="s">
        <v>145</v>
      </c>
      <c r="N292" s="30" t="s">
        <v>145</v>
      </c>
      <c r="O292" s="30" t="s">
        <v>145</v>
      </c>
      <c r="P292" s="30" t="s">
        <v>145</v>
      </c>
      <c r="Q292" s="30" t="s">
        <v>1898</v>
      </c>
    </row>
    <row r="293" hidden="1">
      <c r="A293" s="104" t="s">
        <v>1900</v>
      </c>
      <c r="B293" s="30" t="s">
        <v>139</v>
      </c>
      <c r="C293" s="30" t="s">
        <v>337</v>
      </c>
      <c r="D293" s="30" t="s">
        <v>337</v>
      </c>
      <c r="E293" s="43">
        <v>43056.0</v>
      </c>
      <c r="F293" s="44" t="s">
        <v>150</v>
      </c>
      <c r="G293" s="30" t="s">
        <v>264</v>
      </c>
      <c r="H293" s="30" t="s">
        <v>146</v>
      </c>
      <c r="I293" s="30" t="s">
        <v>146</v>
      </c>
      <c r="J293" s="30" t="s">
        <v>407</v>
      </c>
      <c r="K293" s="30" t="s">
        <v>404</v>
      </c>
      <c r="L293" s="30" t="s">
        <v>146</v>
      </c>
      <c r="M293" s="30" t="s">
        <v>1903</v>
      </c>
      <c r="N293" s="30" t="s">
        <v>145</v>
      </c>
      <c r="O293" s="30" t="s">
        <v>145</v>
      </c>
      <c r="P293" s="30" t="s">
        <v>145</v>
      </c>
      <c r="Q293" s="2" t="s">
        <v>1904</v>
      </c>
    </row>
    <row r="294" hidden="1">
      <c r="A294" s="33" t="s">
        <v>1906</v>
      </c>
      <c r="B294" s="30" t="s">
        <v>139</v>
      </c>
      <c r="C294" s="30" t="s">
        <v>140</v>
      </c>
      <c r="D294" s="30" t="s">
        <v>140</v>
      </c>
      <c r="E294" s="43">
        <v>43056.0</v>
      </c>
      <c r="F294" s="44" t="s">
        <v>269</v>
      </c>
      <c r="G294" s="2" t="s">
        <v>1909</v>
      </c>
      <c r="H294" s="30" t="s">
        <v>145</v>
      </c>
      <c r="I294" s="30" t="s">
        <v>145</v>
      </c>
      <c r="J294" s="30" t="s">
        <v>145</v>
      </c>
      <c r="K294" s="30" t="s">
        <v>145</v>
      </c>
      <c r="L294" s="30" t="s">
        <v>145</v>
      </c>
      <c r="M294" s="30" t="s">
        <v>145</v>
      </c>
      <c r="N294" s="30" t="s">
        <v>145</v>
      </c>
      <c r="O294" s="30" t="s">
        <v>145</v>
      </c>
      <c r="P294" s="30" t="s">
        <v>145</v>
      </c>
      <c r="Q294" s="30" t="s">
        <v>146</v>
      </c>
    </row>
    <row r="295" hidden="1">
      <c r="A295" s="104" t="s">
        <v>1912</v>
      </c>
      <c r="B295" s="30" t="s">
        <v>139</v>
      </c>
      <c r="C295" s="30" t="s">
        <v>141</v>
      </c>
      <c r="D295" s="30" t="s">
        <v>141</v>
      </c>
      <c r="E295" s="43">
        <v>43055.0</v>
      </c>
      <c r="F295" s="44" t="s">
        <v>150</v>
      </c>
      <c r="G295" s="30" t="s">
        <v>153</v>
      </c>
      <c r="H295" s="30" t="s">
        <v>994</v>
      </c>
      <c r="I295" s="30" t="s">
        <v>223</v>
      </c>
      <c r="J295" s="30" t="s">
        <v>1476</v>
      </c>
      <c r="K295" s="30" t="s">
        <v>152</v>
      </c>
      <c r="L295" s="30" t="s">
        <v>152</v>
      </c>
      <c r="M295" s="30" t="s">
        <v>1916</v>
      </c>
      <c r="N295" s="30" t="s">
        <v>145</v>
      </c>
      <c r="O295" s="30" t="s">
        <v>145</v>
      </c>
      <c r="P295" s="30" t="s">
        <v>145</v>
      </c>
      <c r="Q295" s="30" t="s">
        <v>180</v>
      </c>
    </row>
    <row r="296" hidden="1">
      <c r="A296" s="104" t="s">
        <v>1919</v>
      </c>
      <c r="B296" s="30" t="s">
        <v>139</v>
      </c>
      <c r="C296" s="30" t="s">
        <v>148</v>
      </c>
      <c r="D296" s="30" t="s">
        <v>141</v>
      </c>
      <c r="E296" s="43">
        <v>43055.0</v>
      </c>
      <c r="F296" s="44" t="s">
        <v>150</v>
      </c>
      <c r="G296" s="30" t="s">
        <v>144</v>
      </c>
      <c r="H296" s="30" t="s">
        <v>146</v>
      </c>
      <c r="I296" s="30" t="s">
        <v>146</v>
      </c>
      <c r="J296" s="30" t="s">
        <v>189</v>
      </c>
      <c r="K296" s="30" t="s">
        <v>152</v>
      </c>
      <c r="L296" s="30" t="s">
        <v>152</v>
      </c>
      <c r="M296" s="30" t="s">
        <v>1383</v>
      </c>
      <c r="N296" s="30" t="s">
        <v>145</v>
      </c>
      <c r="O296" s="30" t="s">
        <v>145</v>
      </c>
      <c r="P296" s="30" t="s">
        <v>145</v>
      </c>
      <c r="Q296" s="30" t="s">
        <v>556</v>
      </c>
    </row>
    <row r="297" hidden="1">
      <c r="A297" s="104" t="s">
        <v>1923</v>
      </c>
      <c r="B297" s="30" t="s">
        <v>139</v>
      </c>
      <c r="C297" s="30" t="s">
        <v>148</v>
      </c>
      <c r="D297" s="30" t="s">
        <v>141</v>
      </c>
      <c r="E297" s="43">
        <v>43055.0</v>
      </c>
      <c r="F297" s="44" t="s">
        <v>150</v>
      </c>
      <c r="G297" s="30" t="s">
        <v>358</v>
      </c>
      <c r="H297" s="30" t="s">
        <v>223</v>
      </c>
      <c r="I297" s="30" t="s">
        <v>223</v>
      </c>
      <c r="J297" s="30" t="s">
        <v>531</v>
      </c>
      <c r="K297" s="30" t="s">
        <v>152</v>
      </c>
      <c r="L297" s="30" t="s">
        <v>152</v>
      </c>
      <c r="M297" s="30" t="s">
        <v>1383</v>
      </c>
      <c r="N297" s="30" t="s">
        <v>145</v>
      </c>
      <c r="O297" s="30" t="s">
        <v>145</v>
      </c>
      <c r="P297" s="30" t="s">
        <v>145</v>
      </c>
      <c r="Q297" s="30" t="s">
        <v>556</v>
      </c>
    </row>
    <row r="298" hidden="1">
      <c r="A298" s="33" t="s">
        <v>1927</v>
      </c>
      <c r="B298" s="30" t="s">
        <v>139</v>
      </c>
      <c r="C298" s="30" t="s">
        <v>148</v>
      </c>
      <c r="D298" s="30" t="s">
        <v>140</v>
      </c>
      <c r="E298" s="43">
        <v>43054.0</v>
      </c>
      <c r="F298" s="44" t="s">
        <v>154</v>
      </c>
      <c r="G298" s="30" t="s">
        <v>897</v>
      </c>
      <c r="H298" s="30" t="s">
        <v>145</v>
      </c>
      <c r="I298" s="30" t="s">
        <v>145</v>
      </c>
      <c r="J298" s="30" t="s">
        <v>145</v>
      </c>
      <c r="K298" s="30" t="s">
        <v>145</v>
      </c>
      <c r="L298" s="30" t="s">
        <v>145</v>
      </c>
      <c r="M298" s="30" t="s">
        <v>145</v>
      </c>
      <c r="N298" s="30" t="s">
        <v>145</v>
      </c>
      <c r="O298" s="30" t="s">
        <v>145</v>
      </c>
      <c r="P298" s="30" t="s">
        <v>145</v>
      </c>
      <c r="Q298" s="30" t="s">
        <v>152</v>
      </c>
    </row>
    <row r="299" hidden="1">
      <c r="A299" s="33" t="s">
        <v>1930</v>
      </c>
      <c r="B299" s="30" t="s">
        <v>139</v>
      </c>
      <c r="C299" s="30" t="s">
        <v>148</v>
      </c>
      <c r="D299" s="30" t="s">
        <v>122</v>
      </c>
      <c r="E299" s="43">
        <v>43054.0</v>
      </c>
      <c r="F299" s="44" t="s">
        <v>150</v>
      </c>
      <c r="G299" s="30" t="s">
        <v>1934</v>
      </c>
      <c r="H299" s="30" t="s">
        <v>146</v>
      </c>
      <c r="I299" s="30" t="s">
        <v>146</v>
      </c>
      <c r="J299" s="30" t="s">
        <v>146</v>
      </c>
      <c r="K299" s="30" t="s">
        <v>1935</v>
      </c>
      <c r="L299" s="30" t="s">
        <v>1773</v>
      </c>
      <c r="M299" s="30" t="s">
        <v>1773</v>
      </c>
      <c r="N299" s="30" t="s">
        <v>145</v>
      </c>
      <c r="O299" s="30" t="s">
        <v>145</v>
      </c>
      <c r="P299" s="30" t="s">
        <v>145</v>
      </c>
      <c r="Q299" s="30" t="s">
        <v>152</v>
      </c>
    </row>
    <row r="300" hidden="1">
      <c r="A300" s="33" t="s">
        <v>1937</v>
      </c>
      <c r="B300" s="30" t="s">
        <v>139</v>
      </c>
      <c r="C300" s="30" t="s">
        <v>148</v>
      </c>
      <c r="D300" s="30" t="s">
        <v>153</v>
      </c>
      <c r="E300" s="43">
        <v>43054.0</v>
      </c>
      <c r="F300" s="44" t="s">
        <v>154</v>
      </c>
      <c r="G300" s="30" t="s">
        <v>897</v>
      </c>
      <c r="H300" s="30" t="s">
        <v>145</v>
      </c>
      <c r="I300" s="30" t="s">
        <v>145</v>
      </c>
      <c r="J300" s="30" t="s">
        <v>145</v>
      </c>
      <c r="K300" s="30" t="s">
        <v>145</v>
      </c>
      <c r="L300" s="30" t="s">
        <v>145</v>
      </c>
      <c r="M300" s="30" t="s">
        <v>145</v>
      </c>
      <c r="N300" s="30" t="s">
        <v>145</v>
      </c>
      <c r="O300" s="30" t="s">
        <v>145</v>
      </c>
      <c r="P300" s="30" t="s">
        <v>145</v>
      </c>
      <c r="Q300" s="30" t="s">
        <v>152</v>
      </c>
    </row>
    <row r="301" hidden="1">
      <c r="A301" s="33" t="s">
        <v>1942</v>
      </c>
      <c r="B301" s="30" t="s">
        <v>139</v>
      </c>
      <c r="C301" s="30" t="s">
        <v>148</v>
      </c>
      <c r="D301" s="30" t="s">
        <v>153</v>
      </c>
      <c r="E301" s="43">
        <v>43052.0</v>
      </c>
      <c r="F301" s="44" t="s">
        <v>154</v>
      </c>
      <c r="G301" s="30" t="s">
        <v>1943</v>
      </c>
      <c r="H301" s="30" t="s">
        <v>145</v>
      </c>
      <c r="I301" s="30" t="s">
        <v>145</v>
      </c>
      <c r="J301" s="30" t="s">
        <v>145</v>
      </c>
      <c r="K301" s="30" t="s">
        <v>145</v>
      </c>
      <c r="L301" s="30" t="s">
        <v>145</v>
      </c>
      <c r="M301" s="30" t="s">
        <v>145</v>
      </c>
      <c r="N301" s="30" t="s">
        <v>145</v>
      </c>
      <c r="O301" s="30" t="s">
        <v>145</v>
      </c>
      <c r="P301" s="30" t="s">
        <v>145</v>
      </c>
      <c r="Q301" s="30" t="s">
        <v>152</v>
      </c>
    </row>
    <row r="302" hidden="1">
      <c r="A302" s="33" t="s">
        <v>1946</v>
      </c>
      <c r="B302" s="30" t="s">
        <v>139</v>
      </c>
      <c r="C302" s="30" t="s">
        <v>148</v>
      </c>
      <c r="D302" s="30" t="s">
        <v>140</v>
      </c>
      <c r="E302" s="43">
        <v>43052.0</v>
      </c>
      <c r="F302" s="44" t="s">
        <v>154</v>
      </c>
      <c r="G302" s="2" t="s">
        <v>1950</v>
      </c>
      <c r="H302" s="30" t="s">
        <v>145</v>
      </c>
      <c r="I302" s="30" t="s">
        <v>145</v>
      </c>
      <c r="J302" s="30" t="s">
        <v>145</v>
      </c>
      <c r="K302" s="30" t="s">
        <v>145</v>
      </c>
      <c r="L302" s="30" t="s">
        <v>145</v>
      </c>
      <c r="M302" s="30" t="s">
        <v>145</v>
      </c>
      <c r="N302" s="30" t="s">
        <v>145</v>
      </c>
      <c r="O302" s="30" t="s">
        <v>145</v>
      </c>
      <c r="P302" s="30" t="s">
        <v>145</v>
      </c>
      <c r="Q302" s="30" t="s">
        <v>152</v>
      </c>
    </row>
    <row r="303" hidden="1">
      <c r="A303" s="33" t="str">
        <f>hyperlink("https://issues.sierrawireless.com/browse/QTI9X28-2673", "QTI9X28-2673")</f>
        <v>QTI9X28-2673</v>
      </c>
      <c r="B303" s="30" t="s">
        <v>139</v>
      </c>
      <c r="C303" s="30" t="s">
        <v>1380</v>
      </c>
      <c r="D303" s="30" t="s">
        <v>1380</v>
      </c>
      <c r="E303" s="43">
        <v>43069.0</v>
      </c>
      <c r="F303" s="44" t="s">
        <v>207</v>
      </c>
      <c r="G303" s="2" t="s">
        <v>1956</v>
      </c>
      <c r="H303" s="30" t="s">
        <v>145</v>
      </c>
      <c r="I303" s="30" t="s">
        <v>145</v>
      </c>
      <c r="J303" s="30" t="s">
        <v>145</v>
      </c>
      <c r="K303" s="30" t="s">
        <v>145</v>
      </c>
      <c r="L303" s="30" t="s">
        <v>146</v>
      </c>
      <c r="M303" s="30" t="s">
        <v>189</v>
      </c>
      <c r="N303" s="30" t="s">
        <v>145</v>
      </c>
      <c r="O303" s="30" t="s">
        <v>145</v>
      </c>
      <c r="P303" s="30" t="s">
        <v>145</v>
      </c>
      <c r="Q303" s="30" t="s">
        <v>189</v>
      </c>
    </row>
    <row r="304" hidden="1">
      <c r="A304" s="33" t="s">
        <v>1959</v>
      </c>
      <c r="B304" s="30" t="s">
        <v>139</v>
      </c>
      <c r="C304" s="30" t="s">
        <v>140</v>
      </c>
      <c r="D304" s="30" t="s">
        <v>140</v>
      </c>
      <c r="E304" s="43">
        <v>43052.0</v>
      </c>
      <c r="F304" s="44" t="s">
        <v>269</v>
      </c>
      <c r="G304" s="2" t="s">
        <v>1961</v>
      </c>
      <c r="H304" s="30" t="s">
        <v>145</v>
      </c>
      <c r="I304" s="30" t="s">
        <v>145</v>
      </c>
      <c r="J304" s="30" t="s">
        <v>145</v>
      </c>
      <c r="K304" s="30" t="s">
        <v>145</v>
      </c>
      <c r="L304" s="30" t="s">
        <v>145</v>
      </c>
      <c r="M304" s="30" t="s">
        <v>145</v>
      </c>
      <c r="N304" s="30" t="s">
        <v>145</v>
      </c>
      <c r="O304" s="30" t="s">
        <v>145</v>
      </c>
      <c r="P304" s="30" t="s">
        <v>145</v>
      </c>
      <c r="Q304" s="30" t="s">
        <v>146</v>
      </c>
    </row>
    <row r="305" hidden="1">
      <c r="A305" s="33" t="s">
        <v>1965</v>
      </c>
      <c r="B305" s="30" t="s">
        <v>139</v>
      </c>
      <c r="C305" s="30" t="s">
        <v>140</v>
      </c>
      <c r="D305" s="30" t="s">
        <v>153</v>
      </c>
      <c r="E305" s="43">
        <v>43049.0</v>
      </c>
      <c r="F305" s="44" t="s">
        <v>154</v>
      </c>
      <c r="G305" s="30" t="s">
        <v>146</v>
      </c>
      <c r="H305" s="30" t="s">
        <v>145</v>
      </c>
      <c r="I305" s="30" t="s">
        <v>145</v>
      </c>
      <c r="J305" s="30" t="s">
        <v>145</v>
      </c>
      <c r="K305" s="30" t="s">
        <v>145</v>
      </c>
      <c r="L305" s="30" t="s">
        <v>145</v>
      </c>
      <c r="M305" s="30" t="s">
        <v>145</v>
      </c>
      <c r="N305" s="30" t="s">
        <v>145</v>
      </c>
      <c r="O305" s="30" t="s">
        <v>145</v>
      </c>
      <c r="P305" s="30" t="s">
        <v>145</v>
      </c>
      <c r="Q305" s="30" t="s">
        <v>146</v>
      </c>
    </row>
    <row r="306" hidden="1">
      <c r="A306" s="33" t="s">
        <v>1970</v>
      </c>
      <c r="B306" s="30" t="s">
        <v>139</v>
      </c>
      <c r="C306" s="30" t="s">
        <v>148</v>
      </c>
      <c r="D306" s="30" t="s">
        <v>140</v>
      </c>
      <c r="E306" s="43">
        <v>43049.0</v>
      </c>
      <c r="F306" s="44" t="s">
        <v>154</v>
      </c>
      <c r="G306" s="30" t="s">
        <v>1972</v>
      </c>
      <c r="H306" s="30" t="s">
        <v>145</v>
      </c>
      <c r="I306" s="30" t="s">
        <v>145</v>
      </c>
      <c r="J306" s="30" t="s">
        <v>145</v>
      </c>
      <c r="K306" s="30" t="s">
        <v>145</v>
      </c>
      <c r="L306" s="30" t="s">
        <v>145</v>
      </c>
      <c r="M306" s="30" t="s">
        <v>145</v>
      </c>
      <c r="N306" s="30" t="s">
        <v>145</v>
      </c>
      <c r="O306" s="30" t="s">
        <v>145</v>
      </c>
      <c r="P306" s="30" t="s">
        <v>145</v>
      </c>
      <c r="Q306" s="30" t="s">
        <v>152</v>
      </c>
    </row>
    <row r="307" hidden="1">
      <c r="A307" s="33" t="s">
        <v>1976</v>
      </c>
      <c r="B307" s="30" t="s">
        <v>139</v>
      </c>
      <c r="C307" s="30" t="s">
        <v>140</v>
      </c>
      <c r="D307" s="30" t="s">
        <v>140</v>
      </c>
      <c r="E307" s="43">
        <v>43049.0</v>
      </c>
      <c r="F307" s="44" t="s">
        <v>269</v>
      </c>
      <c r="G307" s="2" t="s">
        <v>1979</v>
      </c>
      <c r="H307" s="30" t="s">
        <v>145</v>
      </c>
      <c r="I307" s="30" t="s">
        <v>145</v>
      </c>
      <c r="J307" s="30" t="s">
        <v>145</v>
      </c>
      <c r="K307" s="30" t="s">
        <v>145</v>
      </c>
      <c r="L307" s="30" t="s">
        <v>145</v>
      </c>
      <c r="M307" s="30" t="s">
        <v>145</v>
      </c>
      <c r="N307" s="30" t="s">
        <v>145</v>
      </c>
      <c r="O307" s="30" t="s">
        <v>145</v>
      </c>
      <c r="P307" s="30" t="s">
        <v>145</v>
      </c>
      <c r="Q307" s="30" t="s">
        <v>146</v>
      </c>
    </row>
    <row r="308" hidden="1">
      <c r="A308" s="33" t="s">
        <v>1981</v>
      </c>
      <c r="B308" s="30" t="s">
        <v>139</v>
      </c>
      <c r="C308" s="30" t="s">
        <v>140</v>
      </c>
      <c r="D308" s="30" t="s">
        <v>153</v>
      </c>
      <c r="E308" s="35">
        <v>43048.0</v>
      </c>
      <c r="F308" s="37" t="s">
        <v>154</v>
      </c>
      <c r="G308" s="30" t="s">
        <v>1441</v>
      </c>
      <c r="H308" s="30" t="s">
        <v>145</v>
      </c>
      <c r="I308" s="30" t="s">
        <v>145</v>
      </c>
      <c r="J308" s="30" t="s">
        <v>145</v>
      </c>
      <c r="K308" s="30" t="s">
        <v>145</v>
      </c>
      <c r="L308" s="30" t="s">
        <v>145</v>
      </c>
      <c r="M308" s="30" t="s">
        <v>145</v>
      </c>
      <c r="N308" s="30" t="s">
        <v>145</v>
      </c>
      <c r="O308" s="30" t="s">
        <v>145</v>
      </c>
      <c r="P308" s="30" t="s">
        <v>145</v>
      </c>
      <c r="Q308" s="30" t="s">
        <v>146</v>
      </c>
    </row>
    <row r="309" hidden="1">
      <c r="A309" s="33" t="s">
        <v>1986</v>
      </c>
      <c r="B309" s="30" t="s">
        <v>139</v>
      </c>
      <c r="C309" s="30" t="s">
        <v>140</v>
      </c>
      <c r="D309" s="30" t="s">
        <v>153</v>
      </c>
      <c r="E309" s="35">
        <v>43048.0</v>
      </c>
      <c r="F309" s="37" t="s">
        <v>154</v>
      </c>
      <c r="G309" s="30" t="s">
        <v>503</v>
      </c>
      <c r="H309" s="30" t="s">
        <v>145</v>
      </c>
      <c r="I309" s="30" t="s">
        <v>145</v>
      </c>
      <c r="J309" s="30" t="s">
        <v>145</v>
      </c>
      <c r="K309" s="30" t="s">
        <v>145</v>
      </c>
      <c r="L309" s="30" t="s">
        <v>145</v>
      </c>
      <c r="M309" s="30" t="s">
        <v>145</v>
      </c>
      <c r="N309" s="30" t="s">
        <v>145</v>
      </c>
      <c r="O309" s="30" t="s">
        <v>145</v>
      </c>
      <c r="P309" s="30" t="s">
        <v>145</v>
      </c>
      <c r="Q309" s="30" t="s">
        <v>146</v>
      </c>
    </row>
    <row r="310" hidden="1">
      <c r="A310" s="33" t="s">
        <v>1990</v>
      </c>
      <c r="B310" s="30" t="s">
        <v>139</v>
      </c>
      <c r="C310" s="30" t="s">
        <v>140</v>
      </c>
      <c r="D310" s="30" t="s">
        <v>153</v>
      </c>
      <c r="E310" s="35">
        <v>43048.0</v>
      </c>
      <c r="F310" s="37" t="s">
        <v>154</v>
      </c>
      <c r="G310" s="30" t="s">
        <v>163</v>
      </c>
      <c r="H310" s="30" t="s">
        <v>145</v>
      </c>
      <c r="I310" s="30" t="s">
        <v>145</v>
      </c>
      <c r="J310" s="30" t="s">
        <v>145</v>
      </c>
      <c r="K310" s="30" t="s">
        <v>145</v>
      </c>
      <c r="L310" s="30" t="s">
        <v>145</v>
      </c>
      <c r="M310" s="30" t="s">
        <v>145</v>
      </c>
      <c r="N310" s="30" t="s">
        <v>145</v>
      </c>
      <c r="O310" s="30" t="s">
        <v>145</v>
      </c>
      <c r="P310" s="30" t="s">
        <v>145</v>
      </c>
      <c r="Q310" s="30" t="s">
        <v>146</v>
      </c>
    </row>
    <row r="311" hidden="1">
      <c r="A311" s="33" t="s">
        <v>1996</v>
      </c>
      <c r="B311" s="30" t="s">
        <v>139</v>
      </c>
      <c r="C311" s="30" t="s">
        <v>140</v>
      </c>
      <c r="D311" s="30" t="s">
        <v>153</v>
      </c>
      <c r="E311" s="35">
        <v>43048.0</v>
      </c>
      <c r="F311" s="37" t="s">
        <v>154</v>
      </c>
      <c r="G311" s="30" t="s">
        <v>1536</v>
      </c>
      <c r="H311" s="30" t="s">
        <v>145</v>
      </c>
      <c r="I311" s="30" t="s">
        <v>145</v>
      </c>
      <c r="J311" s="30" t="s">
        <v>145</v>
      </c>
      <c r="K311" s="30" t="s">
        <v>145</v>
      </c>
      <c r="L311" s="30" t="s">
        <v>145</v>
      </c>
      <c r="M311" s="30" t="s">
        <v>145</v>
      </c>
      <c r="N311" s="30" t="s">
        <v>145</v>
      </c>
      <c r="O311" s="30" t="s">
        <v>145</v>
      </c>
      <c r="P311" s="30" t="s">
        <v>145</v>
      </c>
      <c r="Q311" s="30" t="s">
        <v>146</v>
      </c>
    </row>
    <row r="312" hidden="1">
      <c r="A312" s="33" t="s">
        <v>1999</v>
      </c>
      <c r="B312" s="30" t="s">
        <v>139</v>
      </c>
      <c r="C312" s="30" t="s">
        <v>140</v>
      </c>
      <c r="D312" s="30" t="s">
        <v>153</v>
      </c>
      <c r="E312" s="35">
        <v>43048.0</v>
      </c>
      <c r="F312" s="37" t="s">
        <v>154</v>
      </c>
      <c r="G312" s="30" t="s">
        <v>1536</v>
      </c>
      <c r="H312" s="30" t="s">
        <v>145</v>
      </c>
      <c r="I312" s="30" t="s">
        <v>145</v>
      </c>
      <c r="J312" s="30" t="s">
        <v>145</v>
      </c>
      <c r="K312" s="30" t="s">
        <v>145</v>
      </c>
      <c r="L312" s="30" t="s">
        <v>145</v>
      </c>
      <c r="M312" s="30" t="s">
        <v>145</v>
      </c>
      <c r="N312" s="30" t="s">
        <v>145</v>
      </c>
      <c r="O312" s="30" t="s">
        <v>145</v>
      </c>
      <c r="P312" s="30" t="s">
        <v>145</v>
      </c>
      <c r="Q312" s="30" t="s">
        <v>146</v>
      </c>
    </row>
    <row r="313" hidden="1">
      <c r="A313" s="33" t="s">
        <v>2003</v>
      </c>
      <c r="B313" s="30" t="s">
        <v>139</v>
      </c>
      <c r="C313" s="30" t="s">
        <v>148</v>
      </c>
      <c r="D313" s="30" t="s">
        <v>153</v>
      </c>
      <c r="E313" s="35">
        <v>43048.0</v>
      </c>
      <c r="F313" s="37" t="s">
        <v>154</v>
      </c>
      <c r="G313" s="30" t="s">
        <v>2005</v>
      </c>
      <c r="H313" s="30" t="s">
        <v>145</v>
      </c>
      <c r="I313" s="30" t="s">
        <v>145</v>
      </c>
      <c r="J313" s="30" t="s">
        <v>145</v>
      </c>
      <c r="K313" s="30" t="s">
        <v>145</v>
      </c>
      <c r="L313" s="30" t="s">
        <v>145</v>
      </c>
      <c r="M313" s="30" t="s">
        <v>145</v>
      </c>
      <c r="N313" s="30" t="s">
        <v>145</v>
      </c>
      <c r="O313" s="30" t="s">
        <v>145</v>
      </c>
      <c r="P313" s="30" t="s">
        <v>145</v>
      </c>
      <c r="Q313" s="30" t="s">
        <v>152</v>
      </c>
    </row>
    <row r="314" hidden="1">
      <c r="A314" s="33" t="s">
        <v>2008</v>
      </c>
      <c r="B314" s="30" t="s">
        <v>139</v>
      </c>
      <c r="C314" s="30" t="s">
        <v>148</v>
      </c>
      <c r="D314" s="30" t="s">
        <v>216</v>
      </c>
      <c r="E314" s="35">
        <v>43047.0</v>
      </c>
      <c r="F314" s="37" t="s">
        <v>154</v>
      </c>
      <c r="G314" s="30" t="s">
        <v>199</v>
      </c>
      <c r="H314" s="30" t="s">
        <v>145</v>
      </c>
      <c r="I314" s="30" t="s">
        <v>145</v>
      </c>
      <c r="J314" s="30" t="s">
        <v>145</v>
      </c>
      <c r="K314" s="30" t="s">
        <v>145</v>
      </c>
      <c r="L314" s="30" t="s">
        <v>145</v>
      </c>
      <c r="M314" s="30" t="s">
        <v>145</v>
      </c>
      <c r="N314" s="30" t="s">
        <v>145</v>
      </c>
      <c r="O314" s="30" t="s">
        <v>145</v>
      </c>
      <c r="P314" s="30" t="s">
        <v>145</v>
      </c>
      <c r="Q314" s="30" t="s">
        <v>152</v>
      </c>
    </row>
    <row r="315" hidden="1">
      <c r="A315" s="33" t="s">
        <v>2012</v>
      </c>
      <c r="B315" s="30" t="s">
        <v>139</v>
      </c>
      <c r="C315" s="30" t="s">
        <v>141</v>
      </c>
      <c r="D315" s="30" t="s">
        <v>141</v>
      </c>
      <c r="E315" s="35">
        <v>43047.0</v>
      </c>
      <c r="F315" s="37" t="s">
        <v>150</v>
      </c>
      <c r="G315" s="30" t="s">
        <v>185</v>
      </c>
      <c r="H315" s="30" t="s">
        <v>146</v>
      </c>
      <c r="I315" s="30" t="s">
        <v>171</v>
      </c>
      <c r="J315" s="30" t="s">
        <v>189</v>
      </c>
      <c r="K315" s="30" t="s">
        <v>506</v>
      </c>
      <c r="L315" s="30" t="s">
        <v>506</v>
      </c>
      <c r="M315" s="30" t="s">
        <v>1916</v>
      </c>
      <c r="N315" s="30" t="s">
        <v>145</v>
      </c>
      <c r="O315" s="30" t="s">
        <v>145</v>
      </c>
      <c r="P315" s="30" t="s">
        <v>145</v>
      </c>
      <c r="Q315" s="30" t="s">
        <v>180</v>
      </c>
    </row>
    <row r="316" hidden="1">
      <c r="A316" s="33" t="s">
        <v>2016</v>
      </c>
      <c r="B316" s="30" t="s">
        <v>139</v>
      </c>
      <c r="C316" s="30" t="s">
        <v>216</v>
      </c>
      <c r="D316" s="30" t="s">
        <v>216</v>
      </c>
      <c r="E316" s="35">
        <v>43047.0</v>
      </c>
      <c r="F316" s="37" t="s">
        <v>184</v>
      </c>
      <c r="G316" s="30" t="s">
        <v>2019</v>
      </c>
      <c r="H316" s="30" t="s">
        <v>152</v>
      </c>
      <c r="I316" s="30" t="s">
        <v>152</v>
      </c>
      <c r="J316" s="30" t="s">
        <v>2020</v>
      </c>
      <c r="K316" s="2" t="s">
        <v>2021</v>
      </c>
      <c r="L316" s="30" t="s">
        <v>145</v>
      </c>
      <c r="M316" s="30" t="s">
        <v>145</v>
      </c>
      <c r="N316" s="30" t="s">
        <v>145</v>
      </c>
      <c r="O316" s="30" t="s">
        <v>145</v>
      </c>
      <c r="P316" s="30" t="s">
        <v>145</v>
      </c>
      <c r="Q316" s="30" t="s">
        <v>1239</v>
      </c>
    </row>
    <row r="317" hidden="1">
      <c r="A317" s="33" t="str">
        <f>hyperlink("https://issues.sierrawireless.com/browse/OEMPRI-5821", "OEMPRI-5821")</f>
        <v>OEMPRI-5821</v>
      </c>
      <c r="B317" s="30" t="s">
        <v>139</v>
      </c>
      <c r="C317" s="30" t="s">
        <v>155</v>
      </c>
      <c r="D317" s="30" t="s">
        <v>155</v>
      </c>
      <c r="E317" s="35">
        <v>43111.0</v>
      </c>
      <c r="F317" s="37" t="s">
        <v>150</v>
      </c>
      <c r="G317" s="30" t="s">
        <v>432</v>
      </c>
      <c r="H317" s="30" t="s">
        <v>146</v>
      </c>
      <c r="I317" s="30" t="s">
        <v>146</v>
      </c>
      <c r="J317" s="30" t="s">
        <v>158</v>
      </c>
      <c r="K317" s="30" t="s">
        <v>158</v>
      </c>
      <c r="L317" s="30" t="s">
        <v>158</v>
      </c>
      <c r="M317" s="30" t="s">
        <v>2030</v>
      </c>
      <c r="N317" s="30" t="s">
        <v>145</v>
      </c>
      <c r="O317" s="30" t="s">
        <v>145</v>
      </c>
      <c r="P317" s="30" t="s">
        <v>145</v>
      </c>
      <c r="Q317" s="30" t="s">
        <v>158</v>
      </c>
    </row>
    <row r="318" hidden="1">
      <c r="A318" s="33" t="str">
        <f>hyperlink("https://issues.sierrawireless.com/browse/MFTSZ-26", "MFTSZ-26")</f>
        <v>MFTSZ-26</v>
      </c>
      <c r="B318" s="30" t="s">
        <v>139</v>
      </c>
      <c r="C318" s="30" t="s">
        <v>140</v>
      </c>
      <c r="D318" s="30" t="s">
        <v>453</v>
      </c>
      <c r="E318" s="35">
        <v>42993.0</v>
      </c>
      <c r="F318" s="37" t="s">
        <v>154</v>
      </c>
      <c r="G318" s="30" t="s">
        <v>264</v>
      </c>
      <c r="H318" s="30" t="s">
        <v>145</v>
      </c>
      <c r="I318" s="30" t="s">
        <v>145</v>
      </c>
      <c r="J318" s="30" t="s">
        <v>145</v>
      </c>
      <c r="K318" s="30" t="s">
        <v>145</v>
      </c>
      <c r="L318" s="30" t="s">
        <v>145</v>
      </c>
      <c r="M318" s="30" t="s">
        <v>145</v>
      </c>
      <c r="N318" s="30" t="s">
        <v>145</v>
      </c>
      <c r="O318" s="30" t="s">
        <v>145</v>
      </c>
      <c r="P318" s="30" t="s">
        <v>145</v>
      </c>
      <c r="Q318" s="30" t="s">
        <v>146</v>
      </c>
    </row>
    <row r="319" hidden="1">
      <c r="A319" s="33" t="str">
        <f>hyperlink("https://issues.sierrawireless.com/browse/OEMPRI-5770", "OEMPRI-5770")</f>
        <v>OEMPRI-5770</v>
      </c>
      <c r="B319" s="30" t="s">
        <v>139</v>
      </c>
      <c r="C319" s="30" t="s">
        <v>140</v>
      </c>
      <c r="D319" s="30" t="s">
        <v>140</v>
      </c>
      <c r="E319" s="35">
        <v>43109.0</v>
      </c>
      <c r="F319" s="37" t="s">
        <v>269</v>
      </c>
      <c r="G319" s="30" t="s">
        <v>2044</v>
      </c>
      <c r="H319" s="30" t="s">
        <v>145</v>
      </c>
      <c r="I319" s="30" t="s">
        <v>145</v>
      </c>
      <c r="J319" s="30" t="s">
        <v>145</v>
      </c>
      <c r="K319" s="30" t="s">
        <v>145</v>
      </c>
      <c r="L319" s="30" t="s">
        <v>145</v>
      </c>
      <c r="M319" s="30" t="s">
        <v>145</v>
      </c>
      <c r="N319" s="30" t="s">
        <v>145</v>
      </c>
      <c r="O319" s="30" t="s">
        <v>145</v>
      </c>
      <c r="P319" s="30" t="s">
        <v>145</v>
      </c>
      <c r="Q319" s="30" t="s">
        <v>146</v>
      </c>
    </row>
    <row r="320" hidden="1">
      <c r="A320" s="33" t="s">
        <v>2048</v>
      </c>
      <c r="B320" s="30" t="s">
        <v>139</v>
      </c>
      <c r="C320" s="30" t="s">
        <v>148</v>
      </c>
      <c r="D320" s="30" t="s">
        <v>153</v>
      </c>
      <c r="E320" s="35">
        <v>43046.0</v>
      </c>
      <c r="F320" s="37" t="s">
        <v>154</v>
      </c>
      <c r="G320" s="30" t="s">
        <v>2049</v>
      </c>
      <c r="H320" s="30" t="s">
        <v>145</v>
      </c>
      <c r="I320" s="30" t="s">
        <v>145</v>
      </c>
      <c r="J320" s="30" t="s">
        <v>145</v>
      </c>
      <c r="K320" s="30" t="s">
        <v>145</v>
      </c>
      <c r="L320" s="30" t="s">
        <v>145</v>
      </c>
      <c r="M320" s="30" t="s">
        <v>145</v>
      </c>
      <c r="N320" s="30" t="s">
        <v>145</v>
      </c>
      <c r="O320" s="30" t="s">
        <v>145</v>
      </c>
      <c r="P320" s="30" t="s">
        <v>145</v>
      </c>
      <c r="Q320" s="30" t="s">
        <v>152</v>
      </c>
    </row>
    <row r="321" hidden="1">
      <c r="A321" s="33" t="s">
        <v>2052</v>
      </c>
      <c r="B321" s="30" t="s">
        <v>139</v>
      </c>
      <c r="C321" s="30" t="s">
        <v>453</v>
      </c>
      <c r="D321" s="30" t="s">
        <v>148</v>
      </c>
      <c r="E321" s="35">
        <v>43046.0</v>
      </c>
      <c r="F321" s="37" t="s">
        <v>154</v>
      </c>
      <c r="G321" s="30" t="s">
        <v>2056</v>
      </c>
      <c r="H321" s="30" t="s">
        <v>145</v>
      </c>
      <c r="I321" s="30" t="s">
        <v>145</v>
      </c>
      <c r="J321" s="30" t="s">
        <v>145</v>
      </c>
      <c r="K321" s="30" t="s">
        <v>145</v>
      </c>
      <c r="L321" s="30" t="s">
        <v>145</v>
      </c>
      <c r="M321" s="30" t="s">
        <v>145</v>
      </c>
      <c r="N321" s="30" t="s">
        <v>145</v>
      </c>
      <c r="O321" s="30" t="s">
        <v>145</v>
      </c>
      <c r="P321" s="30" t="s">
        <v>145</v>
      </c>
      <c r="Q321" s="30" t="s">
        <v>457</v>
      </c>
    </row>
    <row r="322" hidden="1">
      <c r="A322" s="33" t="s">
        <v>2057</v>
      </c>
      <c r="B322" s="30" t="s">
        <v>139</v>
      </c>
      <c r="C322" s="30" t="s">
        <v>155</v>
      </c>
      <c r="D322" s="30" t="s">
        <v>155</v>
      </c>
      <c r="E322" s="35">
        <v>43046.0</v>
      </c>
      <c r="F322" s="37" t="s">
        <v>150</v>
      </c>
      <c r="G322" s="2" t="s">
        <v>2061</v>
      </c>
      <c r="H322" s="30" t="s">
        <v>145</v>
      </c>
      <c r="I322" s="30" t="s">
        <v>158</v>
      </c>
      <c r="J322" s="30" t="s">
        <v>158</v>
      </c>
      <c r="K322" s="30" t="s">
        <v>158</v>
      </c>
      <c r="L322" s="30" t="s">
        <v>158</v>
      </c>
      <c r="M322" s="30" t="s">
        <v>158</v>
      </c>
      <c r="N322" s="30" t="s">
        <v>145</v>
      </c>
      <c r="O322" s="30" t="s">
        <v>145</v>
      </c>
      <c r="P322" s="30" t="s">
        <v>145</v>
      </c>
      <c r="Q322" s="30" t="s">
        <v>158</v>
      </c>
    </row>
    <row r="323" hidden="1">
      <c r="A323" s="33" t="s">
        <v>2063</v>
      </c>
      <c r="B323" s="30" t="s">
        <v>139</v>
      </c>
      <c r="C323" s="30" t="s">
        <v>320</v>
      </c>
      <c r="D323" s="30" t="s">
        <v>337</v>
      </c>
      <c r="E323" s="35">
        <v>43046.0</v>
      </c>
      <c r="F323" s="37" t="s">
        <v>150</v>
      </c>
      <c r="G323" s="30" t="s">
        <v>146</v>
      </c>
      <c r="H323" s="30" t="s">
        <v>146</v>
      </c>
      <c r="I323" s="30" t="s">
        <v>618</v>
      </c>
      <c r="J323" s="2" t="s">
        <v>2066</v>
      </c>
      <c r="K323" s="30" t="s">
        <v>152</v>
      </c>
      <c r="L323" s="30" t="s">
        <v>152</v>
      </c>
      <c r="M323" s="30" t="s">
        <v>324</v>
      </c>
      <c r="N323" s="30" t="s">
        <v>145</v>
      </c>
      <c r="O323" s="30" t="s">
        <v>145</v>
      </c>
      <c r="P323" s="30" t="s">
        <v>145</v>
      </c>
      <c r="Q323" s="30" t="s">
        <v>324</v>
      </c>
    </row>
    <row r="324" hidden="1">
      <c r="A324" s="33" t="str">
        <f>hyperlink("https://issues.sierrawireless.com/browse/OEMPRI-5749", "OEMPRI-5749")</f>
        <v>OEMPRI-5749</v>
      </c>
      <c r="B324" s="30" t="s">
        <v>139</v>
      </c>
      <c r="C324" s="30" t="s">
        <v>155</v>
      </c>
      <c r="D324" s="30" t="s">
        <v>155</v>
      </c>
      <c r="E324" s="35">
        <v>43105.0</v>
      </c>
      <c r="F324" s="37" t="s">
        <v>150</v>
      </c>
      <c r="G324" s="30" t="s">
        <v>152</v>
      </c>
      <c r="H324" s="30" t="s">
        <v>152</v>
      </c>
      <c r="I324" s="30" t="s">
        <v>152</v>
      </c>
      <c r="J324" s="30" t="s">
        <v>152</v>
      </c>
      <c r="K324" s="30" t="s">
        <v>152</v>
      </c>
      <c r="L324" s="30" t="s">
        <v>152</v>
      </c>
      <c r="M324" s="30" t="s">
        <v>2072</v>
      </c>
      <c r="N324" s="30" t="s">
        <v>145</v>
      </c>
      <c r="O324" s="30" t="s">
        <v>145</v>
      </c>
      <c r="P324" s="30" t="s">
        <v>145</v>
      </c>
      <c r="Q324" s="30" t="s">
        <v>158</v>
      </c>
    </row>
    <row r="325" hidden="1">
      <c r="A325" s="33" t="str">
        <f>hyperlink("https://issues.sierrawireless.com/browse/OEMPRI-6794", "OEMPRI-6794")</f>
        <v>OEMPRI-6794</v>
      </c>
      <c r="B325" s="30" t="s">
        <v>139</v>
      </c>
      <c r="C325" s="30" t="s">
        <v>148</v>
      </c>
      <c r="D325" s="30" t="s">
        <v>155</v>
      </c>
      <c r="E325" s="35">
        <v>43206.0</v>
      </c>
      <c r="F325" s="37" t="s">
        <v>150</v>
      </c>
      <c r="G325" s="30" t="s">
        <v>185</v>
      </c>
      <c r="H325" s="30" t="s">
        <v>146</v>
      </c>
      <c r="I325" s="30" t="s">
        <v>540</v>
      </c>
      <c r="J325" s="30" t="s">
        <v>189</v>
      </c>
      <c r="K325" s="30" t="s">
        <v>152</v>
      </c>
      <c r="L325" s="30" t="s">
        <v>152</v>
      </c>
      <c r="M325" s="30" t="s">
        <v>1541</v>
      </c>
      <c r="N325" s="30" t="s">
        <v>145</v>
      </c>
      <c r="O325" s="30" t="s">
        <v>145</v>
      </c>
      <c r="P325" s="30" t="s">
        <v>145</v>
      </c>
      <c r="Q325" s="30" t="s">
        <v>152</v>
      </c>
    </row>
    <row r="326" hidden="1">
      <c r="A326" s="33" t="s">
        <v>2078</v>
      </c>
      <c r="B326" s="30" t="s">
        <v>139</v>
      </c>
      <c r="C326" s="30" t="s">
        <v>155</v>
      </c>
      <c r="D326" s="30" t="s">
        <v>155</v>
      </c>
      <c r="E326" s="35">
        <v>43046.0</v>
      </c>
      <c r="F326" s="37" t="s">
        <v>150</v>
      </c>
      <c r="G326" s="30" t="s">
        <v>2080</v>
      </c>
      <c r="H326" s="30" t="s">
        <v>223</v>
      </c>
      <c r="I326" s="30" t="s">
        <v>146</v>
      </c>
      <c r="J326" s="30" t="s">
        <v>146</v>
      </c>
      <c r="K326" s="30" t="s">
        <v>146</v>
      </c>
      <c r="L326" s="30" t="s">
        <v>146</v>
      </c>
      <c r="M326" s="2" t="s">
        <v>2083</v>
      </c>
      <c r="N326" s="30" t="s">
        <v>145</v>
      </c>
      <c r="O326" s="30" t="s">
        <v>145</v>
      </c>
      <c r="P326" s="30" t="s">
        <v>145</v>
      </c>
      <c r="Q326" s="30" t="s">
        <v>159</v>
      </c>
    </row>
    <row r="327" hidden="1">
      <c r="A327" s="33" t="s">
        <v>2084</v>
      </c>
      <c r="B327" s="30" t="s">
        <v>139</v>
      </c>
      <c r="C327" s="30" t="s">
        <v>140</v>
      </c>
      <c r="D327" s="30" t="s">
        <v>153</v>
      </c>
      <c r="E327" s="35">
        <v>43045.0</v>
      </c>
      <c r="F327" s="37" t="s">
        <v>154</v>
      </c>
      <c r="G327" s="30" t="s">
        <v>146</v>
      </c>
      <c r="H327" s="30" t="s">
        <v>145</v>
      </c>
      <c r="I327" s="30" t="s">
        <v>145</v>
      </c>
      <c r="J327" s="30" t="s">
        <v>145</v>
      </c>
      <c r="K327" s="30" t="s">
        <v>145</v>
      </c>
      <c r="L327" s="30" t="s">
        <v>145</v>
      </c>
      <c r="M327" s="30" t="s">
        <v>145</v>
      </c>
      <c r="N327" s="30" t="s">
        <v>145</v>
      </c>
      <c r="O327" s="30" t="s">
        <v>145</v>
      </c>
      <c r="P327" s="30" t="s">
        <v>145</v>
      </c>
      <c r="Q327" s="30" t="s">
        <v>146</v>
      </c>
    </row>
    <row r="328" hidden="1">
      <c r="A328" s="33" t="s">
        <v>2088</v>
      </c>
      <c r="B328" s="30" t="s">
        <v>139</v>
      </c>
      <c r="C328" s="30" t="s">
        <v>1891</v>
      </c>
      <c r="D328" s="30" t="s">
        <v>1891</v>
      </c>
      <c r="E328" s="35">
        <v>42989.0</v>
      </c>
      <c r="F328" s="37" t="s">
        <v>1894</v>
      </c>
      <c r="G328" s="30" t="s">
        <v>2091</v>
      </c>
      <c r="H328" s="30" t="s">
        <v>2091</v>
      </c>
      <c r="I328" s="30" t="s">
        <v>2093</v>
      </c>
      <c r="J328" s="30" t="s">
        <v>145</v>
      </c>
      <c r="K328" s="30" t="s">
        <v>145</v>
      </c>
      <c r="L328" s="30" t="s">
        <v>145</v>
      </c>
      <c r="M328" s="30" t="s">
        <v>145</v>
      </c>
      <c r="N328" s="30" t="s">
        <v>145</v>
      </c>
      <c r="O328" s="30" t="s">
        <v>145</v>
      </c>
      <c r="P328" s="30" t="s">
        <v>145</v>
      </c>
      <c r="Q328" s="30" t="s">
        <v>1898</v>
      </c>
    </row>
    <row r="329" hidden="1">
      <c r="A329" s="33" t="str">
        <f>hyperlink("https://issues.sierrawireless.com/browse/OEMPRI-5283", "OEMPRI-5283")</f>
        <v>OEMPRI-5283</v>
      </c>
      <c r="B329" s="30" t="s">
        <v>139</v>
      </c>
      <c r="C329" s="30" t="s">
        <v>140</v>
      </c>
      <c r="D329" s="30" t="s">
        <v>537</v>
      </c>
      <c r="E329" s="35">
        <v>43045.0</v>
      </c>
      <c r="F329" s="37" t="s">
        <v>143</v>
      </c>
      <c r="G329" s="30" t="s">
        <v>146</v>
      </c>
      <c r="H329" s="2" t="s">
        <v>1441</v>
      </c>
      <c r="I329" s="30" t="s">
        <v>145</v>
      </c>
      <c r="J329" s="30" t="s">
        <v>145</v>
      </c>
      <c r="K329" s="30" t="s">
        <v>145</v>
      </c>
      <c r="L329" s="30" t="s">
        <v>145</v>
      </c>
      <c r="M329" s="30" t="s">
        <v>145</v>
      </c>
      <c r="N329" s="30" t="s">
        <v>145</v>
      </c>
      <c r="O329" s="30" t="s">
        <v>145</v>
      </c>
      <c r="P329" s="30" t="s">
        <v>145</v>
      </c>
      <c r="Q329" s="30" t="s">
        <v>146</v>
      </c>
    </row>
    <row r="330" hidden="1">
      <c r="A330" s="33" t="s">
        <v>2099</v>
      </c>
      <c r="B330" s="30" t="s">
        <v>139</v>
      </c>
      <c r="C330" s="30" t="s">
        <v>122</v>
      </c>
      <c r="D330" s="30" t="s">
        <v>122</v>
      </c>
      <c r="E330" s="35">
        <v>43045.0</v>
      </c>
      <c r="F330" s="37" t="s">
        <v>150</v>
      </c>
      <c r="G330" s="2" t="s">
        <v>2102</v>
      </c>
      <c r="H330" s="30" t="s">
        <v>145</v>
      </c>
      <c r="I330" s="30" t="s">
        <v>145</v>
      </c>
      <c r="J330" s="30" t="s">
        <v>145</v>
      </c>
      <c r="K330" s="30" t="s">
        <v>145</v>
      </c>
      <c r="L330" s="30" t="s">
        <v>145</v>
      </c>
      <c r="M330" s="30" t="s">
        <v>145</v>
      </c>
      <c r="N330" s="30" t="s">
        <v>145</v>
      </c>
      <c r="O330" s="30" t="s">
        <v>145</v>
      </c>
      <c r="P330" s="30" t="s">
        <v>145</v>
      </c>
      <c r="Q330" s="30" t="s">
        <v>687</v>
      </c>
    </row>
    <row r="331" hidden="1">
      <c r="A331" s="33" t="s">
        <v>2106</v>
      </c>
      <c r="B331" s="30" t="s">
        <v>139</v>
      </c>
      <c r="C331" s="30" t="s">
        <v>122</v>
      </c>
      <c r="D331" s="30" t="s">
        <v>122</v>
      </c>
      <c r="E331" s="35">
        <v>43045.0</v>
      </c>
      <c r="F331" s="37" t="s">
        <v>150</v>
      </c>
      <c r="G331" s="2" t="s">
        <v>2102</v>
      </c>
      <c r="H331" s="30" t="s">
        <v>145</v>
      </c>
      <c r="I331" s="30" t="s">
        <v>145</v>
      </c>
      <c r="J331" s="30" t="s">
        <v>145</v>
      </c>
      <c r="K331" s="30" t="s">
        <v>145</v>
      </c>
      <c r="L331" s="30" t="s">
        <v>145</v>
      </c>
      <c r="M331" s="30" t="s">
        <v>145</v>
      </c>
      <c r="N331" s="30" t="s">
        <v>145</v>
      </c>
      <c r="O331" s="30" t="s">
        <v>145</v>
      </c>
      <c r="P331" s="30" t="s">
        <v>145</v>
      </c>
      <c r="Q331" s="30" t="s">
        <v>687</v>
      </c>
    </row>
    <row r="332" hidden="1">
      <c r="A332" s="33" t="s">
        <v>2109</v>
      </c>
      <c r="B332" s="30" t="s">
        <v>139</v>
      </c>
      <c r="C332" s="30" t="s">
        <v>122</v>
      </c>
      <c r="D332" s="30" t="s">
        <v>122</v>
      </c>
      <c r="E332" s="35">
        <v>43045.0</v>
      </c>
      <c r="F332" s="37" t="s">
        <v>150</v>
      </c>
      <c r="G332" s="2" t="s">
        <v>2102</v>
      </c>
      <c r="H332" s="30" t="s">
        <v>145</v>
      </c>
      <c r="I332" s="30" t="s">
        <v>145</v>
      </c>
      <c r="J332" s="30" t="s">
        <v>145</v>
      </c>
      <c r="K332" s="30" t="s">
        <v>145</v>
      </c>
      <c r="L332" s="30" t="s">
        <v>145</v>
      </c>
      <c r="M332" s="30" t="s">
        <v>145</v>
      </c>
      <c r="N332" s="30" t="s">
        <v>145</v>
      </c>
      <c r="O332" s="30" t="s">
        <v>145</v>
      </c>
      <c r="P332" s="30" t="s">
        <v>145</v>
      </c>
      <c r="Q332" s="30" t="s">
        <v>687</v>
      </c>
    </row>
    <row r="333" hidden="1">
      <c r="A333" s="33" t="s">
        <v>2113</v>
      </c>
      <c r="B333" s="30" t="s">
        <v>139</v>
      </c>
      <c r="C333" s="30" t="s">
        <v>1116</v>
      </c>
      <c r="D333" s="30" t="s">
        <v>141</v>
      </c>
      <c r="E333" s="35">
        <v>43041.0</v>
      </c>
      <c r="F333" s="37" t="s">
        <v>143</v>
      </c>
      <c r="G333" s="30" t="s">
        <v>2114</v>
      </c>
      <c r="H333" s="30" t="s">
        <v>145</v>
      </c>
      <c r="I333" s="30" t="s">
        <v>145</v>
      </c>
      <c r="J333" s="30" t="s">
        <v>145</v>
      </c>
      <c r="K333" s="30" t="s">
        <v>145</v>
      </c>
      <c r="L333" s="30" t="s">
        <v>145</v>
      </c>
      <c r="M333" s="30" t="s">
        <v>145</v>
      </c>
      <c r="N333" s="30" t="s">
        <v>145</v>
      </c>
      <c r="O333" s="30" t="s">
        <v>145</v>
      </c>
      <c r="P333" s="30" t="s">
        <v>145</v>
      </c>
      <c r="Q333" s="30" t="s">
        <v>1124</v>
      </c>
    </row>
    <row r="334" hidden="1">
      <c r="A334" s="33" t="s">
        <v>2116</v>
      </c>
      <c r="B334" s="30" t="s">
        <v>139</v>
      </c>
      <c r="C334" s="30" t="s">
        <v>140</v>
      </c>
      <c r="D334" s="30" t="s">
        <v>153</v>
      </c>
      <c r="E334" s="35">
        <v>43041.0</v>
      </c>
      <c r="F334" s="37" t="s">
        <v>154</v>
      </c>
      <c r="G334" s="30" t="s">
        <v>264</v>
      </c>
      <c r="H334" s="30" t="s">
        <v>145</v>
      </c>
      <c r="I334" s="30" t="s">
        <v>145</v>
      </c>
      <c r="J334" s="30" t="s">
        <v>145</v>
      </c>
      <c r="K334" s="30" t="s">
        <v>145</v>
      </c>
      <c r="L334" s="30" t="s">
        <v>145</v>
      </c>
      <c r="M334" s="30" t="s">
        <v>145</v>
      </c>
      <c r="N334" s="30" t="s">
        <v>145</v>
      </c>
      <c r="O334" s="30" t="s">
        <v>145</v>
      </c>
      <c r="P334" s="30" t="s">
        <v>145</v>
      </c>
      <c r="Q334" s="30" t="s">
        <v>146</v>
      </c>
    </row>
    <row r="335" hidden="1">
      <c r="A335" s="33" t="s">
        <v>2120</v>
      </c>
      <c r="B335" s="30" t="s">
        <v>139</v>
      </c>
      <c r="C335" s="30" t="s">
        <v>453</v>
      </c>
      <c r="D335" s="30" t="s">
        <v>148</v>
      </c>
      <c r="E335" s="35">
        <v>43041.0</v>
      </c>
      <c r="F335" s="37" t="s">
        <v>154</v>
      </c>
      <c r="G335" s="30" t="s">
        <v>152</v>
      </c>
      <c r="H335" s="30" t="s">
        <v>145</v>
      </c>
      <c r="I335" s="30" t="s">
        <v>145</v>
      </c>
      <c r="J335" s="30" t="s">
        <v>145</v>
      </c>
      <c r="K335" s="30" t="s">
        <v>145</v>
      </c>
      <c r="L335" s="30" t="s">
        <v>145</v>
      </c>
      <c r="M335" s="30" t="s">
        <v>145</v>
      </c>
      <c r="N335" s="30" t="s">
        <v>145</v>
      </c>
      <c r="O335" s="30" t="s">
        <v>145</v>
      </c>
      <c r="P335" s="30" t="s">
        <v>145</v>
      </c>
      <c r="Q335" s="30" t="s">
        <v>152</v>
      </c>
    </row>
    <row r="336" hidden="1">
      <c r="A336" s="33" t="str">
        <f>hyperlink("https://issues.sierrawireless.com/browse/QTI9X40-2849", "QTI9X40-2849")</f>
        <v>QTI9X40-2849</v>
      </c>
      <c r="B336" s="30" t="s">
        <v>417</v>
      </c>
      <c r="C336" s="30" t="s">
        <v>140</v>
      </c>
      <c r="D336" s="30" t="s">
        <v>419</v>
      </c>
      <c r="E336" s="35">
        <v>43080.0</v>
      </c>
      <c r="F336" s="37" t="s">
        <v>207</v>
      </c>
      <c r="G336" s="30" t="s">
        <v>2126</v>
      </c>
      <c r="H336" s="30" t="s">
        <v>145</v>
      </c>
      <c r="I336" s="30" t="s">
        <v>145</v>
      </c>
      <c r="J336" s="30" t="s">
        <v>145</v>
      </c>
      <c r="K336" s="30" t="s">
        <v>145</v>
      </c>
      <c r="L336" s="30" t="s">
        <v>145</v>
      </c>
      <c r="M336" s="30" t="s">
        <v>145</v>
      </c>
      <c r="N336" s="30" t="s">
        <v>145</v>
      </c>
      <c r="O336" s="30" t="s">
        <v>145</v>
      </c>
      <c r="P336" s="30" t="s">
        <v>145</v>
      </c>
      <c r="Q336" s="30" t="s">
        <v>166</v>
      </c>
    </row>
    <row r="337" hidden="1">
      <c r="A337" s="33" t="s">
        <v>2129</v>
      </c>
      <c r="B337" s="30" t="s">
        <v>139</v>
      </c>
      <c r="C337" s="30" t="s">
        <v>141</v>
      </c>
      <c r="D337" s="30" t="s">
        <v>141</v>
      </c>
      <c r="E337" s="35">
        <v>43040.0</v>
      </c>
      <c r="F337" s="37" t="s">
        <v>150</v>
      </c>
      <c r="G337" s="30" t="s">
        <v>1322</v>
      </c>
      <c r="H337" s="30" t="s">
        <v>145</v>
      </c>
      <c r="I337" s="30" t="s">
        <v>146</v>
      </c>
      <c r="J337" s="30" t="s">
        <v>2130</v>
      </c>
      <c r="K337" s="30" t="s">
        <v>152</v>
      </c>
      <c r="L337" s="30" t="s">
        <v>152</v>
      </c>
      <c r="M337" s="30" t="s">
        <v>671</v>
      </c>
      <c r="N337" s="30" t="s">
        <v>145</v>
      </c>
      <c r="O337" s="30" t="s">
        <v>145</v>
      </c>
      <c r="P337" s="30" t="s">
        <v>145</v>
      </c>
      <c r="Q337" s="30" t="s">
        <v>180</v>
      </c>
    </row>
    <row r="338" hidden="1">
      <c r="A338" s="33" t="s">
        <v>2133</v>
      </c>
      <c r="B338" s="30" t="s">
        <v>139</v>
      </c>
      <c r="C338" s="30" t="s">
        <v>141</v>
      </c>
      <c r="D338" s="30" t="s">
        <v>141</v>
      </c>
      <c r="E338" s="35">
        <v>43040.0</v>
      </c>
      <c r="F338" s="37" t="s">
        <v>150</v>
      </c>
      <c r="G338" s="30" t="s">
        <v>140</v>
      </c>
      <c r="H338" s="30" t="s">
        <v>223</v>
      </c>
      <c r="I338" s="30" t="s">
        <v>626</v>
      </c>
      <c r="J338" s="30" t="s">
        <v>189</v>
      </c>
      <c r="K338" s="30" t="s">
        <v>152</v>
      </c>
      <c r="L338" s="30" t="s">
        <v>152</v>
      </c>
      <c r="M338" s="30" t="s">
        <v>986</v>
      </c>
      <c r="N338" s="30" t="s">
        <v>145</v>
      </c>
      <c r="O338" s="30" t="s">
        <v>145</v>
      </c>
      <c r="P338" s="30" t="s">
        <v>145</v>
      </c>
      <c r="Q338" s="30" t="s">
        <v>180</v>
      </c>
    </row>
    <row r="339" hidden="1">
      <c r="A339" s="33" t="s">
        <v>2136</v>
      </c>
      <c r="B339" s="30" t="s">
        <v>139</v>
      </c>
      <c r="C339" s="30" t="s">
        <v>141</v>
      </c>
      <c r="D339" s="30" t="s">
        <v>141</v>
      </c>
      <c r="E339" s="35">
        <v>43040.0</v>
      </c>
      <c r="F339" s="37" t="s">
        <v>150</v>
      </c>
      <c r="G339" s="30" t="s">
        <v>140</v>
      </c>
      <c r="H339" s="30" t="s">
        <v>223</v>
      </c>
      <c r="I339" s="30" t="s">
        <v>503</v>
      </c>
      <c r="J339" s="30" t="s">
        <v>146</v>
      </c>
      <c r="K339" s="30" t="s">
        <v>152</v>
      </c>
      <c r="L339" s="30" t="s">
        <v>152</v>
      </c>
      <c r="M339" s="30" t="s">
        <v>1916</v>
      </c>
      <c r="N339" s="30" t="s">
        <v>145</v>
      </c>
      <c r="O339" s="30" t="s">
        <v>145</v>
      </c>
      <c r="P339" s="30" t="s">
        <v>145</v>
      </c>
      <c r="Q339" s="30" t="s">
        <v>2140</v>
      </c>
    </row>
    <row r="340" hidden="1">
      <c r="A340" s="33" t="s">
        <v>2141</v>
      </c>
      <c r="B340" s="30" t="s">
        <v>139</v>
      </c>
      <c r="C340" s="30" t="s">
        <v>141</v>
      </c>
      <c r="D340" s="30" t="s">
        <v>141</v>
      </c>
      <c r="E340" s="35">
        <v>43040.0</v>
      </c>
      <c r="F340" s="37" t="s">
        <v>150</v>
      </c>
      <c r="G340" s="30" t="s">
        <v>2142</v>
      </c>
      <c r="H340" s="30" t="s">
        <v>180</v>
      </c>
      <c r="I340" s="30" t="s">
        <v>180</v>
      </c>
      <c r="J340" s="30" t="s">
        <v>531</v>
      </c>
      <c r="K340" s="30" t="s">
        <v>152</v>
      </c>
      <c r="L340" s="30" t="s">
        <v>152</v>
      </c>
      <c r="M340" s="30" t="s">
        <v>1916</v>
      </c>
      <c r="N340" s="30" t="s">
        <v>145</v>
      </c>
      <c r="O340" s="30" t="s">
        <v>145</v>
      </c>
      <c r="P340" s="30" t="s">
        <v>145</v>
      </c>
      <c r="Q340" s="30" t="s">
        <v>180</v>
      </c>
    </row>
    <row r="341" hidden="1">
      <c r="A341" s="33" t="s">
        <v>2145</v>
      </c>
      <c r="B341" s="30" t="s">
        <v>139</v>
      </c>
      <c r="C341" s="30" t="s">
        <v>140</v>
      </c>
      <c r="D341" s="30" t="s">
        <v>141</v>
      </c>
      <c r="E341" s="35">
        <v>43040.0</v>
      </c>
      <c r="F341" s="37" t="s">
        <v>150</v>
      </c>
      <c r="G341" s="30" t="s">
        <v>1536</v>
      </c>
      <c r="H341" s="30" t="s">
        <v>146</v>
      </c>
      <c r="I341" s="30" t="s">
        <v>654</v>
      </c>
      <c r="J341" s="30" t="s">
        <v>145</v>
      </c>
      <c r="K341" s="30" t="s">
        <v>145</v>
      </c>
      <c r="L341" s="30" t="s">
        <v>145</v>
      </c>
      <c r="M341" s="30" t="s">
        <v>145</v>
      </c>
      <c r="N341" s="30" t="s">
        <v>145</v>
      </c>
      <c r="O341" s="30" t="s">
        <v>145</v>
      </c>
      <c r="P341" s="30" t="s">
        <v>145</v>
      </c>
      <c r="Q341" s="30" t="s">
        <v>146</v>
      </c>
    </row>
    <row r="342" hidden="1">
      <c r="A342" s="33" t="str">
        <f>hyperlink("https://issues.sierrawireless.com/browse/CORONADO-1496", "CORONADO-1496")</f>
        <v>CORONADO-1496</v>
      </c>
      <c r="B342" s="30" t="s">
        <v>139</v>
      </c>
      <c r="C342" s="30" t="s">
        <v>310</v>
      </c>
      <c r="D342" s="30" t="s">
        <v>155</v>
      </c>
      <c r="E342" s="35">
        <v>42983.0</v>
      </c>
      <c r="F342" s="37" t="s">
        <v>2153</v>
      </c>
      <c r="G342" s="30" t="s">
        <v>2154</v>
      </c>
      <c r="H342" s="30" t="s">
        <v>2155</v>
      </c>
      <c r="I342" s="2" t="s">
        <v>2156</v>
      </c>
      <c r="J342" s="30" t="s">
        <v>145</v>
      </c>
      <c r="K342" s="30" t="s">
        <v>145</v>
      </c>
      <c r="L342" s="30" t="s">
        <v>145</v>
      </c>
      <c r="M342" s="30" t="s">
        <v>145</v>
      </c>
      <c r="N342" s="30" t="s">
        <v>145</v>
      </c>
      <c r="O342" s="30" t="s">
        <v>145</v>
      </c>
      <c r="P342" s="30" t="s">
        <v>145</v>
      </c>
      <c r="Q342" s="30" t="s">
        <v>2158</v>
      </c>
    </row>
    <row r="343" hidden="1">
      <c r="A343" s="33" t="s">
        <v>2161</v>
      </c>
      <c r="B343" s="30" t="s">
        <v>139</v>
      </c>
      <c r="C343" s="30" t="s">
        <v>141</v>
      </c>
      <c r="D343" s="30" t="s">
        <v>141</v>
      </c>
      <c r="E343" s="35">
        <v>43040.0</v>
      </c>
      <c r="F343" s="37" t="s">
        <v>150</v>
      </c>
      <c r="G343" s="30" t="s">
        <v>2163</v>
      </c>
      <c r="H343" s="30" t="s">
        <v>223</v>
      </c>
      <c r="I343" s="30" t="s">
        <v>163</v>
      </c>
      <c r="J343" s="30" t="s">
        <v>2166</v>
      </c>
      <c r="K343" s="30" t="s">
        <v>152</v>
      </c>
      <c r="L343" s="30" t="s">
        <v>152</v>
      </c>
      <c r="M343" s="30" t="s">
        <v>882</v>
      </c>
      <c r="N343" s="30" t="s">
        <v>145</v>
      </c>
      <c r="O343" s="30" t="s">
        <v>145</v>
      </c>
      <c r="P343" s="30" t="s">
        <v>145</v>
      </c>
      <c r="Q343" s="30" t="s">
        <v>179</v>
      </c>
    </row>
    <row r="344" hidden="1">
      <c r="A344" s="104" t="s">
        <v>2168</v>
      </c>
      <c r="B344" s="30" t="s">
        <v>139</v>
      </c>
      <c r="C344" s="30" t="s">
        <v>148</v>
      </c>
      <c r="D344" s="30" t="s">
        <v>141</v>
      </c>
      <c r="E344" s="35">
        <v>43040.0</v>
      </c>
      <c r="F344" s="37" t="s">
        <v>150</v>
      </c>
      <c r="G344" s="30" t="s">
        <v>2171</v>
      </c>
      <c r="H344" s="30" t="s">
        <v>223</v>
      </c>
      <c r="I344" s="30" t="s">
        <v>223</v>
      </c>
      <c r="J344" s="30" t="s">
        <v>189</v>
      </c>
      <c r="K344" s="30" t="s">
        <v>152</v>
      </c>
      <c r="L344" s="30" t="s">
        <v>152</v>
      </c>
      <c r="M344" s="30" t="s">
        <v>1383</v>
      </c>
      <c r="N344" s="30" t="s">
        <v>145</v>
      </c>
      <c r="O344" s="30" t="s">
        <v>145</v>
      </c>
      <c r="P344" s="30" t="s">
        <v>145</v>
      </c>
      <c r="Q344" s="30" t="s">
        <v>556</v>
      </c>
    </row>
    <row r="345" hidden="1">
      <c r="A345" s="33" t="s">
        <v>2172</v>
      </c>
      <c r="B345" s="30" t="s">
        <v>139</v>
      </c>
      <c r="C345" s="30" t="s">
        <v>148</v>
      </c>
      <c r="D345" s="30" t="s">
        <v>141</v>
      </c>
      <c r="E345" s="35">
        <v>43040.0</v>
      </c>
      <c r="F345" s="37" t="s">
        <v>150</v>
      </c>
      <c r="G345" s="30" t="s">
        <v>2175</v>
      </c>
      <c r="H345" s="30" t="s">
        <v>223</v>
      </c>
      <c r="I345" s="30" t="s">
        <v>146</v>
      </c>
      <c r="J345" s="30" t="s">
        <v>189</v>
      </c>
      <c r="K345" s="30" t="s">
        <v>506</v>
      </c>
      <c r="L345" s="30" t="s">
        <v>506</v>
      </c>
      <c r="M345" s="30" t="s">
        <v>2176</v>
      </c>
      <c r="N345" s="30" t="s">
        <v>145</v>
      </c>
      <c r="O345" s="30" t="s">
        <v>145</v>
      </c>
      <c r="P345" s="30" t="s">
        <v>145</v>
      </c>
      <c r="Q345" s="30" t="s">
        <v>556</v>
      </c>
    </row>
    <row r="346" hidden="1">
      <c r="A346" s="104" t="s">
        <v>2179</v>
      </c>
      <c r="B346" s="30" t="s">
        <v>139</v>
      </c>
      <c r="C346" s="30" t="s">
        <v>148</v>
      </c>
      <c r="D346" s="30" t="s">
        <v>141</v>
      </c>
      <c r="E346" s="35">
        <v>43040.0</v>
      </c>
      <c r="F346" s="37" t="s">
        <v>150</v>
      </c>
      <c r="G346" s="30" t="s">
        <v>2171</v>
      </c>
      <c r="H346" s="30" t="s">
        <v>223</v>
      </c>
      <c r="I346" s="30" t="s">
        <v>146</v>
      </c>
      <c r="J346" s="30" t="s">
        <v>189</v>
      </c>
      <c r="K346" s="30" t="s">
        <v>152</v>
      </c>
      <c r="L346" s="30" t="s">
        <v>152</v>
      </c>
      <c r="M346" s="30" t="s">
        <v>1383</v>
      </c>
      <c r="N346" s="30" t="s">
        <v>145</v>
      </c>
      <c r="O346" s="30" t="s">
        <v>145</v>
      </c>
      <c r="P346" s="30" t="s">
        <v>145</v>
      </c>
      <c r="Q346" s="30" t="s">
        <v>556</v>
      </c>
    </row>
    <row r="347" hidden="1">
      <c r="A347" s="33" t="s">
        <v>2183</v>
      </c>
      <c r="B347" s="30" t="s">
        <v>139</v>
      </c>
      <c r="C347" s="30" t="s">
        <v>141</v>
      </c>
      <c r="D347" s="30" t="s">
        <v>141</v>
      </c>
      <c r="E347" s="35">
        <v>43040.0</v>
      </c>
      <c r="F347" s="37" t="s">
        <v>150</v>
      </c>
      <c r="G347" s="30" t="s">
        <v>1536</v>
      </c>
      <c r="H347" s="30" t="s">
        <v>146</v>
      </c>
      <c r="I347" s="30" t="s">
        <v>146</v>
      </c>
      <c r="J347" s="30" t="s">
        <v>189</v>
      </c>
      <c r="K347" s="30" t="s">
        <v>152</v>
      </c>
      <c r="L347" s="30" t="s">
        <v>152</v>
      </c>
      <c r="M347" s="30" t="s">
        <v>2186</v>
      </c>
      <c r="N347" s="30" t="s">
        <v>145</v>
      </c>
      <c r="O347" s="30" t="s">
        <v>145</v>
      </c>
      <c r="P347" s="30" t="s">
        <v>145</v>
      </c>
      <c r="Q347" s="30" t="s">
        <v>180</v>
      </c>
    </row>
    <row r="348" hidden="1">
      <c r="A348" s="33" t="s">
        <v>2187</v>
      </c>
      <c r="B348" s="30" t="s">
        <v>139</v>
      </c>
      <c r="C348" s="30" t="s">
        <v>148</v>
      </c>
      <c r="D348" s="30" t="s">
        <v>244</v>
      </c>
      <c r="E348" s="35">
        <v>43040.0</v>
      </c>
      <c r="F348" s="37" t="s">
        <v>150</v>
      </c>
      <c r="G348" s="30" t="s">
        <v>994</v>
      </c>
      <c r="H348" s="30" t="s">
        <v>223</v>
      </c>
      <c r="I348" s="30" t="s">
        <v>146</v>
      </c>
      <c r="J348" s="30" t="s">
        <v>189</v>
      </c>
      <c r="K348" s="30" t="s">
        <v>152</v>
      </c>
      <c r="L348" s="30" t="s">
        <v>152</v>
      </c>
      <c r="M348" s="30" t="s">
        <v>504</v>
      </c>
      <c r="N348" s="30" t="s">
        <v>152</v>
      </c>
      <c r="O348" s="30" t="s">
        <v>152</v>
      </c>
      <c r="P348" s="30" t="s">
        <v>152</v>
      </c>
      <c r="Q348" s="30" t="s">
        <v>152</v>
      </c>
    </row>
    <row r="349" hidden="1">
      <c r="A349" s="33" t="s">
        <v>2192</v>
      </c>
      <c r="B349" s="30" t="s">
        <v>139</v>
      </c>
      <c r="C349" s="30" t="s">
        <v>453</v>
      </c>
      <c r="D349" s="30" t="s">
        <v>148</v>
      </c>
      <c r="E349" s="35">
        <v>43040.0</v>
      </c>
      <c r="F349" s="37" t="s">
        <v>154</v>
      </c>
      <c r="G349" s="30" t="s">
        <v>2196</v>
      </c>
      <c r="H349" s="30" t="s">
        <v>145</v>
      </c>
      <c r="I349" s="30" t="s">
        <v>145</v>
      </c>
      <c r="J349" s="30" t="s">
        <v>145</v>
      </c>
      <c r="K349" s="30" t="s">
        <v>145</v>
      </c>
      <c r="L349" s="30" t="s">
        <v>145</v>
      </c>
      <c r="M349" s="30" t="s">
        <v>145</v>
      </c>
      <c r="N349" s="30" t="s">
        <v>145</v>
      </c>
      <c r="O349" s="30" t="s">
        <v>145</v>
      </c>
      <c r="P349" s="30" t="s">
        <v>145</v>
      </c>
      <c r="Q349" s="30" t="s">
        <v>457</v>
      </c>
    </row>
    <row r="350" hidden="1">
      <c r="A350" s="33" t="str">
        <f>hyperlink("https://issues.sierrawireless.com/browse/QTI9X40-2855", "QTI9X40-2855")</f>
        <v>QTI9X40-2855</v>
      </c>
      <c r="B350" s="30" t="s">
        <v>417</v>
      </c>
      <c r="C350" s="30" t="s">
        <v>140</v>
      </c>
      <c r="D350" s="30" t="s">
        <v>419</v>
      </c>
      <c r="E350" s="35">
        <v>43080.0</v>
      </c>
      <c r="F350" s="37" t="s">
        <v>207</v>
      </c>
      <c r="G350" s="30" t="s">
        <v>2126</v>
      </c>
      <c r="H350" s="30" t="s">
        <v>145</v>
      </c>
      <c r="I350" s="30" t="s">
        <v>145</v>
      </c>
      <c r="J350" s="30" t="s">
        <v>145</v>
      </c>
      <c r="K350" s="30" t="s">
        <v>145</v>
      </c>
      <c r="L350" s="30" t="s">
        <v>145</v>
      </c>
      <c r="M350" s="30" t="s">
        <v>145</v>
      </c>
      <c r="N350" s="30" t="s">
        <v>145</v>
      </c>
      <c r="O350" s="30" t="s">
        <v>145</v>
      </c>
      <c r="P350" s="30" t="s">
        <v>145</v>
      </c>
      <c r="Q350" s="30" t="s">
        <v>166</v>
      </c>
    </row>
    <row r="351" hidden="1">
      <c r="A351" s="33" t="s">
        <v>2202</v>
      </c>
      <c r="B351" s="30" t="s">
        <v>139</v>
      </c>
      <c r="C351" s="30" t="s">
        <v>148</v>
      </c>
      <c r="D351" s="30" t="s">
        <v>177</v>
      </c>
      <c r="E351" s="35">
        <v>43040.0</v>
      </c>
      <c r="F351" s="37" t="s">
        <v>150</v>
      </c>
      <c r="G351" s="30" t="s">
        <v>152</v>
      </c>
      <c r="H351" s="30" t="s">
        <v>152</v>
      </c>
      <c r="I351" s="30" t="s">
        <v>152</v>
      </c>
      <c r="J351" s="30" t="s">
        <v>152</v>
      </c>
      <c r="K351" s="30" t="s">
        <v>152</v>
      </c>
      <c r="L351" s="30" t="s">
        <v>152</v>
      </c>
      <c r="M351" s="30" t="s">
        <v>2205</v>
      </c>
      <c r="N351" s="30" t="s">
        <v>152</v>
      </c>
      <c r="O351" s="30" t="s">
        <v>152</v>
      </c>
      <c r="P351" s="30" t="s">
        <v>152</v>
      </c>
      <c r="Q351" s="30" t="s">
        <v>152</v>
      </c>
    </row>
    <row r="352" hidden="1">
      <c r="A352" s="33" t="s">
        <v>2207</v>
      </c>
      <c r="B352" s="30" t="s">
        <v>139</v>
      </c>
      <c r="C352" s="30" t="s">
        <v>140</v>
      </c>
      <c r="D352" s="30" t="s">
        <v>153</v>
      </c>
      <c r="E352" s="35">
        <v>43040.0</v>
      </c>
      <c r="F352" s="37" t="s">
        <v>154</v>
      </c>
      <c r="G352" s="30" t="s">
        <v>146</v>
      </c>
      <c r="H352" s="30" t="s">
        <v>145</v>
      </c>
      <c r="I352" s="30" t="s">
        <v>145</v>
      </c>
      <c r="J352" s="30" t="s">
        <v>145</v>
      </c>
      <c r="K352" s="30" t="s">
        <v>145</v>
      </c>
      <c r="L352" s="30" t="s">
        <v>145</v>
      </c>
      <c r="M352" s="30" t="s">
        <v>145</v>
      </c>
      <c r="N352" s="30" t="s">
        <v>145</v>
      </c>
      <c r="O352" s="30" t="s">
        <v>145</v>
      </c>
      <c r="P352" s="30" t="s">
        <v>145</v>
      </c>
      <c r="Q352" s="30" t="s">
        <v>146</v>
      </c>
    </row>
    <row r="353" hidden="1">
      <c r="A353" s="33" t="s">
        <v>2210</v>
      </c>
      <c r="B353" s="30" t="s">
        <v>139</v>
      </c>
      <c r="C353" s="30" t="s">
        <v>453</v>
      </c>
      <c r="D353" s="30" t="s">
        <v>148</v>
      </c>
      <c r="E353" s="35">
        <v>43040.0</v>
      </c>
      <c r="F353" s="37" t="s">
        <v>154</v>
      </c>
      <c r="G353" s="30" t="s">
        <v>2214</v>
      </c>
      <c r="H353" s="30" t="s">
        <v>145</v>
      </c>
      <c r="I353" s="30" t="s">
        <v>145</v>
      </c>
      <c r="J353" s="30" t="s">
        <v>145</v>
      </c>
      <c r="K353" s="30" t="s">
        <v>145</v>
      </c>
      <c r="L353" s="30" t="s">
        <v>145</v>
      </c>
      <c r="M353" s="30" t="s">
        <v>145</v>
      </c>
      <c r="N353" s="30" t="s">
        <v>145</v>
      </c>
      <c r="O353" s="30" t="s">
        <v>145</v>
      </c>
      <c r="P353" s="30" t="s">
        <v>145</v>
      </c>
      <c r="Q353" s="30" t="s">
        <v>457</v>
      </c>
    </row>
    <row r="354" hidden="1">
      <c r="A354" s="33" t="s">
        <v>2215</v>
      </c>
      <c r="B354" s="30" t="s">
        <v>139</v>
      </c>
      <c r="C354" s="30" t="s">
        <v>140</v>
      </c>
      <c r="D354" s="30" t="s">
        <v>153</v>
      </c>
      <c r="E354" s="35">
        <v>43040.0</v>
      </c>
      <c r="F354" s="37" t="s">
        <v>154</v>
      </c>
      <c r="G354" s="30" t="s">
        <v>185</v>
      </c>
      <c r="H354" s="30" t="s">
        <v>145</v>
      </c>
      <c r="I354" s="30" t="s">
        <v>145</v>
      </c>
      <c r="J354" s="30" t="s">
        <v>145</v>
      </c>
      <c r="K354" s="30" t="s">
        <v>145</v>
      </c>
      <c r="L354" s="30" t="s">
        <v>145</v>
      </c>
      <c r="M354" s="30" t="s">
        <v>145</v>
      </c>
      <c r="N354" s="30" t="s">
        <v>145</v>
      </c>
      <c r="O354" s="30" t="s">
        <v>145</v>
      </c>
      <c r="P354" s="30" t="s">
        <v>145</v>
      </c>
      <c r="Q354" s="30" t="s">
        <v>146</v>
      </c>
    </row>
    <row r="355" hidden="1">
      <c r="A355" s="33" t="s">
        <v>2219</v>
      </c>
      <c r="B355" s="30" t="s">
        <v>139</v>
      </c>
      <c r="C355" s="30" t="s">
        <v>140</v>
      </c>
      <c r="D355" s="30" t="s">
        <v>153</v>
      </c>
      <c r="E355" s="35">
        <v>43040.0</v>
      </c>
      <c r="F355" s="37" t="s">
        <v>154</v>
      </c>
      <c r="G355" s="30" t="s">
        <v>185</v>
      </c>
      <c r="H355" s="30" t="s">
        <v>145</v>
      </c>
      <c r="I355" s="30" t="s">
        <v>145</v>
      </c>
      <c r="J355" s="30" t="s">
        <v>145</v>
      </c>
      <c r="K355" s="30" t="s">
        <v>145</v>
      </c>
      <c r="L355" s="30" t="s">
        <v>145</v>
      </c>
      <c r="M355" s="30" t="s">
        <v>145</v>
      </c>
      <c r="N355" s="30" t="s">
        <v>145</v>
      </c>
      <c r="O355" s="30" t="s">
        <v>145</v>
      </c>
      <c r="P355" s="30" t="s">
        <v>145</v>
      </c>
      <c r="Q355" s="30" t="s">
        <v>146</v>
      </c>
    </row>
    <row r="356" hidden="1">
      <c r="A356" s="33" t="s">
        <v>2222</v>
      </c>
      <c r="B356" s="30" t="s">
        <v>139</v>
      </c>
      <c r="C356" s="30" t="s">
        <v>453</v>
      </c>
      <c r="D356" s="30" t="s">
        <v>148</v>
      </c>
      <c r="E356" s="35">
        <v>43040.0</v>
      </c>
      <c r="F356" s="37" t="s">
        <v>154</v>
      </c>
      <c r="G356" s="30" t="s">
        <v>2225</v>
      </c>
      <c r="H356" s="30" t="s">
        <v>145</v>
      </c>
      <c r="I356" s="30" t="s">
        <v>145</v>
      </c>
      <c r="J356" s="30" t="s">
        <v>145</v>
      </c>
      <c r="K356" s="30" t="s">
        <v>145</v>
      </c>
      <c r="L356" s="30" t="s">
        <v>145</v>
      </c>
      <c r="M356" s="30" t="s">
        <v>145</v>
      </c>
      <c r="N356" s="30" t="s">
        <v>145</v>
      </c>
      <c r="O356" s="30" t="s">
        <v>145</v>
      </c>
      <c r="P356" s="30" t="s">
        <v>145</v>
      </c>
      <c r="Q356" s="30" t="s">
        <v>457</v>
      </c>
    </row>
    <row r="357" hidden="1">
      <c r="A357" s="33" t="s">
        <v>2229</v>
      </c>
      <c r="B357" s="30" t="s">
        <v>139</v>
      </c>
      <c r="C357" s="30" t="s">
        <v>148</v>
      </c>
      <c r="D357" s="30" t="s">
        <v>177</v>
      </c>
      <c r="E357" s="35">
        <v>43040.0</v>
      </c>
      <c r="F357" s="37" t="s">
        <v>154</v>
      </c>
      <c r="G357" s="30" t="s">
        <v>152</v>
      </c>
      <c r="H357" s="30" t="s">
        <v>145</v>
      </c>
      <c r="I357" s="30" t="s">
        <v>145</v>
      </c>
      <c r="J357" s="30" t="s">
        <v>145</v>
      </c>
      <c r="K357" s="30" t="s">
        <v>145</v>
      </c>
      <c r="L357" s="30" t="s">
        <v>145</v>
      </c>
      <c r="M357" s="30" t="s">
        <v>145</v>
      </c>
      <c r="N357" s="30" t="s">
        <v>145</v>
      </c>
      <c r="O357" s="30" t="s">
        <v>145</v>
      </c>
      <c r="P357" s="30" t="s">
        <v>145</v>
      </c>
      <c r="Q357" s="30" t="s">
        <v>152</v>
      </c>
    </row>
    <row r="358" hidden="1">
      <c r="A358" s="33" t="s">
        <v>2232</v>
      </c>
      <c r="B358" s="30" t="s">
        <v>139</v>
      </c>
      <c r="C358" s="30" t="s">
        <v>453</v>
      </c>
      <c r="D358" s="30" t="s">
        <v>177</v>
      </c>
      <c r="E358" s="35">
        <v>43040.0</v>
      </c>
      <c r="F358" s="37" t="s">
        <v>154</v>
      </c>
      <c r="G358" s="30" t="s">
        <v>1471</v>
      </c>
      <c r="H358" s="30" t="s">
        <v>145</v>
      </c>
      <c r="I358" s="30" t="s">
        <v>145</v>
      </c>
      <c r="J358" s="30" t="s">
        <v>145</v>
      </c>
      <c r="K358" s="30" t="s">
        <v>145</v>
      </c>
      <c r="L358" s="30" t="s">
        <v>145</v>
      </c>
      <c r="M358" s="30" t="s">
        <v>145</v>
      </c>
      <c r="N358" s="30" t="s">
        <v>145</v>
      </c>
      <c r="O358" s="30" t="s">
        <v>145</v>
      </c>
      <c r="P358" s="30" t="s">
        <v>145</v>
      </c>
      <c r="Q358" s="30" t="s">
        <v>1471</v>
      </c>
    </row>
    <row r="359" hidden="1">
      <c r="A359" s="33" t="s">
        <v>2237</v>
      </c>
      <c r="B359" s="30" t="s">
        <v>139</v>
      </c>
      <c r="C359" s="30" t="s">
        <v>337</v>
      </c>
      <c r="D359" s="30" t="s">
        <v>177</v>
      </c>
      <c r="E359" s="35">
        <v>43040.0</v>
      </c>
      <c r="F359" s="37" t="s">
        <v>154</v>
      </c>
      <c r="G359" s="30" t="s">
        <v>1471</v>
      </c>
      <c r="H359" s="30" t="s">
        <v>145</v>
      </c>
      <c r="I359" s="30" t="s">
        <v>145</v>
      </c>
      <c r="J359" s="30" t="s">
        <v>145</v>
      </c>
      <c r="K359" s="30" t="s">
        <v>145</v>
      </c>
      <c r="L359" s="30" t="s">
        <v>145</v>
      </c>
      <c r="M359" s="30" t="s">
        <v>145</v>
      </c>
      <c r="N359" s="30" t="s">
        <v>145</v>
      </c>
      <c r="O359" s="30" t="s">
        <v>145</v>
      </c>
      <c r="P359" s="30" t="s">
        <v>145</v>
      </c>
      <c r="Q359" s="30" t="s">
        <v>1471</v>
      </c>
    </row>
    <row r="360" hidden="1">
      <c r="A360" s="33" t="str">
        <f>hyperlink("https://issues.sierrawireless.com/browse/OEMPRI-6551", "OEMPRI-6551")</f>
        <v>OEMPRI-6551</v>
      </c>
      <c r="B360" s="30" t="s">
        <v>139</v>
      </c>
      <c r="C360" s="30" t="s">
        <v>148</v>
      </c>
      <c r="D360" s="30" t="s">
        <v>141</v>
      </c>
      <c r="E360" s="35">
        <v>43180.0</v>
      </c>
      <c r="F360" s="37" t="s">
        <v>150</v>
      </c>
      <c r="G360" s="30" t="s">
        <v>223</v>
      </c>
      <c r="H360" s="30" t="s">
        <v>223</v>
      </c>
      <c r="I360" s="30" t="s">
        <v>163</v>
      </c>
      <c r="J360" s="30" t="s">
        <v>189</v>
      </c>
      <c r="K360" s="30" t="s">
        <v>152</v>
      </c>
      <c r="L360" s="30" t="s">
        <v>152</v>
      </c>
      <c r="M360" s="30" t="s">
        <v>2246</v>
      </c>
      <c r="N360" s="30" t="s">
        <v>145</v>
      </c>
      <c r="O360" s="30" t="s">
        <v>166</v>
      </c>
      <c r="P360" s="30" t="s">
        <v>166</v>
      </c>
      <c r="Q360" s="30" t="s">
        <v>166</v>
      </c>
    </row>
    <row r="361" hidden="1">
      <c r="A361" s="33" t="s">
        <v>2247</v>
      </c>
      <c r="B361" s="30" t="s">
        <v>139</v>
      </c>
      <c r="C361" s="30" t="s">
        <v>140</v>
      </c>
      <c r="D361" s="30" t="s">
        <v>141</v>
      </c>
      <c r="E361" s="43">
        <v>43039.0</v>
      </c>
      <c r="F361" s="44" t="s">
        <v>143</v>
      </c>
      <c r="G361" s="30" t="s">
        <v>264</v>
      </c>
      <c r="H361" s="30" t="s">
        <v>145</v>
      </c>
      <c r="I361" s="30" t="s">
        <v>145</v>
      </c>
      <c r="J361" s="30" t="s">
        <v>145</v>
      </c>
      <c r="K361" s="30" t="s">
        <v>145</v>
      </c>
      <c r="L361" s="30" t="s">
        <v>145</v>
      </c>
      <c r="M361" s="30" t="s">
        <v>145</v>
      </c>
      <c r="N361" s="30" t="s">
        <v>145</v>
      </c>
      <c r="O361" s="30" t="s">
        <v>145</v>
      </c>
      <c r="P361" s="30" t="s">
        <v>145</v>
      </c>
      <c r="Q361" s="30" t="s">
        <v>146</v>
      </c>
    </row>
    <row r="362" hidden="1">
      <c r="A362" s="33" t="s">
        <v>2253</v>
      </c>
      <c r="B362" s="30" t="s">
        <v>139</v>
      </c>
      <c r="C362" s="30" t="s">
        <v>453</v>
      </c>
      <c r="D362" s="30" t="s">
        <v>216</v>
      </c>
      <c r="E362" s="43">
        <v>43039.0</v>
      </c>
      <c r="F362" s="44" t="s">
        <v>154</v>
      </c>
      <c r="G362" s="30" t="s">
        <v>1239</v>
      </c>
      <c r="H362" s="30" t="s">
        <v>145</v>
      </c>
      <c r="I362" s="30" t="s">
        <v>145</v>
      </c>
      <c r="J362" s="30" t="s">
        <v>145</v>
      </c>
      <c r="K362" s="30" t="s">
        <v>145</v>
      </c>
      <c r="L362" s="30" t="s">
        <v>145</v>
      </c>
      <c r="M362" s="30" t="s">
        <v>145</v>
      </c>
      <c r="N362" s="30" t="s">
        <v>145</v>
      </c>
      <c r="O362" s="30" t="s">
        <v>145</v>
      </c>
      <c r="P362" s="30" t="s">
        <v>145</v>
      </c>
      <c r="Q362" s="30" t="s">
        <v>1239</v>
      </c>
    </row>
    <row r="363" hidden="1">
      <c r="A363" s="33" t="str">
        <f>hyperlink("https://issues.sierrawireless.com/browse/OEMPRI-7366", "OEMPRI-7366")</f>
        <v>OEMPRI-7366</v>
      </c>
      <c r="B363" s="30" t="s">
        <v>139</v>
      </c>
      <c r="C363" s="30" t="s">
        <v>140</v>
      </c>
      <c r="D363" s="30" t="s">
        <v>399</v>
      </c>
      <c r="E363" s="35">
        <v>43258.0</v>
      </c>
      <c r="F363" s="37" t="s">
        <v>143</v>
      </c>
      <c r="G363" s="30" t="s">
        <v>146</v>
      </c>
      <c r="H363" s="30" t="s">
        <v>145</v>
      </c>
      <c r="I363" s="30" t="s">
        <v>145</v>
      </c>
      <c r="J363" s="30" t="s">
        <v>145</v>
      </c>
      <c r="K363" s="30" t="s">
        <v>145</v>
      </c>
      <c r="L363" s="30" t="s">
        <v>145</v>
      </c>
      <c r="M363" s="30" t="s">
        <v>145</v>
      </c>
      <c r="N363" s="30" t="s">
        <v>145</v>
      </c>
      <c r="O363" s="30" t="s">
        <v>145</v>
      </c>
      <c r="P363" s="30" t="s">
        <v>145</v>
      </c>
      <c r="Q363" s="30" t="s">
        <v>146</v>
      </c>
    </row>
    <row r="364" hidden="1">
      <c r="A364" s="104" t="s">
        <v>2266</v>
      </c>
      <c r="B364" s="30" t="s">
        <v>139</v>
      </c>
      <c r="C364" s="30" t="s">
        <v>140</v>
      </c>
      <c r="D364" s="30" t="s">
        <v>337</v>
      </c>
      <c r="E364" s="43">
        <v>43038.0</v>
      </c>
      <c r="F364" s="44" t="s">
        <v>150</v>
      </c>
      <c r="G364" s="30" t="s">
        <v>246</v>
      </c>
      <c r="H364" s="30" t="s">
        <v>152</v>
      </c>
      <c r="I364" s="30" t="s">
        <v>626</v>
      </c>
      <c r="J364" s="30" t="s">
        <v>145</v>
      </c>
      <c r="K364" s="30" t="s">
        <v>145</v>
      </c>
      <c r="L364" s="30" t="s">
        <v>145</v>
      </c>
      <c r="M364" s="30" t="s">
        <v>145</v>
      </c>
      <c r="N364" s="30" t="s">
        <v>145</v>
      </c>
      <c r="O364" s="30" t="s">
        <v>145</v>
      </c>
      <c r="P364" s="30" t="s">
        <v>145</v>
      </c>
      <c r="Q364" s="30" t="s">
        <v>146</v>
      </c>
    </row>
    <row r="365" hidden="1">
      <c r="A365" s="33" t="s">
        <v>2270</v>
      </c>
      <c r="B365" s="30" t="s">
        <v>139</v>
      </c>
      <c r="C365" s="30" t="s">
        <v>140</v>
      </c>
      <c r="D365" s="30" t="s">
        <v>140</v>
      </c>
      <c r="E365" s="43">
        <v>43038.0</v>
      </c>
      <c r="F365" s="44" t="s">
        <v>269</v>
      </c>
      <c r="G365" s="30" t="s">
        <v>146</v>
      </c>
      <c r="H365" s="30" t="s">
        <v>1036</v>
      </c>
      <c r="I365" s="30" t="s">
        <v>145</v>
      </c>
      <c r="J365" s="30" t="s">
        <v>145</v>
      </c>
      <c r="K365" s="30" t="s">
        <v>145</v>
      </c>
      <c r="L365" s="30" t="s">
        <v>145</v>
      </c>
      <c r="M365" s="30" t="s">
        <v>145</v>
      </c>
      <c r="N365" s="30" t="s">
        <v>145</v>
      </c>
      <c r="O365" s="30" t="s">
        <v>145</v>
      </c>
      <c r="P365" s="30" t="s">
        <v>145</v>
      </c>
      <c r="Q365" s="30" t="s">
        <v>146</v>
      </c>
    </row>
    <row r="366" hidden="1">
      <c r="A366" s="33" t="s">
        <v>2275</v>
      </c>
      <c r="B366" s="30" t="s">
        <v>139</v>
      </c>
      <c r="C366" s="30" t="s">
        <v>140</v>
      </c>
      <c r="D366" s="30" t="s">
        <v>141</v>
      </c>
      <c r="E366" s="43">
        <v>43038.0</v>
      </c>
      <c r="F366" s="44" t="s">
        <v>154</v>
      </c>
      <c r="G366" s="30" t="s">
        <v>146</v>
      </c>
      <c r="H366" s="30" t="s">
        <v>145</v>
      </c>
      <c r="I366" s="30" t="s">
        <v>145</v>
      </c>
      <c r="J366" s="30" t="s">
        <v>145</v>
      </c>
      <c r="K366" s="30" t="s">
        <v>145</v>
      </c>
      <c r="L366" s="30" t="s">
        <v>145</v>
      </c>
      <c r="M366" s="30" t="s">
        <v>145</v>
      </c>
      <c r="N366" s="30" t="s">
        <v>145</v>
      </c>
      <c r="O366" s="30" t="s">
        <v>145</v>
      </c>
      <c r="P366" s="30" t="s">
        <v>145</v>
      </c>
      <c r="Q366" s="30" t="s">
        <v>146</v>
      </c>
    </row>
    <row r="367" hidden="1">
      <c r="A367" s="33" t="s">
        <v>2280</v>
      </c>
      <c r="B367" s="30" t="s">
        <v>139</v>
      </c>
      <c r="C367" s="30" t="s">
        <v>141</v>
      </c>
      <c r="D367" s="30" t="s">
        <v>141</v>
      </c>
      <c r="E367" s="43">
        <v>43038.0</v>
      </c>
      <c r="F367" s="44" t="s">
        <v>150</v>
      </c>
      <c r="G367" s="30" t="s">
        <v>146</v>
      </c>
      <c r="H367" s="30" t="s">
        <v>146</v>
      </c>
      <c r="I367" s="30" t="s">
        <v>146</v>
      </c>
      <c r="J367" s="30" t="s">
        <v>278</v>
      </c>
      <c r="K367" s="30" t="s">
        <v>152</v>
      </c>
      <c r="L367" s="30" t="s">
        <v>152</v>
      </c>
      <c r="M367" s="30" t="s">
        <v>2283</v>
      </c>
      <c r="N367" s="30" t="s">
        <v>145</v>
      </c>
      <c r="O367" s="30" t="s">
        <v>145</v>
      </c>
      <c r="P367" s="30" t="s">
        <v>145</v>
      </c>
      <c r="Q367" s="30" t="s">
        <v>180</v>
      </c>
    </row>
    <row r="368" hidden="1">
      <c r="A368" s="33" t="s">
        <v>2284</v>
      </c>
      <c r="B368" s="30" t="s">
        <v>139</v>
      </c>
      <c r="C368" s="30" t="s">
        <v>453</v>
      </c>
      <c r="D368" s="30" t="s">
        <v>122</v>
      </c>
      <c r="E368" s="43">
        <v>43038.0</v>
      </c>
      <c r="F368" s="44" t="s">
        <v>154</v>
      </c>
      <c r="G368" s="30" t="s">
        <v>2287</v>
      </c>
      <c r="H368" s="30" t="s">
        <v>145</v>
      </c>
      <c r="I368" s="30" t="s">
        <v>145</v>
      </c>
      <c r="J368" s="30" t="s">
        <v>145</v>
      </c>
      <c r="K368" s="30" t="s">
        <v>145</v>
      </c>
      <c r="L368" s="30" t="s">
        <v>145</v>
      </c>
      <c r="M368" s="30" t="s">
        <v>145</v>
      </c>
      <c r="N368" s="30" t="s">
        <v>145</v>
      </c>
      <c r="O368" s="30" t="s">
        <v>145</v>
      </c>
      <c r="P368" s="30" t="s">
        <v>145</v>
      </c>
      <c r="Q368" s="30" t="s">
        <v>687</v>
      </c>
    </row>
    <row r="369" hidden="1">
      <c r="A369" s="33" t="s">
        <v>2290</v>
      </c>
      <c r="B369" s="30" t="s">
        <v>139</v>
      </c>
      <c r="C369" s="30" t="s">
        <v>453</v>
      </c>
      <c r="D369" s="30" t="s">
        <v>122</v>
      </c>
      <c r="E369" s="43">
        <v>43038.0</v>
      </c>
      <c r="F369" s="44" t="s">
        <v>154</v>
      </c>
      <c r="G369" s="30" t="s">
        <v>2287</v>
      </c>
      <c r="H369" s="30" t="s">
        <v>145</v>
      </c>
      <c r="I369" s="30" t="s">
        <v>145</v>
      </c>
      <c r="J369" s="30" t="s">
        <v>145</v>
      </c>
      <c r="K369" s="30" t="s">
        <v>145</v>
      </c>
      <c r="L369" s="30" t="s">
        <v>145</v>
      </c>
      <c r="M369" s="30" t="s">
        <v>145</v>
      </c>
      <c r="N369" s="30" t="s">
        <v>145</v>
      </c>
      <c r="O369" s="30" t="s">
        <v>145</v>
      </c>
      <c r="P369" s="30" t="s">
        <v>145</v>
      </c>
      <c r="Q369" s="30" t="s">
        <v>687</v>
      </c>
    </row>
    <row r="370" hidden="1">
      <c r="A370" s="33" t="s">
        <v>2294</v>
      </c>
      <c r="B370" s="30" t="s">
        <v>139</v>
      </c>
      <c r="C370" s="30" t="s">
        <v>453</v>
      </c>
      <c r="D370" s="30" t="s">
        <v>122</v>
      </c>
      <c r="E370" s="43">
        <v>43038.0</v>
      </c>
      <c r="F370" s="44" t="s">
        <v>154</v>
      </c>
      <c r="G370" s="30" t="s">
        <v>2287</v>
      </c>
      <c r="H370" s="30" t="s">
        <v>145</v>
      </c>
      <c r="I370" s="30" t="s">
        <v>145</v>
      </c>
      <c r="J370" s="30" t="s">
        <v>145</v>
      </c>
      <c r="K370" s="30" t="s">
        <v>145</v>
      </c>
      <c r="L370" s="30" t="s">
        <v>145</v>
      </c>
      <c r="M370" s="30" t="s">
        <v>145</v>
      </c>
      <c r="N370" s="30" t="s">
        <v>145</v>
      </c>
      <c r="O370" s="30" t="s">
        <v>145</v>
      </c>
      <c r="P370" s="30" t="s">
        <v>145</v>
      </c>
      <c r="Q370" s="30" t="s">
        <v>687</v>
      </c>
    </row>
    <row r="371" hidden="1">
      <c r="A371" s="33" t="s">
        <v>2297</v>
      </c>
      <c r="B371" s="30" t="s">
        <v>139</v>
      </c>
      <c r="C371" s="30" t="s">
        <v>453</v>
      </c>
      <c r="D371" s="30" t="s">
        <v>122</v>
      </c>
      <c r="E371" s="43">
        <v>43038.0</v>
      </c>
      <c r="F371" s="44" t="s">
        <v>154</v>
      </c>
      <c r="G371" s="30" t="s">
        <v>2287</v>
      </c>
      <c r="H371" s="30" t="s">
        <v>145</v>
      </c>
      <c r="I371" s="30" t="s">
        <v>145</v>
      </c>
      <c r="J371" s="30" t="s">
        <v>145</v>
      </c>
      <c r="K371" s="30" t="s">
        <v>145</v>
      </c>
      <c r="L371" s="30" t="s">
        <v>145</v>
      </c>
      <c r="M371" s="30" t="s">
        <v>145</v>
      </c>
      <c r="N371" s="30" t="s">
        <v>145</v>
      </c>
      <c r="O371" s="30" t="s">
        <v>145</v>
      </c>
      <c r="P371" s="30" t="s">
        <v>145</v>
      </c>
      <c r="Q371" s="30" t="s">
        <v>687</v>
      </c>
    </row>
    <row r="372" hidden="1">
      <c r="A372" s="33" t="s">
        <v>2300</v>
      </c>
      <c r="B372" s="30" t="s">
        <v>139</v>
      </c>
      <c r="C372" s="30" t="s">
        <v>453</v>
      </c>
      <c r="D372" s="30" t="s">
        <v>122</v>
      </c>
      <c r="E372" s="43">
        <v>43038.0</v>
      </c>
      <c r="F372" s="44" t="s">
        <v>154</v>
      </c>
      <c r="G372" s="30" t="s">
        <v>2287</v>
      </c>
      <c r="H372" s="30" t="s">
        <v>145</v>
      </c>
      <c r="I372" s="30" t="s">
        <v>145</v>
      </c>
      <c r="J372" s="30" t="s">
        <v>145</v>
      </c>
      <c r="K372" s="30" t="s">
        <v>145</v>
      </c>
      <c r="L372" s="30" t="s">
        <v>145</v>
      </c>
      <c r="M372" s="30" t="s">
        <v>145</v>
      </c>
      <c r="N372" s="30" t="s">
        <v>145</v>
      </c>
      <c r="O372" s="30" t="s">
        <v>145</v>
      </c>
      <c r="P372" s="30" t="s">
        <v>145</v>
      </c>
      <c r="Q372" s="30" t="s">
        <v>687</v>
      </c>
    </row>
    <row r="373" hidden="1">
      <c r="A373" s="33" t="s">
        <v>2306</v>
      </c>
      <c r="B373" s="30" t="s">
        <v>139</v>
      </c>
      <c r="C373" s="30" t="s">
        <v>453</v>
      </c>
      <c r="D373" s="30" t="s">
        <v>122</v>
      </c>
      <c r="E373" s="43">
        <v>43038.0</v>
      </c>
      <c r="F373" s="44" t="s">
        <v>154</v>
      </c>
      <c r="G373" s="30" t="s">
        <v>2056</v>
      </c>
      <c r="H373" s="30" t="s">
        <v>145</v>
      </c>
      <c r="I373" s="30" t="s">
        <v>145</v>
      </c>
      <c r="J373" s="30" t="s">
        <v>145</v>
      </c>
      <c r="K373" s="30" t="s">
        <v>145</v>
      </c>
      <c r="L373" s="30" t="s">
        <v>145</v>
      </c>
      <c r="M373" s="30" t="s">
        <v>145</v>
      </c>
      <c r="N373" s="30" t="s">
        <v>145</v>
      </c>
      <c r="O373" s="30" t="s">
        <v>145</v>
      </c>
      <c r="P373" s="30" t="s">
        <v>145</v>
      </c>
      <c r="Q373" s="30" t="s">
        <v>457</v>
      </c>
    </row>
    <row r="374" hidden="1">
      <c r="A374" s="33" t="s">
        <v>2311</v>
      </c>
      <c r="B374" s="30" t="s">
        <v>139</v>
      </c>
      <c r="C374" s="30" t="s">
        <v>453</v>
      </c>
      <c r="D374" s="30" t="s">
        <v>122</v>
      </c>
      <c r="E374" s="43">
        <v>43038.0</v>
      </c>
      <c r="F374" s="44" t="s">
        <v>154</v>
      </c>
      <c r="G374" s="30" t="s">
        <v>2287</v>
      </c>
      <c r="H374" s="30" t="s">
        <v>145</v>
      </c>
      <c r="I374" s="30" t="s">
        <v>145</v>
      </c>
      <c r="J374" s="30" t="s">
        <v>145</v>
      </c>
      <c r="K374" s="30" t="s">
        <v>145</v>
      </c>
      <c r="L374" s="30" t="s">
        <v>145</v>
      </c>
      <c r="M374" s="30" t="s">
        <v>145</v>
      </c>
      <c r="N374" s="30" t="s">
        <v>145</v>
      </c>
      <c r="O374" s="30" t="s">
        <v>145</v>
      </c>
      <c r="P374" s="30" t="s">
        <v>145</v>
      </c>
      <c r="Q374" s="30" t="s">
        <v>687</v>
      </c>
    </row>
    <row r="375" hidden="1">
      <c r="A375" s="33" t="str">
        <f>hyperlink("https://issues.sierrawireless.com/browse/OEMPRI-6487", "OEMPRI-6487")</f>
        <v>OEMPRI-6487</v>
      </c>
      <c r="B375" s="30" t="s">
        <v>139</v>
      </c>
      <c r="C375" s="30" t="s">
        <v>148</v>
      </c>
      <c r="D375" s="30" t="s">
        <v>609</v>
      </c>
      <c r="E375" s="35">
        <v>43175.0</v>
      </c>
      <c r="F375" s="37" t="s">
        <v>150</v>
      </c>
      <c r="G375" s="30" t="s">
        <v>503</v>
      </c>
      <c r="H375" s="30" t="s">
        <v>146</v>
      </c>
      <c r="I375" s="30" t="s">
        <v>146</v>
      </c>
      <c r="J375" s="30" t="s">
        <v>189</v>
      </c>
      <c r="K375" s="30" t="s">
        <v>457</v>
      </c>
      <c r="L375" s="30" t="s">
        <v>457</v>
      </c>
      <c r="M375" s="30" t="s">
        <v>1052</v>
      </c>
      <c r="N375" s="30" t="s">
        <v>213</v>
      </c>
      <c r="O375" s="30" t="s">
        <v>152</v>
      </c>
      <c r="P375" s="30" t="s">
        <v>2321</v>
      </c>
      <c r="Q375" s="30" t="s">
        <v>152</v>
      </c>
    </row>
    <row r="376" hidden="1">
      <c r="A376" s="33" t="str">
        <f>hyperlink("https://issues.sierrawireless.com/browse/OEMPRI-5559", "OEMPRI-5559")</f>
        <v>OEMPRI-5559</v>
      </c>
      <c r="B376" s="30" t="s">
        <v>139</v>
      </c>
      <c r="C376" s="30" t="s">
        <v>155</v>
      </c>
      <c r="D376" s="30" t="s">
        <v>155</v>
      </c>
      <c r="E376" s="43">
        <v>43080.0</v>
      </c>
      <c r="F376" s="44" t="s">
        <v>150</v>
      </c>
      <c r="G376" s="30" t="s">
        <v>660</v>
      </c>
      <c r="H376" s="30" t="s">
        <v>223</v>
      </c>
      <c r="I376" s="30" t="s">
        <v>223</v>
      </c>
      <c r="J376" s="30" t="s">
        <v>146</v>
      </c>
      <c r="K376" s="30" t="s">
        <v>146</v>
      </c>
      <c r="L376" s="30" t="s">
        <v>146</v>
      </c>
      <c r="M376" s="30" t="s">
        <v>2329</v>
      </c>
      <c r="N376" s="30" t="s">
        <v>145</v>
      </c>
      <c r="O376" s="30" t="s">
        <v>145</v>
      </c>
      <c r="P376" s="30" t="s">
        <v>145</v>
      </c>
      <c r="Q376" s="2" t="s">
        <v>2330</v>
      </c>
    </row>
    <row r="377" hidden="1">
      <c r="A377" s="33" t="str">
        <f>hyperlink("https://issues.sierrawireless.com/browse/OEMPRI-7010", "OEMPRI-7010")</f>
        <v>OEMPRI-7010</v>
      </c>
      <c r="B377" s="30" t="s">
        <v>139</v>
      </c>
      <c r="C377" s="30" t="s">
        <v>148</v>
      </c>
      <c r="D377" s="30" t="s">
        <v>122</v>
      </c>
      <c r="E377" s="35">
        <v>43224.0</v>
      </c>
      <c r="F377" s="37" t="s">
        <v>150</v>
      </c>
      <c r="G377" s="30" t="s">
        <v>2334</v>
      </c>
      <c r="H377" s="30" t="s">
        <v>212</v>
      </c>
      <c r="I377" s="30" t="s">
        <v>212</v>
      </c>
      <c r="J377" s="30" t="s">
        <v>212</v>
      </c>
      <c r="K377" s="30" t="s">
        <v>1168</v>
      </c>
      <c r="L377" s="30" t="s">
        <v>212</v>
      </c>
      <c r="M377" s="30" t="s">
        <v>151</v>
      </c>
      <c r="N377" s="30" t="s">
        <v>145</v>
      </c>
      <c r="O377" s="30" t="s">
        <v>145</v>
      </c>
      <c r="P377" s="30" t="s">
        <v>145</v>
      </c>
      <c r="Q377" s="30" t="s">
        <v>556</v>
      </c>
    </row>
    <row r="378">
      <c r="A378" s="33" t="str">
        <f>hyperlink("https://issues.sierrawireless.com/browse/OEMPRI-8147", "OEMPRI-8147")</f>
        <v>OEMPRI-8147</v>
      </c>
      <c r="B378" s="30" t="s">
        <v>277</v>
      </c>
      <c r="C378" s="30" t="s">
        <v>120</v>
      </c>
      <c r="D378" s="30" t="s">
        <v>141</v>
      </c>
      <c r="E378" s="35">
        <v>43329.0</v>
      </c>
      <c r="F378" s="37" t="s">
        <v>150</v>
      </c>
      <c r="G378" s="30" t="s">
        <v>2340</v>
      </c>
      <c r="H378" s="30" t="s">
        <v>212</v>
      </c>
      <c r="I378" s="30" t="s">
        <v>2342</v>
      </c>
      <c r="J378" s="30" t="s">
        <v>166</v>
      </c>
      <c r="K378" s="30" t="s">
        <v>166</v>
      </c>
      <c r="L378" s="30" t="s">
        <v>166</v>
      </c>
      <c r="M378" s="30" t="s">
        <v>166</v>
      </c>
      <c r="N378" s="30" t="s">
        <v>145</v>
      </c>
      <c r="O378" s="30" t="s">
        <v>145</v>
      </c>
      <c r="P378" s="30" t="s">
        <v>145</v>
      </c>
      <c r="Q378" s="30" t="s">
        <v>166</v>
      </c>
    </row>
    <row r="379" hidden="1">
      <c r="A379" s="33" t="str">
        <f>hyperlink("https://issues.sierrawireless.com/browse/OEMPRI-6472", "OEMPRI-6472")</f>
        <v>OEMPRI-6472</v>
      </c>
      <c r="B379" s="2" t="s">
        <v>139</v>
      </c>
      <c r="C379" s="30" t="s">
        <v>453</v>
      </c>
      <c r="D379" s="30" t="s">
        <v>609</v>
      </c>
      <c r="E379" s="35">
        <v>43174.0</v>
      </c>
      <c r="F379" s="37" t="s">
        <v>154</v>
      </c>
      <c r="G379" s="30" t="s">
        <v>152</v>
      </c>
      <c r="H379" s="30" t="s">
        <v>145</v>
      </c>
      <c r="I379" s="30" t="s">
        <v>145</v>
      </c>
      <c r="J379" s="30" t="s">
        <v>145</v>
      </c>
      <c r="K379" s="30" t="s">
        <v>145</v>
      </c>
      <c r="L379" s="30" t="s">
        <v>145</v>
      </c>
      <c r="M379" s="30" t="s">
        <v>145</v>
      </c>
      <c r="N379" s="30" t="s">
        <v>145</v>
      </c>
      <c r="O379" s="30" t="s">
        <v>145</v>
      </c>
      <c r="P379" s="30" t="s">
        <v>145</v>
      </c>
      <c r="Q379" s="30" t="s">
        <v>152</v>
      </c>
    </row>
    <row r="380" hidden="1">
      <c r="A380" s="33" t="s">
        <v>2349</v>
      </c>
      <c r="B380" s="30" t="s">
        <v>139</v>
      </c>
      <c r="C380" s="30" t="s">
        <v>155</v>
      </c>
      <c r="D380" s="30" t="s">
        <v>155</v>
      </c>
      <c r="E380" s="35">
        <v>43046.0</v>
      </c>
      <c r="F380" s="37" t="s">
        <v>150</v>
      </c>
      <c r="G380" s="30" t="s">
        <v>199</v>
      </c>
      <c r="H380" s="30" t="s">
        <v>152</v>
      </c>
      <c r="I380" s="30" t="s">
        <v>223</v>
      </c>
      <c r="J380" s="30" t="s">
        <v>158</v>
      </c>
      <c r="K380" s="30" t="s">
        <v>158</v>
      </c>
      <c r="L380" s="30" t="s">
        <v>158</v>
      </c>
      <c r="M380" s="30" t="s">
        <v>2353</v>
      </c>
      <c r="N380" s="30" t="s">
        <v>145</v>
      </c>
      <c r="O380" s="30" t="s">
        <v>145</v>
      </c>
      <c r="P380" s="30" t="s">
        <v>145</v>
      </c>
      <c r="Q380" s="2" t="s">
        <v>2354</v>
      </c>
    </row>
    <row r="381" hidden="1">
      <c r="A381" s="104" t="s">
        <v>2356</v>
      </c>
      <c r="B381" s="30" t="s">
        <v>139</v>
      </c>
      <c r="C381" s="30" t="s">
        <v>155</v>
      </c>
      <c r="D381" s="30" t="s">
        <v>155</v>
      </c>
      <c r="E381" s="35">
        <v>43046.0</v>
      </c>
      <c r="F381" s="37" t="s">
        <v>150</v>
      </c>
      <c r="G381" s="30" t="s">
        <v>1493</v>
      </c>
      <c r="H381" s="30" t="s">
        <v>146</v>
      </c>
      <c r="I381" s="30" t="s">
        <v>146</v>
      </c>
      <c r="J381" s="30" t="s">
        <v>158</v>
      </c>
      <c r="K381" s="30" t="s">
        <v>158</v>
      </c>
      <c r="L381" s="30" t="s">
        <v>158</v>
      </c>
      <c r="M381" s="2" t="s">
        <v>2357</v>
      </c>
      <c r="N381" s="30" t="s">
        <v>145</v>
      </c>
      <c r="O381" s="30" t="s">
        <v>145</v>
      </c>
      <c r="P381" s="30" t="s">
        <v>145</v>
      </c>
      <c r="Q381" s="30" t="s">
        <v>158</v>
      </c>
    </row>
    <row r="382" hidden="1">
      <c r="A382" s="33" t="s">
        <v>2360</v>
      </c>
      <c r="B382" s="30" t="s">
        <v>139</v>
      </c>
      <c r="C382" s="30" t="s">
        <v>148</v>
      </c>
      <c r="D382" s="30" t="s">
        <v>337</v>
      </c>
      <c r="E382" s="43">
        <v>43035.0</v>
      </c>
      <c r="F382" s="44" t="s">
        <v>150</v>
      </c>
      <c r="G382" s="30" t="s">
        <v>1510</v>
      </c>
      <c r="H382" s="30" t="s">
        <v>223</v>
      </c>
      <c r="I382" s="30" t="s">
        <v>407</v>
      </c>
      <c r="J382" s="30" t="s">
        <v>2361</v>
      </c>
      <c r="K382" s="30" t="s">
        <v>152</v>
      </c>
      <c r="L382" s="30" t="s">
        <v>152</v>
      </c>
      <c r="M382" s="30" t="s">
        <v>2364</v>
      </c>
      <c r="N382" s="30" t="s">
        <v>145</v>
      </c>
      <c r="O382" s="30" t="s">
        <v>145</v>
      </c>
      <c r="P382" s="30" t="s">
        <v>145</v>
      </c>
      <c r="Q382" s="30" t="s">
        <v>152</v>
      </c>
    </row>
    <row r="383" hidden="1">
      <c r="A383" s="33" t="s">
        <v>2366</v>
      </c>
      <c r="B383" s="30" t="s">
        <v>139</v>
      </c>
      <c r="C383" s="30" t="s">
        <v>337</v>
      </c>
      <c r="D383" s="30" t="s">
        <v>140</v>
      </c>
      <c r="E383" s="43">
        <v>43035.0</v>
      </c>
      <c r="F383" s="44" t="s">
        <v>143</v>
      </c>
      <c r="G383" s="30" t="s">
        <v>409</v>
      </c>
      <c r="H383" s="30" t="s">
        <v>145</v>
      </c>
      <c r="I383" s="30" t="s">
        <v>145</v>
      </c>
      <c r="J383" s="30" t="s">
        <v>145</v>
      </c>
      <c r="K383" s="30" t="s">
        <v>145</v>
      </c>
      <c r="L383" s="30" t="s">
        <v>145</v>
      </c>
      <c r="M383" s="30" t="s">
        <v>145</v>
      </c>
      <c r="N383" s="30" t="s">
        <v>145</v>
      </c>
      <c r="O383" s="30" t="s">
        <v>145</v>
      </c>
      <c r="P383" s="30" t="s">
        <v>145</v>
      </c>
      <c r="Q383" s="30" t="s">
        <v>404</v>
      </c>
    </row>
    <row r="384" hidden="1">
      <c r="A384" s="33" t="s">
        <v>2369</v>
      </c>
      <c r="B384" s="30" t="s">
        <v>139</v>
      </c>
      <c r="C384" s="30" t="s">
        <v>140</v>
      </c>
      <c r="D384" s="30" t="s">
        <v>153</v>
      </c>
      <c r="E384" s="43">
        <v>43035.0</v>
      </c>
      <c r="F384" s="44" t="s">
        <v>154</v>
      </c>
      <c r="G384" s="30" t="s">
        <v>144</v>
      </c>
      <c r="H384" s="30" t="s">
        <v>145</v>
      </c>
      <c r="I384" s="30" t="s">
        <v>145</v>
      </c>
      <c r="J384" s="30" t="s">
        <v>145</v>
      </c>
      <c r="K384" s="30" t="s">
        <v>145</v>
      </c>
      <c r="L384" s="30" t="s">
        <v>145</v>
      </c>
      <c r="M384" s="30" t="s">
        <v>145</v>
      </c>
      <c r="N384" s="30" t="s">
        <v>145</v>
      </c>
      <c r="O384" s="30" t="s">
        <v>145</v>
      </c>
      <c r="P384" s="30" t="s">
        <v>145</v>
      </c>
      <c r="Q384" s="30" t="s">
        <v>146</v>
      </c>
    </row>
    <row r="385" hidden="1">
      <c r="A385" s="33" t="s">
        <v>2372</v>
      </c>
      <c r="B385" s="30" t="s">
        <v>139</v>
      </c>
      <c r="C385" s="30" t="s">
        <v>140</v>
      </c>
      <c r="D385" s="30" t="s">
        <v>153</v>
      </c>
      <c r="E385" s="43">
        <v>43035.0</v>
      </c>
      <c r="F385" s="44" t="s">
        <v>154</v>
      </c>
      <c r="G385" s="30" t="s">
        <v>146</v>
      </c>
      <c r="H385" s="30" t="s">
        <v>145</v>
      </c>
      <c r="I385" s="30" t="s">
        <v>145</v>
      </c>
      <c r="J385" s="30" t="s">
        <v>145</v>
      </c>
      <c r="K385" s="30" t="s">
        <v>145</v>
      </c>
      <c r="L385" s="30" t="s">
        <v>145</v>
      </c>
      <c r="M385" s="30" t="s">
        <v>145</v>
      </c>
      <c r="N385" s="30" t="s">
        <v>145</v>
      </c>
      <c r="O385" s="30" t="s">
        <v>145</v>
      </c>
      <c r="P385" s="30" t="s">
        <v>145</v>
      </c>
      <c r="Q385" s="30" t="s">
        <v>146</v>
      </c>
    </row>
    <row r="386" hidden="1">
      <c r="A386" s="33" t="s">
        <v>2375</v>
      </c>
      <c r="B386" s="30" t="s">
        <v>139</v>
      </c>
      <c r="C386" s="30" t="s">
        <v>140</v>
      </c>
      <c r="D386" s="30" t="s">
        <v>153</v>
      </c>
      <c r="E386" s="43">
        <v>43035.0</v>
      </c>
      <c r="F386" s="44" t="s">
        <v>154</v>
      </c>
      <c r="G386" s="30" t="s">
        <v>171</v>
      </c>
      <c r="H386" s="30" t="s">
        <v>145</v>
      </c>
      <c r="I386" s="30" t="s">
        <v>145</v>
      </c>
      <c r="J386" s="30" t="s">
        <v>145</v>
      </c>
      <c r="K386" s="30" t="s">
        <v>145</v>
      </c>
      <c r="L386" s="30" t="s">
        <v>145</v>
      </c>
      <c r="M386" s="30" t="s">
        <v>145</v>
      </c>
      <c r="N386" s="30" t="s">
        <v>145</v>
      </c>
      <c r="O386" s="30" t="s">
        <v>145</v>
      </c>
      <c r="P386" s="30" t="s">
        <v>145</v>
      </c>
      <c r="Q386" s="30" t="s">
        <v>146</v>
      </c>
    </row>
    <row r="387" hidden="1">
      <c r="A387" s="33" t="s">
        <v>2378</v>
      </c>
      <c r="B387" s="30" t="s">
        <v>139</v>
      </c>
      <c r="C387" s="30" t="s">
        <v>140</v>
      </c>
      <c r="D387" s="30" t="s">
        <v>153</v>
      </c>
      <c r="E387" s="43">
        <v>43034.0</v>
      </c>
      <c r="F387" s="44" t="s">
        <v>154</v>
      </c>
      <c r="G387" s="30" t="s">
        <v>144</v>
      </c>
      <c r="H387" s="30" t="s">
        <v>145</v>
      </c>
      <c r="I387" s="30" t="s">
        <v>145</v>
      </c>
      <c r="J387" s="30" t="s">
        <v>145</v>
      </c>
      <c r="K387" s="30" t="s">
        <v>145</v>
      </c>
      <c r="L387" s="30" t="s">
        <v>145</v>
      </c>
      <c r="M387" s="30" t="s">
        <v>145</v>
      </c>
      <c r="N387" s="30" t="s">
        <v>145</v>
      </c>
      <c r="O387" s="30" t="s">
        <v>145</v>
      </c>
      <c r="P387" s="30" t="s">
        <v>145</v>
      </c>
      <c r="Q387" s="30" t="s">
        <v>146</v>
      </c>
    </row>
    <row r="388" hidden="1">
      <c r="A388" s="33" t="s">
        <v>2381</v>
      </c>
      <c r="B388" s="30" t="s">
        <v>139</v>
      </c>
      <c r="C388" s="30" t="s">
        <v>2197</v>
      </c>
      <c r="D388" s="30" t="s">
        <v>140</v>
      </c>
      <c r="E388" s="43">
        <v>43034.0</v>
      </c>
      <c r="F388" s="44" t="s">
        <v>154</v>
      </c>
      <c r="G388" s="30" t="s">
        <v>163</v>
      </c>
      <c r="H388" s="30" t="s">
        <v>145</v>
      </c>
      <c r="I388" s="30" t="s">
        <v>145</v>
      </c>
      <c r="J388" s="30" t="s">
        <v>145</v>
      </c>
      <c r="K388" s="30" t="s">
        <v>145</v>
      </c>
      <c r="L388" s="30" t="s">
        <v>145</v>
      </c>
      <c r="M388" s="30" t="s">
        <v>145</v>
      </c>
      <c r="N388" s="30" t="s">
        <v>145</v>
      </c>
      <c r="O388" s="30" t="s">
        <v>145</v>
      </c>
      <c r="P388" s="30" t="s">
        <v>145</v>
      </c>
      <c r="Q388" s="30" t="s">
        <v>146</v>
      </c>
    </row>
    <row r="389" hidden="1">
      <c r="A389" s="33" t="s">
        <v>2382</v>
      </c>
      <c r="B389" s="30" t="s">
        <v>139</v>
      </c>
      <c r="C389" s="30" t="s">
        <v>122</v>
      </c>
      <c r="D389" s="30" t="s">
        <v>122</v>
      </c>
      <c r="E389" s="43">
        <v>43034.0</v>
      </c>
      <c r="F389" s="44" t="s">
        <v>143</v>
      </c>
      <c r="G389" s="2" t="s">
        <v>2385</v>
      </c>
      <c r="H389" s="30" t="s">
        <v>145</v>
      </c>
      <c r="I389" s="30" t="s">
        <v>145</v>
      </c>
      <c r="J389" s="30" t="s">
        <v>145</v>
      </c>
      <c r="K389" s="30" t="s">
        <v>145</v>
      </c>
      <c r="L389" s="30" t="s">
        <v>145</v>
      </c>
      <c r="M389" s="30" t="s">
        <v>145</v>
      </c>
      <c r="N389" s="30" t="s">
        <v>145</v>
      </c>
      <c r="O389" s="30" t="s">
        <v>145</v>
      </c>
      <c r="P389" s="30" t="s">
        <v>145</v>
      </c>
      <c r="Q389" s="30" t="s">
        <v>687</v>
      </c>
    </row>
    <row r="390" hidden="1">
      <c r="A390" s="33" t="s">
        <v>2386</v>
      </c>
      <c r="B390" s="30" t="s">
        <v>139</v>
      </c>
      <c r="C390" s="30" t="s">
        <v>141</v>
      </c>
      <c r="D390" s="30" t="s">
        <v>140</v>
      </c>
      <c r="E390" s="43">
        <v>43033.0</v>
      </c>
      <c r="F390" s="44" t="s">
        <v>150</v>
      </c>
      <c r="G390" s="30" t="s">
        <v>146</v>
      </c>
      <c r="H390" s="30" t="s">
        <v>146</v>
      </c>
      <c r="I390" s="30" t="s">
        <v>146</v>
      </c>
      <c r="J390" s="30" t="s">
        <v>189</v>
      </c>
      <c r="K390" s="30" t="s">
        <v>152</v>
      </c>
      <c r="L390" s="30" t="s">
        <v>152</v>
      </c>
      <c r="M390" s="30" t="s">
        <v>2388</v>
      </c>
      <c r="N390" s="30" t="s">
        <v>145</v>
      </c>
      <c r="O390" s="30" t="s">
        <v>145</v>
      </c>
      <c r="P390" s="30" t="s">
        <v>145</v>
      </c>
      <c r="Q390" s="30" t="s">
        <v>180</v>
      </c>
    </row>
    <row r="391" hidden="1">
      <c r="A391" s="33" t="s">
        <v>2390</v>
      </c>
      <c r="B391" s="30" t="s">
        <v>139</v>
      </c>
      <c r="C391" s="30" t="s">
        <v>141</v>
      </c>
      <c r="D391" s="30" t="s">
        <v>141</v>
      </c>
      <c r="E391" s="43">
        <v>43033.0</v>
      </c>
      <c r="F391" s="44" t="s">
        <v>150</v>
      </c>
      <c r="G391" s="30" t="s">
        <v>373</v>
      </c>
      <c r="H391" s="30" t="s">
        <v>223</v>
      </c>
      <c r="I391" s="30" t="s">
        <v>185</v>
      </c>
      <c r="J391" s="30" t="s">
        <v>1476</v>
      </c>
      <c r="K391" s="30" t="s">
        <v>152</v>
      </c>
      <c r="L391" s="30" t="s">
        <v>152</v>
      </c>
      <c r="M391" s="30" t="s">
        <v>1798</v>
      </c>
      <c r="N391" s="30" t="s">
        <v>145</v>
      </c>
      <c r="O391" s="30" t="s">
        <v>145</v>
      </c>
      <c r="P391" s="30" t="s">
        <v>145</v>
      </c>
      <c r="Q391" s="30" t="s">
        <v>180</v>
      </c>
    </row>
    <row r="392" hidden="1">
      <c r="A392" s="33" t="s">
        <v>2392</v>
      </c>
      <c r="B392" s="30" t="s">
        <v>139</v>
      </c>
      <c r="C392" s="30" t="s">
        <v>140</v>
      </c>
      <c r="D392" s="30" t="s">
        <v>141</v>
      </c>
      <c r="E392" s="43">
        <v>43033.0</v>
      </c>
      <c r="F392" s="44" t="s">
        <v>150</v>
      </c>
      <c r="G392" s="30" t="s">
        <v>1510</v>
      </c>
      <c r="H392" s="30" t="s">
        <v>223</v>
      </c>
      <c r="I392" s="30" t="s">
        <v>185</v>
      </c>
      <c r="J392" s="30" t="s">
        <v>145</v>
      </c>
      <c r="K392" s="30" t="s">
        <v>145</v>
      </c>
      <c r="L392" s="30" t="s">
        <v>145</v>
      </c>
      <c r="M392" s="30" t="s">
        <v>145</v>
      </c>
      <c r="N392" s="30" t="s">
        <v>145</v>
      </c>
      <c r="O392" s="30" t="s">
        <v>145</v>
      </c>
      <c r="P392" s="30" t="s">
        <v>145</v>
      </c>
      <c r="Q392" s="30" t="s">
        <v>146</v>
      </c>
    </row>
    <row r="393" hidden="1">
      <c r="A393" s="33" t="s">
        <v>2394</v>
      </c>
      <c r="B393" s="30" t="s">
        <v>139</v>
      </c>
      <c r="C393" s="30" t="s">
        <v>140</v>
      </c>
      <c r="D393" s="30" t="s">
        <v>153</v>
      </c>
      <c r="E393" s="43">
        <v>43033.0</v>
      </c>
      <c r="F393" s="44" t="s">
        <v>154</v>
      </c>
      <c r="G393" s="30" t="s">
        <v>146</v>
      </c>
      <c r="H393" s="30" t="s">
        <v>145</v>
      </c>
      <c r="I393" s="30" t="s">
        <v>145</v>
      </c>
      <c r="J393" s="30" t="s">
        <v>145</v>
      </c>
      <c r="K393" s="30" t="s">
        <v>145</v>
      </c>
      <c r="L393" s="30" t="s">
        <v>145</v>
      </c>
      <c r="M393" s="30" t="s">
        <v>145</v>
      </c>
      <c r="N393" s="30" t="s">
        <v>145</v>
      </c>
      <c r="O393" s="30" t="s">
        <v>145</v>
      </c>
      <c r="P393" s="30" t="s">
        <v>145</v>
      </c>
      <c r="Q393" s="30" t="s">
        <v>146</v>
      </c>
    </row>
    <row r="394" hidden="1">
      <c r="A394" s="33" t="s">
        <v>2395</v>
      </c>
      <c r="B394" s="30" t="s">
        <v>139</v>
      </c>
      <c r="C394" s="30" t="s">
        <v>140</v>
      </c>
      <c r="D394" s="30" t="s">
        <v>153</v>
      </c>
      <c r="E394" s="43">
        <v>43033.0</v>
      </c>
      <c r="F394" s="44" t="s">
        <v>154</v>
      </c>
      <c r="G394" s="30" t="s">
        <v>146</v>
      </c>
      <c r="H394" s="30" t="s">
        <v>145</v>
      </c>
      <c r="I394" s="30" t="s">
        <v>145</v>
      </c>
      <c r="J394" s="30" t="s">
        <v>145</v>
      </c>
      <c r="K394" s="30" t="s">
        <v>145</v>
      </c>
      <c r="L394" s="30" t="s">
        <v>145</v>
      </c>
      <c r="M394" s="30" t="s">
        <v>145</v>
      </c>
      <c r="N394" s="30" t="s">
        <v>145</v>
      </c>
      <c r="O394" s="30" t="s">
        <v>145</v>
      </c>
      <c r="P394" s="30" t="s">
        <v>145</v>
      </c>
      <c r="Q394" s="30" t="s">
        <v>146</v>
      </c>
    </row>
    <row r="395" hidden="1">
      <c r="A395" s="33" t="s">
        <v>2398</v>
      </c>
      <c r="B395" s="30" t="s">
        <v>139</v>
      </c>
      <c r="C395" s="30" t="s">
        <v>140</v>
      </c>
      <c r="D395" s="30" t="s">
        <v>153</v>
      </c>
      <c r="E395" s="43">
        <v>43033.0</v>
      </c>
      <c r="F395" s="44" t="s">
        <v>154</v>
      </c>
      <c r="G395" s="30" t="s">
        <v>146</v>
      </c>
      <c r="H395" s="30" t="s">
        <v>145</v>
      </c>
      <c r="I395" s="30" t="s">
        <v>145</v>
      </c>
      <c r="J395" s="30" t="s">
        <v>145</v>
      </c>
      <c r="K395" s="30" t="s">
        <v>145</v>
      </c>
      <c r="L395" s="30" t="s">
        <v>145</v>
      </c>
      <c r="M395" s="30" t="s">
        <v>145</v>
      </c>
      <c r="N395" s="30" t="s">
        <v>145</v>
      </c>
      <c r="O395" s="30" t="s">
        <v>145</v>
      </c>
      <c r="P395" s="30" t="s">
        <v>145</v>
      </c>
      <c r="Q395" s="30" t="s">
        <v>146</v>
      </c>
    </row>
    <row r="396">
      <c r="A396" s="33" t="str">
        <f>hyperlink("https://issues.sierrawireless.com/browse/OEMPRI-8115", "OEMPRI-8115")</f>
        <v>OEMPRI-8115</v>
      </c>
      <c r="B396" s="30" t="s">
        <v>277</v>
      </c>
      <c r="C396" s="30" t="s">
        <v>155</v>
      </c>
      <c r="D396" s="30" t="s">
        <v>155</v>
      </c>
      <c r="E396" s="35">
        <v>43326.0</v>
      </c>
      <c r="F396" s="37" t="s">
        <v>150</v>
      </c>
      <c r="G396" s="30" t="s">
        <v>2404</v>
      </c>
      <c r="H396" s="30" t="s">
        <v>158</v>
      </c>
      <c r="I396" s="30" t="s">
        <v>2405</v>
      </c>
      <c r="J396" s="30" t="s">
        <v>166</v>
      </c>
      <c r="K396" s="30" t="s">
        <v>166</v>
      </c>
      <c r="L396" s="30" t="s">
        <v>166</v>
      </c>
      <c r="M396" s="30" t="s">
        <v>166</v>
      </c>
      <c r="N396" s="30" t="s">
        <v>145</v>
      </c>
      <c r="O396" s="30" t="s">
        <v>145</v>
      </c>
      <c r="P396" s="30" t="s">
        <v>145</v>
      </c>
      <c r="Q396" s="30" t="s">
        <v>166</v>
      </c>
    </row>
    <row r="397" hidden="1">
      <c r="A397" s="33" t="s">
        <v>2408</v>
      </c>
      <c r="B397" s="30" t="s">
        <v>139</v>
      </c>
      <c r="C397" s="30" t="s">
        <v>453</v>
      </c>
      <c r="D397" s="30" t="s">
        <v>140</v>
      </c>
      <c r="E397" s="43">
        <v>43032.0</v>
      </c>
      <c r="F397" s="44" t="s">
        <v>154</v>
      </c>
      <c r="G397" s="30" t="s">
        <v>626</v>
      </c>
      <c r="H397" s="30" t="s">
        <v>145</v>
      </c>
      <c r="I397" s="30" t="s">
        <v>145</v>
      </c>
      <c r="J397" s="30" t="s">
        <v>145</v>
      </c>
      <c r="K397" s="30" t="s">
        <v>145</v>
      </c>
      <c r="L397" s="30" t="s">
        <v>145</v>
      </c>
      <c r="M397" s="30" t="s">
        <v>145</v>
      </c>
      <c r="N397" s="30" t="s">
        <v>145</v>
      </c>
      <c r="O397" s="30" t="s">
        <v>145</v>
      </c>
      <c r="P397" s="30" t="s">
        <v>145</v>
      </c>
      <c r="Q397" s="30" t="s">
        <v>146</v>
      </c>
    </row>
    <row r="398" hidden="1">
      <c r="A398" s="33" t="s">
        <v>2412</v>
      </c>
      <c r="B398" s="30" t="s">
        <v>139</v>
      </c>
      <c r="C398" s="30" t="s">
        <v>140</v>
      </c>
      <c r="D398" s="30" t="s">
        <v>153</v>
      </c>
      <c r="E398" s="43">
        <v>43032.0</v>
      </c>
      <c r="F398" s="44" t="s">
        <v>154</v>
      </c>
      <c r="G398" s="30" t="s">
        <v>146</v>
      </c>
      <c r="H398" s="30" t="s">
        <v>145</v>
      </c>
      <c r="I398" s="30" t="s">
        <v>145</v>
      </c>
      <c r="J398" s="30" t="s">
        <v>145</v>
      </c>
      <c r="K398" s="30" t="s">
        <v>145</v>
      </c>
      <c r="L398" s="30" t="s">
        <v>145</v>
      </c>
      <c r="M398" s="30" t="s">
        <v>145</v>
      </c>
      <c r="N398" s="30" t="s">
        <v>145</v>
      </c>
      <c r="O398" s="30" t="s">
        <v>145</v>
      </c>
      <c r="P398" s="30" t="s">
        <v>145</v>
      </c>
      <c r="Q398" s="30" t="s">
        <v>146</v>
      </c>
    </row>
    <row r="399" hidden="1">
      <c r="A399" s="33" t="s">
        <v>2417</v>
      </c>
      <c r="B399" s="30" t="s">
        <v>139</v>
      </c>
      <c r="C399" s="30" t="s">
        <v>140</v>
      </c>
      <c r="D399" s="30" t="s">
        <v>140</v>
      </c>
      <c r="E399" s="43">
        <v>43031.0</v>
      </c>
      <c r="F399" s="44" t="s">
        <v>269</v>
      </c>
      <c r="G399" s="30" t="s">
        <v>2419</v>
      </c>
      <c r="H399" s="30" t="s">
        <v>145</v>
      </c>
      <c r="I399" s="30" t="s">
        <v>145</v>
      </c>
      <c r="J399" s="30" t="s">
        <v>145</v>
      </c>
      <c r="K399" s="30" t="s">
        <v>145</v>
      </c>
      <c r="L399" s="30" t="s">
        <v>145</v>
      </c>
      <c r="M399" s="30" t="s">
        <v>145</v>
      </c>
      <c r="N399" s="30" t="s">
        <v>145</v>
      </c>
      <c r="O399" s="30" t="s">
        <v>145</v>
      </c>
      <c r="P399" s="30" t="s">
        <v>145</v>
      </c>
      <c r="Q399" s="30" t="s">
        <v>146</v>
      </c>
    </row>
    <row r="400" hidden="1">
      <c r="A400" s="33" t="s">
        <v>2423</v>
      </c>
      <c r="B400" s="30" t="s">
        <v>139</v>
      </c>
      <c r="C400" s="30" t="s">
        <v>141</v>
      </c>
      <c r="D400" s="30" t="s">
        <v>141</v>
      </c>
      <c r="E400" s="43">
        <v>43031.0</v>
      </c>
      <c r="F400" s="44" t="s">
        <v>150</v>
      </c>
      <c r="G400" s="30" t="s">
        <v>438</v>
      </c>
      <c r="H400" s="30" t="s">
        <v>146</v>
      </c>
      <c r="I400" s="30" t="s">
        <v>146</v>
      </c>
      <c r="J400" s="30" t="s">
        <v>278</v>
      </c>
      <c r="K400" s="30" t="s">
        <v>152</v>
      </c>
      <c r="L400" s="30" t="s">
        <v>152</v>
      </c>
      <c r="M400" s="30" t="s">
        <v>1052</v>
      </c>
      <c r="N400" s="30" t="s">
        <v>145</v>
      </c>
      <c r="O400" s="30" t="s">
        <v>145</v>
      </c>
      <c r="P400" s="30" t="s">
        <v>145</v>
      </c>
      <c r="Q400" s="30" t="s">
        <v>180</v>
      </c>
    </row>
    <row r="401" hidden="1">
      <c r="A401" s="33" t="s">
        <v>2427</v>
      </c>
      <c r="B401" s="30" t="s">
        <v>139</v>
      </c>
      <c r="C401" s="30" t="s">
        <v>148</v>
      </c>
      <c r="D401" s="30" t="s">
        <v>141</v>
      </c>
      <c r="E401" s="43">
        <v>43031.0</v>
      </c>
      <c r="F401" s="44" t="s">
        <v>150</v>
      </c>
      <c r="G401" s="30" t="s">
        <v>213</v>
      </c>
      <c r="H401" s="30" t="s">
        <v>145</v>
      </c>
      <c r="I401" s="30" t="s">
        <v>145</v>
      </c>
      <c r="J401" s="30" t="s">
        <v>145</v>
      </c>
      <c r="K401" s="30" t="s">
        <v>145</v>
      </c>
      <c r="L401" s="30" t="s">
        <v>145</v>
      </c>
      <c r="M401" s="30" t="s">
        <v>145</v>
      </c>
      <c r="N401" s="30" t="s">
        <v>145</v>
      </c>
      <c r="O401" s="30" t="s">
        <v>145</v>
      </c>
      <c r="P401" s="30" t="s">
        <v>145</v>
      </c>
      <c r="Q401" s="30" t="s">
        <v>152</v>
      </c>
    </row>
    <row r="402" hidden="1">
      <c r="A402" s="33" t="s">
        <v>2431</v>
      </c>
      <c r="B402" s="30" t="s">
        <v>139</v>
      </c>
      <c r="C402" s="30" t="s">
        <v>141</v>
      </c>
      <c r="D402" s="30" t="s">
        <v>141</v>
      </c>
      <c r="E402" s="43">
        <v>43031.0</v>
      </c>
      <c r="F402" s="44" t="s">
        <v>150</v>
      </c>
      <c r="G402" s="30" t="s">
        <v>994</v>
      </c>
      <c r="H402" s="30" t="s">
        <v>223</v>
      </c>
      <c r="I402" s="30" t="s">
        <v>264</v>
      </c>
      <c r="J402" s="30" t="s">
        <v>189</v>
      </c>
      <c r="K402" s="30" t="s">
        <v>152</v>
      </c>
      <c r="L402" s="30" t="s">
        <v>152</v>
      </c>
      <c r="M402" s="30" t="s">
        <v>2434</v>
      </c>
      <c r="N402" s="30" t="s">
        <v>145</v>
      </c>
      <c r="O402" s="30" t="s">
        <v>145</v>
      </c>
      <c r="P402" s="30" t="s">
        <v>145</v>
      </c>
      <c r="Q402" s="30" t="s">
        <v>180</v>
      </c>
    </row>
    <row r="403" hidden="1">
      <c r="A403" s="33" t="s">
        <v>2436</v>
      </c>
      <c r="B403" s="30" t="s">
        <v>139</v>
      </c>
      <c r="C403" s="30" t="s">
        <v>141</v>
      </c>
      <c r="D403" s="30" t="s">
        <v>141</v>
      </c>
      <c r="E403" s="43">
        <v>43031.0</v>
      </c>
      <c r="F403" s="44" t="s">
        <v>150</v>
      </c>
      <c r="G403" s="30" t="s">
        <v>140</v>
      </c>
      <c r="H403" s="30" t="s">
        <v>144</v>
      </c>
      <c r="I403" s="30" t="s">
        <v>146</v>
      </c>
      <c r="J403" s="30" t="s">
        <v>278</v>
      </c>
      <c r="K403" s="30" t="s">
        <v>152</v>
      </c>
      <c r="L403" s="30" t="s">
        <v>152</v>
      </c>
      <c r="M403" s="30" t="s">
        <v>2434</v>
      </c>
      <c r="N403" s="30" t="s">
        <v>145</v>
      </c>
      <c r="O403" s="30" t="s">
        <v>145</v>
      </c>
      <c r="P403" s="30" t="s">
        <v>145</v>
      </c>
      <c r="Q403" s="30" t="s">
        <v>180</v>
      </c>
    </row>
    <row r="404" hidden="1">
      <c r="A404" s="33" t="s">
        <v>2439</v>
      </c>
      <c r="B404" s="30" t="s">
        <v>139</v>
      </c>
      <c r="C404" s="30" t="s">
        <v>140</v>
      </c>
      <c r="D404" s="30" t="s">
        <v>153</v>
      </c>
      <c r="E404" s="43">
        <v>43031.0</v>
      </c>
      <c r="F404" s="44" t="s">
        <v>154</v>
      </c>
      <c r="G404" s="30" t="s">
        <v>144</v>
      </c>
      <c r="H404" s="30" t="s">
        <v>145</v>
      </c>
      <c r="I404" s="30" t="s">
        <v>145</v>
      </c>
      <c r="J404" s="30" t="s">
        <v>145</v>
      </c>
      <c r="K404" s="30" t="s">
        <v>145</v>
      </c>
      <c r="L404" s="30" t="s">
        <v>145</v>
      </c>
      <c r="M404" s="30" t="s">
        <v>145</v>
      </c>
      <c r="N404" s="30" t="s">
        <v>145</v>
      </c>
      <c r="O404" s="30" t="s">
        <v>145</v>
      </c>
      <c r="P404" s="30" t="s">
        <v>145</v>
      </c>
      <c r="Q404" s="30" t="s">
        <v>146</v>
      </c>
    </row>
    <row r="405" hidden="1">
      <c r="A405" s="33" t="s">
        <v>2443</v>
      </c>
      <c r="B405" s="30" t="s">
        <v>139</v>
      </c>
      <c r="C405" s="30" t="s">
        <v>140</v>
      </c>
      <c r="D405" s="30" t="s">
        <v>153</v>
      </c>
      <c r="E405" s="43">
        <v>43031.0</v>
      </c>
      <c r="F405" s="44" t="s">
        <v>154</v>
      </c>
      <c r="G405" s="30" t="s">
        <v>171</v>
      </c>
      <c r="H405" s="30" t="s">
        <v>145</v>
      </c>
      <c r="I405" s="30" t="s">
        <v>145</v>
      </c>
      <c r="J405" s="30" t="s">
        <v>145</v>
      </c>
      <c r="K405" s="30" t="s">
        <v>145</v>
      </c>
      <c r="L405" s="30" t="s">
        <v>145</v>
      </c>
      <c r="M405" s="30" t="s">
        <v>145</v>
      </c>
      <c r="N405" s="30" t="s">
        <v>145</v>
      </c>
      <c r="O405" s="30" t="s">
        <v>145</v>
      </c>
      <c r="P405" s="30" t="s">
        <v>145</v>
      </c>
      <c r="Q405" s="30" t="s">
        <v>146</v>
      </c>
    </row>
    <row r="406" hidden="1">
      <c r="A406" s="33" t="s">
        <v>2447</v>
      </c>
      <c r="B406" s="30" t="s">
        <v>139</v>
      </c>
      <c r="C406" s="30" t="s">
        <v>140</v>
      </c>
      <c r="D406" s="30" t="s">
        <v>153</v>
      </c>
      <c r="E406" s="43">
        <v>43031.0</v>
      </c>
      <c r="F406" s="44" t="s">
        <v>154</v>
      </c>
      <c r="G406" s="30" t="s">
        <v>171</v>
      </c>
      <c r="H406" s="30" t="s">
        <v>145</v>
      </c>
      <c r="I406" s="30" t="s">
        <v>145</v>
      </c>
      <c r="J406" s="30" t="s">
        <v>145</v>
      </c>
      <c r="K406" s="30" t="s">
        <v>145</v>
      </c>
      <c r="L406" s="30" t="s">
        <v>145</v>
      </c>
      <c r="M406" s="30" t="s">
        <v>145</v>
      </c>
      <c r="N406" s="30" t="s">
        <v>145</v>
      </c>
      <c r="O406" s="30" t="s">
        <v>145</v>
      </c>
      <c r="P406" s="30" t="s">
        <v>145</v>
      </c>
      <c r="Q406" s="30" t="s">
        <v>146</v>
      </c>
    </row>
    <row r="407" hidden="1">
      <c r="A407" s="33" t="s">
        <v>2448</v>
      </c>
      <c r="B407" s="30" t="s">
        <v>139</v>
      </c>
      <c r="C407" s="30" t="s">
        <v>140</v>
      </c>
      <c r="D407" s="30" t="s">
        <v>153</v>
      </c>
      <c r="E407" s="43">
        <v>43031.0</v>
      </c>
      <c r="F407" s="44" t="s">
        <v>154</v>
      </c>
      <c r="G407" s="30" t="s">
        <v>171</v>
      </c>
      <c r="H407" s="30" t="s">
        <v>145</v>
      </c>
      <c r="I407" s="30" t="s">
        <v>145</v>
      </c>
      <c r="J407" s="30" t="s">
        <v>145</v>
      </c>
      <c r="K407" s="30" t="s">
        <v>145</v>
      </c>
      <c r="L407" s="30" t="s">
        <v>145</v>
      </c>
      <c r="M407" s="30" t="s">
        <v>145</v>
      </c>
      <c r="N407" s="30" t="s">
        <v>145</v>
      </c>
      <c r="O407" s="30" t="s">
        <v>145</v>
      </c>
      <c r="P407" s="30" t="s">
        <v>145</v>
      </c>
      <c r="Q407" s="30" t="s">
        <v>146</v>
      </c>
    </row>
    <row r="408" hidden="1">
      <c r="A408" s="33" t="s">
        <v>2452</v>
      </c>
      <c r="B408" s="30" t="s">
        <v>139</v>
      </c>
      <c r="C408" s="30" t="s">
        <v>140</v>
      </c>
      <c r="D408" s="30" t="s">
        <v>153</v>
      </c>
      <c r="E408" s="43">
        <v>43031.0</v>
      </c>
      <c r="F408" s="44" t="s">
        <v>154</v>
      </c>
      <c r="G408" s="30" t="s">
        <v>171</v>
      </c>
      <c r="H408" s="30" t="s">
        <v>145</v>
      </c>
      <c r="I408" s="30" t="s">
        <v>145</v>
      </c>
      <c r="J408" s="30" t="s">
        <v>145</v>
      </c>
      <c r="K408" s="30" t="s">
        <v>145</v>
      </c>
      <c r="L408" s="30" t="s">
        <v>145</v>
      </c>
      <c r="M408" s="30" t="s">
        <v>145</v>
      </c>
      <c r="N408" s="30" t="s">
        <v>145</v>
      </c>
      <c r="O408" s="30" t="s">
        <v>145</v>
      </c>
      <c r="P408" s="30" t="s">
        <v>145</v>
      </c>
      <c r="Q408" s="30" t="s">
        <v>146</v>
      </c>
    </row>
    <row r="409" hidden="1">
      <c r="A409" s="33" t="s">
        <v>2457</v>
      </c>
      <c r="B409" s="30" t="s">
        <v>139</v>
      </c>
      <c r="C409" s="30" t="s">
        <v>141</v>
      </c>
      <c r="D409" s="30" t="s">
        <v>141</v>
      </c>
      <c r="E409" s="43">
        <v>43031.0</v>
      </c>
      <c r="F409" s="44" t="s">
        <v>150</v>
      </c>
      <c r="G409" s="30" t="s">
        <v>994</v>
      </c>
      <c r="H409" s="30" t="s">
        <v>223</v>
      </c>
      <c r="I409" s="30" t="s">
        <v>146</v>
      </c>
      <c r="J409" s="30" t="s">
        <v>1476</v>
      </c>
      <c r="K409" s="30" t="s">
        <v>152</v>
      </c>
      <c r="L409" s="30" t="s">
        <v>152</v>
      </c>
      <c r="M409" s="30" t="s">
        <v>2461</v>
      </c>
      <c r="N409" s="30" t="s">
        <v>145</v>
      </c>
      <c r="O409" s="30" t="s">
        <v>145</v>
      </c>
      <c r="P409" s="30" t="s">
        <v>145</v>
      </c>
      <c r="Q409" s="30" t="s">
        <v>1898</v>
      </c>
    </row>
    <row r="410" hidden="1">
      <c r="A410" s="33" t="s">
        <v>2463</v>
      </c>
      <c r="B410" s="30" t="s">
        <v>139</v>
      </c>
      <c r="C410" s="30" t="s">
        <v>148</v>
      </c>
      <c r="D410" s="30" t="s">
        <v>2464</v>
      </c>
      <c r="E410" s="43">
        <v>43030.0</v>
      </c>
      <c r="F410" s="44" t="s">
        <v>150</v>
      </c>
      <c r="G410" s="30" t="s">
        <v>151</v>
      </c>
      <c r="H410" s="30" t="s">
        <v>145</v>
      </c>
      <c r="I410" s="30" t="s">
        <v>145</v>
      </c>
      <c r="J410" s="30" t="s">
        <v>145</v>
      </c>
      <c r="K410" s="30" t="s">
        <v>145</v>
      </c>
      <c r="L410" s="30" t="s">
        <v>145</v>
      </c>
      <c r="M410" s="30" t="s">
        <v>145</v>
      </c>
      <c r="N410" s="30" t="s">
        <v>145</v>
      </c>
      <c r="O410" s="30" t="s">
        <v>145</v>
      </c>
      <c r="P410" s="30" t="s">
        <v>145</v>
      </c>
      <c r="Q410" s="30" t="s">
        <v>152</v>
      </c>
    </row>
    <row r="411" hidden="1">
      <c r="A411" s="33" t="s">
        <v>2467</v>
      </c>
      <c r="B411" s="30" t="s">
        <v>139</v>
      </c>
      <c r="C411" s="30" t="s">
        <v>141</v>
      </c>
      <c r="D411" s="30" t="s">
        <v>141</v>
      </c>
      <c r="E411" s="43">
        <v>43028.0</v>
      </c>
      <c r="F411" s="44" t="s">
        <v>150</v>
      </c>
      <c r="G411" s="30" t="s">
        <v>264</v>
      </c>
      <c r="H411" s="30" t="s">
        <v>146</v>
      </c>
      <c r="I411" s="30" t="s">
        <v>146</v>
      </c>
      <c r="J411" s="30" t="s">
        <v>278</v>
      </c>
      <c r="K411" s="30" t="s">
        <v>152</v>
      </c>
      <c r="L411" s="30" t="s">
        <v>152</v>
      </c>
      <c r="M411" s="30" t="s">
        <v>1541</v>
      </c>
      <c r="N411" s="30" t="s">
        <v>145</v>
      </c>
      <c r="O411" s="30" t="s">
        <v>145</v>
      </c>
      <c r="P411" s="30" t="s">
        <v>145</v>
      </c>
      <c r="Q411" s="30" t="s">
        <v>180</v>
      </c>
    </row>
    <row r="412" hidden="1">
      <c r="A412" s="33" t="s">
        <v>2473</v>
      </c>
      <c r="B412" s="30" t="s">
        <v>139</v>
      </c>
      <c r="C412" s="30" t="s">
        <v>153</v>
      </c>
      <c r="D412" s="30" t="s">
        <v>141</v>
      </c>
      <c r="E412" s="43">
        <v>43028.0</v>
      </c>
      <c r="F412" s="44" t="s">
        <v>150</v>
      </c>
      <c r="G412" s="30" t="s">
        <v>144</v>
      </c>
      <c r="H412" s="30" t="s">
        <v>145</v>
      </c>
      <c r="I412" s="30" t="s">
        <v>145</v>
      </c>
      <c r="J412" s="30" t="s">
        <v>145</v>
      </c>
      <c r="K412" s="30" t="s">
        <v>145</v>
      </c>
      <c r="L412" s="30" t="s">
        <v>145</v>
      </c>
      <c r="M412" s="30" t="s">
        <v>145</v>
      </c>
      <c r="N412" s="30" t="s">
        <v>145</v>
      </c>
      <c r="O412" s="30" t="s">
        <v>145</v>
      </c>
      <c r="P412" s="30" t="s">
        <v>145</v>
      </c>
      <c r="Q412" s="30" t="s">
        <v>223</v>
      </c>
    </row>
    <row r="413" hidden="1">
      <c r="A413" s="33" t="s">
        <v>2479</v>
      </c>
      <c r="B413" s="30" t="s">
        <v>139</v>
      </c>
      <c r="C413" s="30" t="s">
        <v>148</v>
      </c>
      <c r="D413" s="30" t="s">
        <v>148</v>
      </c>
      <c r="E413" s="43">
        <v>43027.0</v>
      </c>
      <c r="F413" s="44" t="s">
        <v>150</v>
      </c>
      <c r="G413" s="30" t="s">
        <v>148</v>
      </c>
      <c r="H413" s="30" t="s">
        <v>556</v>
      </c>
      <c r="I413" s="30" t="s">
        <v>152</v>
      </c>
      <c r="J413" s="30" t="s">
        <v>152</v>
      </c>
      <c r="K413" s="30" t="s">
        <v>152</v>
      </c>
      <c r="L413" s="30" t="s">
        <v>152</v>
      </c>
      <c r="M413" s="30" t="s">
        <v>152</v>
      </c>
      <c r="N413" s="30" t="s">
        <v>152</v>
      </c>
      <c r="O413" s="30" t="s">
        <v>152</v>
      </c>
      <c r="P413" s="30" t="s">
        <v>152</v>
      </c>
      <c r="Q413" s="30" t="s">
        <v>152</v>
      </c>
    </row>
    <row r="414" hidden="1">
      <c r="A414" s="33" t="s">
        <v>2482</v>
      </c>
      <c r="B414" s="30" t="s">
        <v>139</v>
      </c>
      <c r="C414" s="30" t="s">
        <v>140</v>
      </c>
      <c r="D414" s="30" t="s">
        <v>153</v>
      </c>
      <c r="E414" s="43">
        <v>43027.0</v>
      </c>
      <c r="F414" s="44" t="s">
        <v>154</v>
      </c>
      <c r="G414" s="30" t="s">
        <v>146</v>
      </c>
      <c r="H414" s="30" t="s">
        <v>145</v>
      </c>
      <c r="I414" s="30" t="s">
        <v>145</v>
      </c>
      <c r="J414" s="30" t="s">
        <v>145</v>
      </c>
      <c r="K414" s="30" t="s">
        <v>145</v>
      </c>
      <c r="L414" s="30" t="s">
        <v>145</v>
      </c>
      <c r="M414" s="30" t="s">
        <v>145</v>
      </c>
      <c r="N414" s="30" t="s">
        <v>145</v>
      </c>
      <c r="O414" s="30" t="s">
        <v>145</v>
      </c>
      <c r="P414" s="30" t="s">
        <v>145</v>
      </c>
      <c r="Q414" s="30" t="s">
        <v>146</v>
      </c>
    </row>
    <row r="415" hidden="1">
      <c r="A415" s="33" t="s">
        <v>2485</v>
      </c>
      <c r="B415" s="30" t="s">
        <v>139</v>
      </c>
      <c r="C415" s="30" t="s">
        <v>140</v>
      </c>
      <c r="D415" s="30" t="s">
        <v>140</v>
      </c>
      <c r="E415" s="43">
        <v>43027.0</v>
      </c>
      <c r="F415" s="44" t="s">
        <v>269</v>
      </c>
      <c r="G415" s="30" t="s">
        <v>352</v>
      </c>
      <c r="H415" s="30" t="s">
        <v>145</v>
      </c>
      <c r="I415" s="30" t="s">
        <v>145</v>
      </c>
      <c r="J415" s="30" t="s">
        <v>145</v>
      </c>
      <c r="K415" s="30" t="s">
        <v>145</v>
      </c>
      <c r="L415" s="30" t="s">
        <v>145</v>
      </c>
      <c r="M415" s="30" t="s">
        <v>145</v>
      </c>
      <c r="N415" s="30" t="s">
        <v>145</v>
      </c>
      <c r="O415" s="30" t="s">
        <v>145</v>
      </c>
      <c r="P415" s="30" t="s">
        <v>145</v>
      </c>
      <c r="Q415" s="30" t="s">
        <v>146</v>
      </c>
    </row>
    <row r="416" hidden="1">
      <c r="A416" s="33" t="s">
        <v>2486</v>
      </c>
      <c r="B416" s="30" t="s">
        <v>139</v>
      </c>
      <c r="C416" s="30" t="s">
        <v>140</v>
      </c>
      <c r="D416" s="30" t="s">
        <v>153</v>
      </c>
      <c r="E416" s="43">
        <v>43027.0</v>
      </c>
      <c r="F416" s="44" t="s">
        <v>154</v>
      </c>
      <c r="G416" s="30" t="s">
        <v>163</v>
      </c>
      <c r="H416" s="30" t="s">
        <v>145</v>
      </c>
      <c r="I416" s="30" t="s">
        <v>145</v>
      </c>
      <c r="J416" s="30" t="s">
        <v>145</v>
      </c>
      <c r="K416" s="30" t="s">
        <v>145</v>
      </c>
      <c r="L416" s="30" t="s">
        <v>145</v>
      </c>
      <c r="M416" s="30" t="s">
        <v>145</v>
      </c>
      <c r="N416" s="30" t="s">
        <v>145</v>
      </c>
      <c r="O416" s="30" t="s">
        <v>145</v>
      </c>
      <c r="P416" s="30" t="s">
        <v>145</v>
      </c>
      <c r="Q416" s="30" t="s">
        <v>146</v>
      </c>
    </row>
    <row r="417" hidden="1">
      <c r="A417" s="33" t="s">
        <v>2490</v>
      </c>
      <c r="B417" s="30" t="s">
        <v>139</v>
      </c>
      <c r="C417" s="30" t="s">
        <v>453</v>
      </c>
      <c r="D417" s="30" t="s">
        <v>148</v>
      </c>
      <c r="E417" s="43">
        <v>43027.0</v>
      </c>
      <c r="F417" s="44" t="s">
        <v>154</v>
      </c>
      <c r="G417" s="30" t="s">
        <v>151</v>
      </c>
      <c r="H417" s="30" t="s">
        <v>145</v>
      </c>
      <c r="I417" s="30" t="s">
        <v>145</v>
      </c>
      <c r="J417" s="30" t="s">
        <v>145</v>
      </c>
      <c r="K417" s="30" t="s">
        <v>145</v>
      </c>
      <c r="L417" s="30" t="s">
        <v>145</v>
      </c>
      <c r="M417" s="30" t="s">
        <v>145</v>
      </c>
      <c r="N417" s="30" t="s">
        <v>145</v>
      </c>
      <c r="O417" s="30" t="s">
        <v>145</v>
      </c>
      <c r="P417" s="30" t="s">
        <v>145</v>
      </c>
      <c r="Q417" s="30" t="s">
        <v>152</v>
      </c>
    </row>
    <row r="418" hidden="1">
      <c r="A418" s="33" t="s">
        <v>2495</v>
      </c>
      <c r="B418" s="30" t="s">
        <v>139</v>
      </c>
      <c r="C418" s="30" t="s">
        <v>148</v>
      </c>
      <c r="D418" s="30" t="s">
        <v>148</v>
      </c>
      <c r="E418" s="43">
        <v>43027.0</v>
      </c>
      <c r="F418" s="44" t="s">
        <v>154</v>
      </c>
      <c r="G418" s="30" t="s">
        <v>152</v>
      </c>
      <c r="H418" s="30" t="s">
        <v>145</v>
      </c>
      <c r="I418" s="30" t="s">
        <v>145</v>
      </c>
      <c r="J418" s="30" t="s">
        <v>145</v>
      </c>
      <c r="K418" s="30" t="s">
        <v>145</v>
      </c>
      <c r="L418" s="30" t="s">
        <v>145</v>
      </c>
      <c r="M418" s="30" t="s">
        <v>145</v>
      </c>
      <c r="N418" s="30" t="s">
        <v>145</v>
      </c>
      <c r="O418" s="30" t="s">
        <v>145</v>
      </c>
      <c r="P418" s="30" t="s">
        <v>145</v>
      </c>
      <c r="Q418" s="30" t="s">
        <v>152</v>
      </c>
    </row>
    <row r="419" hidden="1">
      <c r="A419" s="33" t="s">
        <v>2498</v>
      </c>
      <c r="B419" s="30" t="s">
        <v>139</v>
      </c>
      <c r="C419" s="30" t="s">
        <v>140</v>
      </c>
      <c r="D419" s="30" t="s">
        <v>140</v>
      </c>
      <c r="E419" s="43">
        <v>43027.0</v>
      </c>
      <c r="F419" s="44" t="s">
        <v>143</v>
      </c>
      <c r="G419" s="2" t="s">
        <v>2500</v>
      </c>
      <c r="H419" s="30" t="s">
        <v>145</v>
      </c>
      <c r="I419" s="30" t="s">
        <v>145</v>
      </c>
      <c r="J419" s="30" t="s">
        <v>145</v>
      </c>
      <c r="K419" s="30" t="s">
        <v>145</v>
      </c>
      <c r="L419" s="30" t="s">
        <v>145</v>
      </c>
      <c r="M419" s="30" t="s">
        <v>145</v>
      </c>
      <c r="N419" s="30" t="s">
        <v>145</v>
      </c>
      <c r="O419" s="30" t="s">
        <v>145</v>
      </c>
      <c r="P419" s="30" t="s">
        <v>145</v>
      </c>
      <c r="Q419" s="30" t="s">
        <v>146</v>
      </c>
    </row>
    <row r="420" hidden="1">
      <c r="A420" s="33" t="s">
        <v>2504</v>
      </c>
      <c r="B420" s="30" t="s">
        <v>139</v>
      </c>
      <c r="C420" s="30" t="s">
        <v>453</v>
      </c>
      <c r="D420" s="30" t="s">
        <v>148</v>
      </c>
      <c r="E420" s="43">
        <v>43026.0</v>
      </c>
      <c r="F420" s="44" t="s">
        <v>154</v>
      </c>
      <c r="G420" s="30" t="s">
        <v>213</v>
      </c>
      <c r="H420" s="30" t="s">
        <v>145</v>
      </c>
      <c r="I420" s="30" t="s">
        <v>145</v>
      </c>
      <c r="J420" s="30" t="s">
        <v>145</v>
      </c>
      <c r="K420" s="30" t="s">
        <v>145</v>
      </c>
      <c r="L420" s="30" t="s">
        <v>145</v>
      </c>
      <c r="M420" s="30" t="s">
        <v>145</v>
      </c>
      <c r="N420" s="30" t="s">
        <v>145</v>
      </c>
      <c r="O420" s="30" t="s">
        <v>145</v>
      </c>
      <c r="P420" s="30" t="s">
        <v>145</v>
      </c>
      <c r="Q420" s="30" t="s">
        <v>152</v>
      </c>
    </row>
    <row r="421" hidden="1">
      <c r="A421" s="33" t="s">
        <v>2508</v>
      </c>
      <c r="B421" s="30" t="s">
        <v>139</v>
      </c>
      <c r="C421" s="30" t="s">
        <v>155</v>
      </c>
      <c r="D421" s="30" t="s">
        <v>141</v>
      </c>
      <c r="E421" s="43">
        <v>43025.0</v>
      </c>
      <c r="F421" s="44" t="s">
        <v>150</v>
      </c>
      <c r="G421" s="30" t="s">
        <v>438</v>
      </c>
      <c r="H421" s="30" t="s">
        <v>146</v>
      </c>
      <c r="I421" s="30" t="s">
        <v>146</v>
      </c>
      <c r="J421" s="30" t="s">
        <v>278</v>
      </c>
      <c r="K421" s="30" t="s">
        <v>152</v>
      </c>
      <c r="L421" s="30" t="s">
        <v>152</v>
      </c>
      <c r="M421" s="30" t="s">
        <v>2512</v>
      </c>
      <c r="N421" s="30" t="s">
        <v>145</v>
      </c>
      <c r="O421" s="30" t="s">
        <v>145</v>
      </c>
      <c r="P421" s="30" t="s">
        <v>145</v>
      </c>
      <c r="Q421" s="30" t="s">
        <v>158</v>
      </c>
    </row>
    <row r="422" hidden="1">
      <c r="A422" s="33" t="s">
        <v>2514</v>
      </c>
      <c r="B422" s="30" t="s">
        <v>139</v>
      </c>
      <c r="C422" s="30" t="s">
        <v>140</v>
      </c>
      <c r="D422" s="30" t="s">
        <v>140</v>
      </c>
      <c r="E422" s="43">
        <v>43025.0</v>
      </c>
      <c r="F422" s="44" t="s">
        <v>269</v>
      </c>
      <c r="G422" s="30" t="s">
        <v>438</v>
      </c>
      <c r="H422" s="30" t="s">
        <v>145</v>
      </c>
      <c r="I422" s="30" t="s">
        <v>145</v>
      </c>
      <c r="J422" s="30" t="s">
        <v>145</v>
      </c>
      <c r="K422" s="30" t="s">
        <v>145</v>
      </c>
      <c r="L422" s="30" t="s">
        <v>145</v>
      </c>
      <c r="M422" s="30" t="s">
        <v>145</v>
      </c>
      <c r="N422" s="30" t="s">
        <v>145</v>
      </c>
      <c r="O422" s="30" t="s">
        <v>145</v>
      </c>
      <c r="P422" s="30" t="s">
        <v>145</v>
      </c>
      <c r="Q422" s="30" t="s">
        <v>146</v>
      </c>
    </row>
    <row r="423" hidden="1">
      <c r="A423" s="33" t="s">
        <v>2519</v>
      </c>
      <c r="B423" s="30" t="s">
        <v>139</v>
      </c>
      <c r="C423" s="30" t="s">
        <v>140</v>
      </c>
      <c r="D423" s="30" t="s">
        <v>153</v>
      </c>
      <c r="E423" s="43">
        <v>43025.0</v>
      </c>
      <c r="F423" s="44" t="s">
        <v>154</v>
      </c>
      <c r="G423" s="30" t="s">
        <v>626</v>
      </c>
      <c r="H423" s="30" t="s">
        <v>145</v>
      </c>
      <c r="I423" s="30" t="s">
        <v>145</v>
      </c>
      <c r="J423" s="30" t="s">
        <v>145</v>
      </c>
      <c r="K423" s="30" t="s">
        <v>145</v>
      </c>
      <c r="L423" s="30" t="s">
        <v>145</v>
      </c>
      <c r="M423" s="30" t="s">
        <v>145</v>
      </c>
      <c r="N423" s="30" t="s">
        <v>145</v>
      </c>
      <c r="O423" s="30" t="s">
        <v>145</v>
      </c>
      <c r="P423" s="30" t="s">
        <v>145</v>
      </c>
      <c r="Q423" s="30" t="s">
        <v>146</v>
      </c>
    </row>
    <row r="424" hidden="1">
      <c r="A424" s="33" t="s">
        <v>2523</v>
      </c>
      <c r="B424" s="30" t="s">
        <v>139</v>
      </c>
      <c r="C424" s="30" t="s">
        <v>1587</v>
      </c>
      <c r="D424" s="30" t="s">
        <v>141</v>
      </c>
      <c r="E424" s="43">
        <v>43025.0</v>
      </c>
      <c r="F424" s="44" t="s">
        <v>154</v>
      </c>
      <c r="G424" s="30" t="s">
        <v>2526</v>
      </c>
      <c r="H424" s="30" t="s">
        <v>145</v>
      </c>
      <c r="I424" s="30" t="s">
        <v>145</v>
      </c>
      <c r="J424" s="30" t="s">
        <v>145</v>
      </c>
      <c r="K424" s="30" t="s">
        <v>145</v>
      </c>
      <c r="L424" s="30" t="s">
        <v>145</v>
      </c>
      <c r="M424" s="30" t="s">
        <v>145</v>
      </c>
      <c r="N424" s="30" t="s">
        <v>145</v>
      </c>
      <c r="O424" s="30" t="s">
        <v>145</v>
      </c>
      <c r="P424" s="30" t="s">
        <v>145</v>
      </c>
      <c r="Q424" s="30" t="s">
        <v>2527</v>
      </c>
    </row>
    <row r="425" hidden="1">
      <c r="A425" s="33" t="s">
        <v>2529</v>
      </c>
      <c r="B425" s="30" t="s">
        <v>139</v>
      </c>
      <c r="C425" s="30" t="s">
        <v>148</v>
      </c>
      <c r="D425" s="30" t="s">
        <v>148</v>
      </c>
      <c r="E425" s="43">
        <v>43025.0</v>
      </c>
      <c r="F425" s="44" t="s">
        <v>154</v>
      </c>
      <c r="G425" s="30" t="s">
        <v>213</v>
      </c>
      <c r="H425" s="30" t="s">
        <v>145</v>
      </c>
      <c r="I425" s="30" t="s">
        <v>145</v>
      </c>
      <c r="J425" s="30" t="s">
        <v>145</v>
      </c>
      <c r="K425" s="30" t="s">
        <v>145</v>
      </c>
      <c r="L425" s="30" t="s">
        <v>145</v>
      </c>
      <c r="M425" s="30" t="s">
        <v>145</v>
      </c>
      <c r="N425" s="30" t="s">
        <v>145</v>
      </c>
      <c r="O425" s="30" t="s">
        <v>145</v>
      </c>
      <c r="P425" s="30" t="s">
        <v>145</v>
      </c>
      <c r="Q425" s="30" t="s">
        <v>152</v>
      </c>
    </row>
    <row r="426" hidden="1">
      <c r="A426" s="33" t="s">
        <v>2535</v>
      </c>
      <c r="B426" s="30" t="s">
        <v>139</v>
      </c>
      <c r="C426" s="30" t="s">
        <v>148</v>
      </c>
      <c r="D426" s="30" t="s">
        <v>244</v>
      </c>
      <c r="E426" s="43">
        <v>43024.0</v>
      </c>
      <c r="F426" s="44" t="s">
        <v>150</v>
      </c>
      <c r="G426" s="30" t="s">
        <v>626</v>
      </c>
      <c r="H426" s="30" t="s">
        <v>145</v>
      </c>
      <c r="I426" s="30" t="s">
        <v>146</v>
      </c>
      <c r="J426" s="30" t="s">
        <v>189</v>
      </c>
      <c r="K426" s="30" t="s">
        <v>156</v>
      </c>
      <c r="L426" s="30" t="s">
        <v>368</v>
      </c>
      <c r="M426" s="30" t="s">
        <v>1131</v>
      </c>
      <c r="N426" s="30" t="s">
        <v>152</v>
      </c>
      <c r="O426" s="30" t="s">
        <v>152</v>
      </c>
      <c r="P426" s="30" t="s">
        <v>2536</v>
      </c>
      <c r="Q426" s="30" t="s">
        <v>152</v>
      </c>
    </row>
    <row r="427" hidden="1">
      <c r="A427" s="33" t="s">
        <v>2538</v>
      </c>
      <c r="B427" s="30" t="s">
        <v>139</v>
      </c>
      <c r="C427" s="30" t="s">
        <v>148</v>
      </c>
      <c r="D427" s="30" t="s">
        <v>244</v>
      </c>
      <c r="E427" s="43">
        <v>43024.0</v>
      </c>
      <c r="F427" s="44" t="s">
        <v>154</v>
      </c>
      <c r="G427" s="30" t="s">
        <v>340</v>
      </c>
      <c r="H427" s="30" t="s">
        <v>145</v>
      </c>
      <c r="I427" s="30" t="s">
        <v>145</v>
      </c>
      <c r="J427" s="30" t="s">
        <v>145</v>
      </c>
      <c r="K427" s="30" t="s">
        <v>145</v>
      </c>
      <c r="L427" s="30" t="s">
        <v>145</v>
      </c>
      <c r="M427" s="30" t="s">
        <v>145</v>
      </c>
      <c r="N427" s="30" t="s">
        <v>145</v>
      </c>
      <c r="O427" s="30" t="s">
        <v>145</v>
      </c>
      <c r="P427" s="30" t="s">
        <v>145</v>
      </c>
      <c r="Q427" s="30" t="s">
        <v>152</v>
      </c>
    </row>
    <row r="428" hidden="1">
      <c r="A428" s="33" t="s">
        <v>2542</v>
      </c>
      <c r="B428" s="30" t="s">
        <v>139</v>
      </c>
      <c r="C428" s="30" t="s">
        <v>453</v>
      </c>
      <c r="D428" s="30" t="s">
        <v>244</v>
      </c>
      <c r="E428" s="43">
        <v>43024.0</v>
      </c>
      <c r="F428" s="44" t="s">
        <v>154</v>
      </c>
      <c r="G428" s="30" t="s">
        <v>1749</v>
      </c>
      <c r="H428" s="30" t="s">
        <v>145</v>
      </c>
      <c r="I428" s="30" t="s">
        <v>145</v>
      </c>
      <c r="J428" s="30" t="s">
        <v>145</v>
      </c>
      <c r="K428" s="30" t="s">
        <v>145</v>
      </c>
      <c r="L428" s="30" t="s">
        <v>145</v>
      </c>
      <c r="M428" s="30" t="s">
        <v>145</v>
      </c>
      <c r="N428" s="30" t="s">
        <v>145</v>
      </c>
      <c r="O428" s="30" t="s">
        <v>145</v>
      </c>
      <c r="P428" s="30" t="s">
        <v>145</v>
      </c>
      <c r="Q428" s="30" t="s">
        <v>2544</v>
      </c>
    </row>
    <row r="429" hidden="1">
      <c r="A429" s="33" t="s">
        <v>2546</v>
      </c>
      <c r="B429" s="30" t="s">
        <v>139</v>
      </c>
      <c r="C429" s="30" t="s">
        <v>140</v>
      </c>
      <c r="D429" s="30" t="s">
        <v>153</v>
      </c>
      <c r="E429" s="43">
        <v>43024.0</v>
      </c>
      <c r="F429" s="44" t="s">
        <v>154</v>
      </c>
      <c r="G429" s="30" t="s">
        <v>163</v>
      </c>
      <c r="H429" s="30" t="s">
        <v>145</v>
      </c>
      <c r="I429" s="30" t="s">
        <v>145</v>
      </c>
      <c r="J429" s="30" t="s">
        <v>145</v>
      </c>
      <c r="K429" s="30" t="s">
        <v>145</v>
      </c>
      <c r="L429" s="30" t="s">
        <v>145</v>
      </c>
      <c r="M429" s="30" t="s">
        <v>145</v>
      </c>
      <c r="N429" s="30" t="s">
        <v>145</v>
      </c>
      <c r="O429" s="30" t="s">
        <v>145</v>
      </c>
      <c r="P429" s="30" t="s">
        <v>145</v>
      </c>
      <c r="Q429" s="30" t="s">
        <v>146</v>
      </c>
    </row>
    <row r="430" hidden="1">
      <c r="A430" s="33" t="s">
        <v>2549</v>
      </c>
      <c r="B430" s="30" t="s">
        <v>139</v>
      </c>
      <c r="C430" s="30" t="s">
        <v>140</v>
      </c>
      <c r="D430" s="30" t="s">
        <v>148</v>
      </c>
      <c r="E430" s="43">
        <v>43024.0</v>
      </c>
      <c r="F430" s="44" t="s">
        <v>154</v>
      </c>
      <c r="G430" s="30" t="s">
        <v>163</v>
      </c>
      <c r="H430" s="30" t="s">
        <v>145</v>
      </c>
      <c r="I430" s="30" t="s">
        <v>145</v>
      </c>
      <c r="J430" s="30" t="s">
        <v>145</v>
      </c>
      <c r="K430" s="30" t="s">
        <v>145</v>
      </c>
      <c r="L430" s="30" t="s">
        <v>145</v>
      </c>
      <c r="M430" s="30" t="s">
        <v>145</v>
      </c>
      <c r="N430" s="30" t="s">
        <v>145</v>
      </c>
      <c r="O430" s="30" t="s">
        <v>145</v>
      </c>
      <c r="P430" s="30" t="s">
        <v>145</v>
      </c>
      <c r="Q430" s="30" t="s">
        <v>146</v>
      </c>
    </row>
    <row r="431" hidden="1">
      <c r="A431" s="33" t="s">
        <v>2556</v>
      </c>
      <c r="B431" s="30" t="s">
        <v>139</v>
      </c>
      <c r="C431" s="30" t="s">
        <v>140</v>
      </c>
      <c r="D431" s="30" t="s">
        <v>153</v>
      </c>
      <c r="E431" s="43">
        <v>43024.0</v>
      </c>
      <c r="F431" s="44" t="s">
        <v>154</v>
      </c>
      <c r="G431" s="30" t="s">
        <v>146</v>
      </c>
      <c r="H431" s="30" t="s">
        <v>145</v>
      </c>
      <c r="I431" s="30" t="s">
        <v>145</v>
      </c>
      <c r="J431" s="30" t="s">
        <v>145</v>
      </c>
      <c r="K431" s="30" t="s">
        <v>145</v>
      </c>
      <c r="L431" s="30" t="s">
        <v>145</v>
      </c>
      <c r="M431" s="30" t="s">
        <v>145</v>
      </c>
      <c r="N431" s="30" t="s">
        <v>145</v>
      </c>
      <c r="O431" s="30" t="s">
        <v>145</v>
      </c>
      <c r="P431" s="30" t="s">
        <v>145</v>
      </c>
      <c r="Q431" s="30" t="s">
        <v>146</v>
      </c>
    </row>
    <row r="432" hidden="1">
      <c r="A432" s="33" t="s">
        <v>2561</v>
      </c>
      <c r="B432" s="30" t="s">
        <v>139</v>
      </c>
      <c r="C432" s="30" t="s">
        <v>140</v>
      </c>
      <c r="D432" s="30" t="s">
        <v>140</v>
      </c>
      <c r="E432" s="43">
        <v>43024.0</v>
      </c>
      <c r="F432" s="44" t="s">
        <v>154</v>
      </c>
      <c r="G432" s="30" t="s">
        <v>146</v>
      </c>
      <c r="H432" s="30" t="s">
        <v>145</v>
      </c>
      <c r="I432" s="30" t="s">
        <v>145</v>
      </c>
      <c r="J432" s="30" t="s">
        <v>145</v>
      </c>
      <c r="K432" s="30" t="s">
        <v>145</v>
      </c>
      <c r="L432" s="30" t="s">
        <v>145</v>
      </c>
      <c r="M432" s="30" t="s">
        <v>145</v>
      </c>
      <c r="N432" s="30" t="s">
        <v>145</v>
      </c>
      <c r="O432" s="30" t="s">
        <v>145</v>
      </c>
      <c r="P432" s="30" t="s">
        <v>145</v>
      </c>
      <c r="Q432" s="30" t="s">
        <v>146</v>
      </c>
    </row>
    <row r="433" hidden="1">
      <c r="A433" s="33" t="str">
        <f>hyperlink("https://issues.sierrawireless.com/browse/OEMPRI-6948", "OEMPRI-6948")</f>
        <v>OEMPRI-6948</v>
      </c>
      <c r="B433" s="30" t="s">
        <v>139</v>
      </c>
      <c r="C433" s="30" t="s">
        <v>148</v>
      </c>
      <c r="D433" s="30" t="s">
        <v>141</v>
      </c>
      <c r="E433" s="35">
        <v>43218.0</v>
      </c>
      <c r="F433" s="37" t="s">
        <v>150</v>
      </c>
      <c r="G433" s="30" t="s">
        <v>146</v>
      </c>
      <c r="H433" s="30" t="s">
        <v>146</v>
      </c>
      <c r="I433" s="30" t="s">
        <v>146</v>
      </c>
      <c r="J433" s="30" t="s">
        <v>1476</v>
      </c>
      <c r="K433" s="30" t="s">
        <v>152</v>
      </c>
      <c r="L433" s="30" t="s">
        <v>152</v>
      </c>
      <c r="M433" s="30" t="s">
        <v>2571</v>
      </c>
      <c r="N433" s="30" t="s">
        <v>145</v>
      </c>
      <c r="O433" s="30" t="s">
        <v>145</v>
      </c>
      <c r="P433" s="30" t="s">
        <v>145</v>
      </c>
      <c r="Q433" s="30" t="s">
        <v>213</v>
      </c>
    </row>
    <row r="434" hidden="1">
      <c r="A434" s="33" t="s">
        <v>2572</v>
      </c>
      <c r="B434" s="30" t="s">
        <v>139</v>
      </c>
      <c r="C434" s="30" t="s">
        <v>148</v>
      </c>
      <c r="D434" s="30" t="s">
        <v>337</v>
      </c>
      <c r="E434" s="43">
        <v>43021.0</v>
      </c>
      <c r="F434" s="44" t="s">
        <v>150</v>
      </c>
      <c r="G434" s="30" t="s">
        <v>171</v>
      </c>
      <c r="H434" s="30" t="s">
        <v>146</v>
      </c>
      <c r="I434" s="30" t="s">
        <v>146</v>
      </c>
      <c r="J434" s="30" t="s">
        <v>2575</v>
      </c>
      <c r="K434" s="30" t="s">
        <v>152</v>
      </c>
      <c r="L434" s="30" t="s">
        <v>152</v>
      </c>
      <c r="M434" s="30" t="s">
        <v>1943</v>
      </c>
      <c r="N434" s="30" t="s">
        <v>145</v>
      </c>
      <c r="O434" s="30" t="s">
        <v>145</v>
      </c>
      <c r="P434" s="30" t="s">
        <v>145</v>
      </c>
      <c r="Q434" s="30" t="s">
        <v>152</v>
      </c>
    </row>
    <row r="435" hidden="1">
      <c r="A435" s="33" t="s">
        <v>2576</v>
      </c>
      <c r="B435" s="30" t="s">
        <v>139</v>
      </c>
      <c r="C435" s="30" t="s">
        <v>155</v>
      </c>
      <c r="D435" s="30" t="s">
        <v>155</v>
      </c>
      <c r="E435" s="43">
        <v>43021.0</v>
      </c>
      <c r="F435" s="44" t="s">
        <v>150</v>
      </c>
      <c r="G435" s="30" t="s">
        <v>1288</v>
      </c>
      <c r="H435" s="30" t="s">
        <v>223</v>
      </c>
      <c r="I435" s="30" t="s">
        <v>144</v>
      </c>
      <c r="J435" s="30" t="s">
        <v>173</v>
      </c>
      <c r="K435" s="30" t="s">
        <v>743</v>
      </c>
      <c r="L435" s="30" t="s">
        <v>2578</v>
      </c>
      <c r="M435" s="30" t="s">
        <v>2579</v>
      </c>
      <c r="N435" s="30" t="s">
        <v>145</v>
      </c>
      <c r="O435" s="30" t="s">
        <v>145</v>
      </c>
      <c r="P435" s="30" t="s">
        <v>145</v>
      </c>
      <c r="Q435" s="30" t="s">
        <v>158</v>
      </c>
    </row>
    <row r="436" hidden="1">
      <c r="A436" s="33" t="s">
        <v>2581</v>
      </c>
      <c r="B436" s="30" t="s">
        <v>139</v>
      </c>
      <c r="C436" s="30" t="s">
        <v>140</v>
      </c>
      <c r="D436" s="30" t="s">
        <v>153</v>
      </c>
      <c r="E436" s="43">
        <v>43021.0</v>
      </c>
      <c r="F436" s="44" t="s">
        <v>154</v>
      </c>
      <c r="G436" s="30" t="s">
        <v>185</v>
      </c>
      <c r="H436" s="30" t="s">
        <v>145</v>
      </c>
      <c r="I436" s="30" t="s">
        <v>145</v>
      </c>
      <c r="J436" s="30" t="s">
        <v>145</v>
      </c>
      <c r="K436" s="30" t="s">
        <v>145</v>
      </c>
      <c r="L436" s="30" t="s">
        <v>145</v>
      </c>
      <c r="M436" s="30" t="s">
        <v>145</v>
      </c>
      <c r="N436" s="30" t="s">
        <v>145</v>
      </c>
      <c r="O436" s="30" t="s">
        <v>145</v>
      </c>
      <c r="P436" s="30" t="s">
        <v>145</v>
      </c>
      <c r="Q436" s="30" t="s">
        <v>146</v>
      </c>
    </row>
    <row r="437" hidden="1">
      <c r="A437" s="33" t="s">
        <v>2584</v>
      </c>
      <c r="B437" s="30" t="s">
        <v>139</v>
      </c>
      <c r="C437" s="30" t="s">
        <v>141</v>
      </c>
      <c r="D437" s="30" t="s">
        <v>141</v>
      </c>
      <c r="E437" s="43">
        <v>43020.0</v>
      </c>
      <c r="F437" s="44" t="s">
        <v>150</v>
      </c>
      <c r="G437" s="30" t="s">
        <v>2587</v>
      </c>
      <c r="H437" s="30" t="s">
        <v>180</v>
      </c>
      <c r="I437" s="30" t="s">
        <v>189</v>
      </c>
      <c r="J437" s="30" t="s">
        <v>152</v>
      </c>
      <c r="K437" s="30" t="s">
        <v>152</v>
      </c>
      <c r="L437" s="30" t="s">
        <v>532</v>
      </c>
      <c r="M437" s="30" t="s">
        <v>145</v>
      </c>
      <c r="N437" s="30" t="s">
        <v>145</v>
      </c>
      <c r="O437" s="30" t="s">
        <v>145</v>
      </c>
      <c r="P437" s="30" t="s">
        <v>145</v>
      </c>
      <c r="Q437" s="30" t="s">
        <v>180</v>
      </c>
    </row>
    <row r="438" hidden="1">
      <c r="A438" s="33" t="s">
        <v>2588</v>
      </c>
      <c r="B438" s="30" t="s">
        <v>139</v>
      </c>
      <c r="C438" s="30" t="s">
        <v>140</v>
      </c>
      <c r="D438" s="30" t="s">
        <v>140</v>
      </c>
      <c r="E438" s="43">
        <v>43020.0</v>
      </c>
      <c r="F438" s="44" t="s">
        <v>154</v>
      </c>
      <c r="G438" s="30" t="s">
        <v>146</v>
      </c>
      <c r="H438" s="30" t="s">
        <v>145</v>
      </c>
      <c r="I438" s="30" t="s">
        <v>145</v>
      </c>
      <c r="J438" s="30" t="s">
        <v>145</v>
      </c>
      <c r="K438" s="30" t="s">
        <v>145</v>
      </c>
      <c r="L438" s="30" t="s">
        <v>145</v>
      </c>
      <c r="M438" s="30" t="s">
        <v>145</v>
      </c>
      <c r="N438" s="30" t="s">
        <v>145</v>
      </c>
      <c r="O438" s="30" t="s">
        <v>145</v>
      </c>
      <c r="P438" s="30" t="s">
        <v>145</v>
      </c>
      <c r="Q438" s="30" t="s">
        <v>146</v>
      </c>
    </row>
    <row r="439" hidden="1">
      <c r="A439" s="33" t="s">
        <v>2592</v>
      </c>
      <c r="B439" s="30" t="s">
        <v>139</v>
      </c>
      <c r="C439" s="30" t="s">
        <v>141</v>
      </c>
      <c r="D439" s="30" t="s">
        <v>141</v>
      </c>
      <c r="E439" s="43">
        <v>43019.0</v>
      </c>
      <c r="F439" s="44" t="s">
        <v>150</v>
      </c>
      <c r="G439" s="30" t="s">
        <v>352</v>
      </c>
      <c r="H439" s="30" t="s">
        <v>146</v>
      </c>
      <c r="I439" s="30" t="s">
        <v>146</v>
      </c>
      <c r="J439" s="30" t="s">
        <v>278</v>
      </c>
      <c r="K439" s="30" t="s">
        <v>152</v>
      </c>
      <c r="L439" s="30" t="s">
        <v>152</v>
      </c>
      <c r="M439" s="30" t="s">
        <v>532</v>
      </c>
      <c r="N439" s="30" t="s">
        <v>145</v>
      </c>
      <c r="O439" s="30" t="s">
        <v>145</v>
      </c>
      <c r="P439" s="30" t="s">
        <v>145</v>
      </c>
      <c r="Q439" s="30" t="s">
        <v>180</v>
      </c>
    </row>
    <row r="440" hidden="1">
      <c r="A440" s="33" t="s">
        <v>2597</v>
      </c>
      <c r="B440" s="30" t="s">
        <v>139</v>
      </c>
      <c r="C440" s="30" t="s">
        <v>141</v>
      </c>
      <c r="D440" s="30" t="s">
        <v>141</v>
      </c>
      <c r="E440" s="43">
        <v>43019.0</v>
      </c>
      <c r="F440" s="44" t="s">
        <v>150</v>
      </c>
      <c r="G440" s="30" t="s">
        <v>540</v>
      </c>
      <c r="H440" s="30" t="s">
        <v>146</v>
      </c>
      <c r="I440" s="30" t="s">
        <v>146</v>
      </c>
      <c r="J440" s="30" t="s">
        <v>2130</v>
      </c>
      <c r="K440" s="30" t="s">
        <v>152</v>
      </c>
      <c r="L440" s="30" t="s">
        <v>152</v>
      </c>
      <c r="M440" s="30" t="s">
        <v>2602</v>
      </c>
      <c r="N440" s="30" t="s">
        <v>145</v>
      </c>
      <c r="O440" s="30" t="s">
        <v>145</v>
      </c>
      <c r="P440" s="30" t="s">
        <v>145</v>
      </c>
      <c r="Q440" s="30" t="s">
        <v>180</v>
      </c>
    </row>
    <row r="441" hidden="1">
      <c r="A441" s="33" t="s">
        <v>2604</v>
      </c>
      <c r="B441" s="30" t="s">
        <v>139</v>
      </c>
      <c r="C441" s="30" t="s">
        <v>141</v>
      </c>
      <c r="D441" s="30" t="s">
        <v>141</v>
      </c>
      <c r="E441" s="43">
        <v>43019.0</v>
      </c>
      <c r="F441" s="44" t="s">
        <v>150</v>
      </c>
      <c r="G441" s="30" t="s">
        <v>148</v>
      </c>
      <c r="H441" s="30" t="s">
        <v>199</v>
      </c>
      <c r="I441" s="30" t="s">
        <v>152</v>
      </c>
      <c r="J441" s="30" t="s">
        <v>152</v>
      </c>
      <c r="K441" s="30" t="s">
        <v>152</v>
      </c>
      <c r="L441" s="30" t="s">
        <v>152</v>
      </c>
      <c r="M441" s="30" t="s">
        <v>532</v>
      </c>
      <c r="N441" s="30" t="s">
        <v>145</v>
      </c>
      <c r="O441" s="30" t="s">
        <v>145</v>
      </c>
      <c r="P441" s="30" t="s">
        <v>145</v>
      </c>
      <c r="Q441" s="30" t="s">
        <v>180</v>
      </c>
    </row>
    <row r="442" hidden="1">
      <c r="A442" s="33" t="s">
        <v>2608</v>
      </c>
      <c r="B442" s="30" t="s">
        <v>139</v>
      </c>
      <c r="C442" s="30" t="s">
        <v>1116</v>
      </c>
      <c r="D442" s="30" t="s">
        <v>141</v>
      </c>
      <c r="E442" s="43">
        <v>43019.0</v>
      </c>
      <c r="F442" s="44" t="s">
        <v>143</v>
      </c>
      <c r="G442" s="30" t="s">
        <v>2609</v>
      </c>
      <c r="H442" s="30" t="s">
        <v>145</v>
      </c>
      <c r="I442" s="30" t="s">
        <v>145</v>
      </c>
      <c r="J442" s="30" t="s">
        <v>145</v>
      </c>
      <c r="K442" s="30" t="s">
        <v>145</v>
      </c>
      <c r="L442" s="30" t="s">
        <v>145</v>
      </c>
      <c r="M442" s="30" t="s">
        <v>145</v>
      </c>
      <c r="N442" s="30" t="s">
        <v>145</v>
      </c>
      <c r="O442" s="30" t="s">
        <v>145</v>
      </c>
      <c r="P442" s="30" t="s">
        <v>145</v>
      </c>
      <c r="Q442" s="30" t="s">
        <v>1124</v>
      </c>
    </row>
    <row r="443" hidden="1">
      <c r="A443" s="33" t="s">
        <v>2613</v>
      </c>
      <c r="B443" s="30" t="s">
        <v>139</v>
      </c>
      <c r="C443" s="30" t="s">
        <v>148</v>
      </c>
      <c r="D443" s="30" t="s">
        <v>148</v>
      </c>
      <c r="E443" s="43">
        <v>43019.0</v>
      </c>
      <c r="F443" s="44" t="s">
        <v>154</v>
      </c>
      <c r="G443" s="30" t="s">
        <v>197</v>
      </c>
      <c r="H443" s="30" t="s">
        <v>145</v>
      </c>
      <c r="I443" s="30" t="s">
        <v>145</v>
      </c>
      <c r="J443" s="30" t="s">
        <v>145</v>
      </c>
      <c r="K443" s="30" t="s">
        <v>145</v>
      </c>
      <c r="L443" s="30" t="s">
        <v>145</v>
      </c>
      <c r="M443" s="30" t="s">
        <v>145</v>
      </c>
      <c r="N443" s="30" t="s">
        <v>145</v>
      </c>
      <c r="O443" s="30" t="s">
        <v>145</v>
      </c>
      <c r="P443" s="30" t="s">
        <v>145</v>
      </c>
      <c r="Q443" s="30" t="s">
        <v>152</v>
      </c>
    </row>
    <row r="444" hidden="1">
      <c r="A444" s="33" t="s">
        <v>2619</v>
      </c>
      <c r="B444" s="30" t="s">
        <v>139</v>
      </c>
      <c r="C444" s="30" t="s">
        <v>153</v>
      </c>
      <c r="D444" s="30" t="s">
        <v>140</v>
      </c>
      <c r="E444" s="43">
        <v>43019.0</v>
      </c>
      <c r="F444" s="44" t="s">
        <v>154</v>
      </c>
      <c r="G444" s="30" t="s">
        <v>223</v>
      </c>
      <c r="H444" s="30" t="s">
        <v>145</v>
      </c>
      <c r="I444" s="30" t="s">
        <v>145</v>
      </c>
      <c r="J444" s="30" t="s">
        <v>145</v>
      </c>
      <c r="K444" s="30" t="s">
        <v>145</v>
      </c>
      <c r="L444" s="30" t="s">
        <v>145</v>
      </c>
      <c r="M444" s="30" t="s">
        <v>145</v>
      </c>
      <c r="N444" s="30" t="s">
        <v>145</v>
      </c>
      <c r="O444" s="30" t="s">
        <v>145</v>
      </c>
      <c r="P444" s="30" t="s">
        <v>145</v>
      </c>
      <c r="Q444" s="30" t="s">
        <v>223</v>
      </c>
    </row>
    <row r="445" hidden="1">
      <c r="A445" s="33" t="s">
        <v>2622</v>
      </c>
      <c r="B445" s="30" t="s">
        <v>139</v>
      </c>
      <c r="C445" s="30" t="s">
        <v>148</v>
      </c>
      <c r="D445" s="30" t="s">
        <v>140</v>
      </c>
      <c r="E445" s="43">
        <v>43019.0</v>
      </c>
      <c r="F445" s="44" t="s">
        <v>154</v>
      </c>
      <c r="G445" s="30" t="s">
        <v>152</v>
      </c>
      <c r="H445" s="30" t="s">
        <v>145</v>
      </c>
      <c r="I445" s="30" t="s">
        <v>145</v>
      </c>
      <c r="J445" s="30" t="s">
        <v>145</v>
      </c>
      <c r="K445" s="30" t="s">
        <v>145</v>
      </c>
      <c r="L445" s="30" t="s">
        <v>145</v>
      </c>
      <c r="M445" s="30" t="s">
        <v>145</v>
      </c>
      <c r="N445" s="30" t="s">
        <v>145</v>
      </c>
      <c r="O445" s="30" t="s">
        <v>145</v>
      </c>
      <c r="P445" s="30" t="s">
        <v>145</v>
      </c>
      <c r="Q445" s="30" t="s">
        <v>152</v>
      </c>
    </row>
    <row r="446" hidden="1">
      <c r="A446" s="33" t="s">
        <v>2626</v>
      </c>
      <c r="B446" s="30" t="s">
        <v>139</v>
      </c>
      <c r="C446" s="30" t="s">
        <v>2627</v>
      </c>
      <c r="D446" s="30" t="s">
        <v>2627</v>
      </c>
      <c r="E446" s="43">
        <v>43018.0</v>
      </c>
      <c r="F446" s="44" t="s">
        <v>143</v>
      </c>
      <c r="G446" s="30" t="s">
        <v>2629</v>
      </c>
      <c r="H446" s="30" t="s">
        <v>145</v>
      </c>
      <c r="I446" s="30" t="s">
        <v>145</v>
      </c>
      <c r="J446" s="30" t="s">
        <v>145</v>
      </c>
      <c r="K446" s="30" t="s">
        <v>145</v>
      </c>
      <c r="L446" s="30" t="s">
        <v>145</v>
      </c>
      <c r="M446" s="30" t="s">
        <v>145</v>
      </c>
      <c r="N446" s="30" t="s">
        <v>145</v>
      </c>
      <c r="O446" s="30" t="s">
        <v>145</v>
      </c>
      <c r="P446" s="30" t="s">
        <v>145</v>
      </c>
      <c r="Q446" s="30" t="s">
        <v>1898</v>
      </c>
    </row>
    <row r="447" hidden="1">
      <c r="A447" s="33" t="s">
        <v>2633</v>
      </c>
      <c r="B447" s="30" t="s">
        <v>139</v>
      </c>
      <c r="C447" s="30" t="s">
        <v>148</v>
      </c>
      <c r="D447" s="30" t="s">
        <v>148</v>
      </c>
      <c r="E447" s="43">
        <v>43018.0</v>
      </c>
      <c r="F447" s="44" t="s">
        <v>154</v>
      </c>
      <c r="G447" s="30" t="s">
        <v>1611</v>
      </c>
      <c r="H447" s="30" t="s">
        <v>145</v>
      </c>
      <c r="I447" s="30" t="s">
        <v>145</v>
      </c>
      <c r="J447" s="30" t="s">
        <v>145</v>
      </c>
      <c r="K447" s="30" t="s">
        <v>145</v>
      </c>
      <c r="L447" s="30" t="s">
        <v>145</v>
      </c>
      <c r="M447" s="30" t="s">
        <v>145</v>
      </c>
      <c r="N447" s="30" t="s">
        <v>145</v>
      </c>
      <c r="O447" s="30" t="s">
        <v>145</v>
      </c>
      <c r="P447" s="30" t="s">
        <v>145</v>
      </c>
      <c r="Q447" s="30" t="s">
        <v>152</v>
      </c>
    </row>
    <row r="448" hidden="1">
      <c r="A448" s="33" t="s">
        <v>2638</v>
      </c>
      <c r="B448" s="30" t="s">
        <v>139</v>
      </c>
      <c r="C448" s="30" t="s">
        <v>148</v>
      </c>
      <c r="D448" s="30" t="s">
        <v>148</v>
      </c>
      <c r="E448" s="43">
        <v>43018.0</v>
      </c>
      <c r="F448" s="44" t="s">
        <v>154</v>
      </c>
      <c r="G448" s="30" t="s">
        <v>1611</v>
      </c>
      <c r="H448" s="30" t="s">
        <v>145</v>
      </c>
      <c r="I448" s="30" t="s">
        <v>145</v>
      </c>
      <c r="J448" s="30" t="s">
        <v>145</v>
      </c>
      <c r="K448" s="30" t="s">
        <v>145</v>
      </c>
      <c r="L448" s="30" t="s">
        <v>145</v>
      </c>
      <c r="M448" s="30" t="s">
        <v>145</v>
      </c>
      <c r="N448" s="30" t="s">
        <v>145</v>
      </c>
      <c r="O448" s="30" t="s">
        <v>145</v>
      </c>
      <c r="P448" s="30" t="s">
        <v>145</v>
      </c>
      <c r="Q448" s="30" t="s">
        <v>152</v>
      </c>
    </row>
    <row r="449" hidden="1">
      <c r="A449" s="33" t="s">
        <v>2643</v>
      </c>
      <c r="B449" s="30" t="s">
        <v>139</v>
      </c>
      <c r="C449" s="30" t="s">
        <v>148</v>
      </c>
      <c r="D449" s="30" t="s">
        <v>148</v>
      </c>
      <c r="E449" s="43">
        <v>43018.0</v>
      </c>
      <c r="F449" s="44" t="s">
        <v>154</v>
      </c>
      <c r="G449" s="30" t="s">
        <v>1611</v>
      </c>
      <c r="H449" s="30" t="s">
        <v>145</v>
      </c>
      <c r="I449" s="30" t="s">
        <v>145</v>
      </c>
      <c r="J449" s="30" t="s">
        <v>145</v>
      </c>
      <c r="K449" s="30" t="s">
        <v>145</v>
      </c>
      <c r="L449" s="30" t="s">
        <v>145</v>
      </c>
      <c r="M449" s="30" t="s">
        <v>145</v>
      </c>
      <c r="N449" s="30" t="s">
        <v>145</v>
      </c>
      <c r="O449" s="30" t="s">
        <v>145</v>
      </c>
      <c r="P449" s="30" t="s">
        <v>145</v>
      </c>
      <c r="Q449" s="30" t="s">
        <v>152</v>
      </c>
    </row>
    <row r="450" hidden="1">
      <c r="A450" s="33" t="s">
        <v>2647</v>
      </c>
      <c r="B450" s="30" t="s">
        <v>139</v>
      </c>
      <c r="C450" s="30" t="s">
        <v>140</v>
      </c>
      <c r="D450" s="30" t="s">
        <v>148</v>
      </c>
      <c r="E450" s="43">
        <v>43018.0</v>
      </c>
      <c r="F450" s="44" t="s">
        <v>154</v>
      </c>
      <c r="G450" s="30" t="s">
        <v>146</v>
      </c>
      <c r="H450" s="30" t="s">
        <v>145</v>
      </c>
      <c r="I450" s="30" t="s">
        <v>145</v>
      </c>
      <c r="J450" s="30" t="s">
        <v>145</v>
      </c>
      <c r="K450" s="30" t="s">
        <v>145</v>
      </c>
      <c r="L450" s="30" t="s">
        <v>145</v>
      </c>
      <c r="M450" s="30" t="s">
        <v>145</v>
      </c>
      <c r="N450" s="30" t="s">
        <v>145</v>
      </c>
      <c r="O450" s="30" t="s">
        <v>145</v>
      </c>
      <c r="P450" s="30" t="s">
        <v>145</v>
      </c>
      <c r="Q450" s="30" t="s">
        <v>146</v>
      </c>
    </row>
    <row r="451" hidden="1">
      <c r="A451" s="33" t="str">
        <f>hyperlink("https://issues.sierrawireless.com/browse/OEMPRI-7776", "OEMPRI-7776")</f>
        <v>OEMPRI-7776</v>
      </c>
      <c r="B451" s="30" t="s">
        <v>139</v>
      </c>
      <c r="C451" s="30" t="s">
        <v>141</v>
      </c>
      <c r="D451" s="30" t="s">
        <v>141</v>
      </c>
      <c r="E451" s="35">
        <v>43300.0</v>
      </c>
      <c r="F451" s="37" t="s">
        <v>150</v>
      </c>
      <c r="G451" s="30" t="s">
        <v>986</v>
      </c>
      <c r="H451" s="30" t="s">
        <v>145</v>
      </c>
      <c r="I451" s="30" t="s">
        <v>145</v>
      </c>
      <c r="J451" s="30" t="s">
        <v>145</v>
      </c>
      <c r="K451" s="30" t="s">
        <v>145</v>
      </c>
      <c r="L451" s="30" t="s">
        <v>145</v>
      </c>
      <c r="M451" s="30" t="s">
        <v>145</v>
      </c>
      <c r="N451" s="30" t="s">
        <v>145</v>
      </c>
      <c r="O451" s="30" t="s">
        <v>145</v>
      </c>
      <c r="P451" s="30" t="s">
        <v>145</v>
      </c>
      <c r="Q451" s="30" t="s">
        <v>180</v>
      </c>
    </row>
    <row r="452" hidden="1">
      <c r="A452" s="33" t="s">
        <v>2657</v>
      </c>
      <c r="B452" s="30" t="s">
        <v>139</v>
      </c>
      <c r="C452" s="30" t="s">
        <v>141</v>
      </c>
      <c r="D452" s="30" t="s">
        <v>141</v>
      </c>
      <c r="E452" s="35">
        <v>43017.0</v>
      </c>
      <c r="F452" s="37" t="s">
        <v>150</v>
      </c>
      <c r="G452" s="30" t="s">
        <v>163</v>
      </c>
      <c r="H452" s="30" t="s">
        <v>146</v>
      </c>
      <c r="I452" s="30" t="s">
        <v>146</v>
      </c>
      <c r="J452" s="30" t="s">
        <v>278</v>
      </c>
      <c r="K452" s="30" t="s">
        <v>152</v>
      </c>
      <c r="L452" s="30" t="s">
        <v>152</v>
      </c>
      <c r="M452" s="30" t="s">
        <v>367</v>
      </c>
      <c r="N452" s="30" t="s">
        <v>145</v>
      </c>
      <c r="O452" s="30" t="s">
        <v>145</v>
      </c>
      <c r="P452" s="30" t="s">
        <v>145</v>
      </c>
      <c r="Q452" s="30" t="s">
        <v>180</v>
      </c>
    </row>
    <row r="453" hidden="1">
      <c r="A453" s="33" t="s">
        <v>2662</v>
      </c>
      <c r="B453" s="30" t="s">
        <v>139</v>
      </c>
      <c r="C453" s="30" t="s">
        <v>140</v>
      </c>
      <c r="D453" s="30" t="s">
        <v>337</v>
      </c>
      <c r="E453" s="35">
        <v>43017.0</v>
      </c>
      <c r="F453" s="37" t="s">
        <v>154</v>
      </c>
      <c r="G453" s="30" t="s">
        <v>626</v>
      </c>
      <c r="H453" s="30" t="s">
        <v>145</v>
      </c>
      <c r="I453" s="30" t="s">
        <v>145</v>
      </c>
      <c r="J453" s="30" t="s">
        <v>145</v>
      </c>
      <c r="K453" s="30" t="s">
        <v>145</v>
      </c>
      <c r="L453" s="30" t="s">
        <v>145</v>
      </c>
      <c r="M453" s="30" t="s">
        <v>145</v>
      </c>
      <c r="N453" s="30" t="s">
        <v>145</v>
      </c>
      <c r="O453" s="30" t="s">
        <v>145</v>
      </c>
      <c r="P453" s="30" t="s">
        <v>145</v>
      </c>
      <c r="Q453" s="30" t="s">
        <v>146</v>
      </c>
    </row>
    <row r="454" hidden="1">
      <c r="A454" s="33" t="str">
        <f>hyperlink("https://issues.sierrawireless.com/browse/SZAM-129", "SZAM-129")</f>
        <v>SZAM-129</v>
      </c>
      <c r="B454" s="30" t="s">
        <v>252</v>
      </c>
      <c r="C454" s="30" t="s">
        <v>140</v>
      </c>
      <c r="D454" s="30" t="s">
        <v>2668</v>
      </c>
      <c r="E454" s="35">
        <v>43077.0</v>
      </c>
      <c r="F454" s="37" t="s">
        <v>162</v>
      </c>
      <c r="G454" s="30" t="s">
        <v>2670</v>
      </c>
      <c r="H454" s="30" t="s">
        <v>145</v>
      </c>
      <c r="I454" s="30" t="s">
        <v>145</v>
      </c>
      <c r="J454" s="30" t="s">
        <v>145</v>
      </c>
      <c r="K454" s="30" t="s">
        <v>145</v>
      </c>
      <c r="L454" s="30" t="s">
        <v>145</v>
      </c>
      <c r="M454" s="30" t="s">
        <v>145</v>
      </c>
      <c r="N454" s="30" t="s">
        <v>145</v>
      </c>
      <c r="O454" s="30" t="s">
        <v>145</v>
      </c>
      <c r="P454" s="30" t="s">
        <v>145</v>
      </c>
      <c r="Q454" s="30" t="s">
        <v>166</v>
      </c>
    </row>
    <row r="455" hidden="1">
      <c r="A455" s="33" t="s">
        <v>2672</v>
      </c>
      <c r="B455" s="30" t="s">
        <v>139</v>
      </c>
      <c r="C455" s="30" t="s">
        <v>148</v>
      </c>
      <c r="D455" s="30" t="s">
        <v>216</v>
      </c>
      <c r="E455" s="35">
        <v>43008.0</v>
      </c>
      <c r="F455" s="37" t="s">
        <v>150</v>
      </c>
      <c r="G455" s="30" t="s">
        <v>2674</v>
      </c>
      <c r="H455" s="30" t="s">
        <v>223</v>
      </c>
      <c r="I455" s="30" t="s">
        <v>171</v>
      </c>
      <c r="J455" s="30" t="s">
        <v>146</v>
      </c>
      <c r="K455" s="30" t="s">
        <v>146</v>
      </c>
      <c r="L455" s="30" t="s">
        <v>146</v>
      </c>
      <c r="M455" s="30" t="s">
        <v>152</v>
      </c>
      <c r="N455" s="2" t="s">
        <v>152</v>
      </c>
      <c r="O455" s="30" t="s">
        <v>152</v>
      </c>
      <c r="P455" s="30" t="s">
        <v>152</v>
      </c>
      <c r="Q455" s="30" t="s">
        <v>152</v>
      </c>
    </row>
    <row r="456" hidden="1">
      <c r="A456" s="33" t="s">
        <v>2675</v>
      </c>
      <c r="B456" s="30" t="s">
        <v>139</v>
      </c>
      <c r="C456" s="30" t="s">
        <v>148</v>
      </c>
      <c r="D456" s="30" t="s">
        <v>216</v>
      </c>
      <c r="E456" s="35">
        <v>43008.0</v>
      </c>
      <c r="F456" s="37" t="s">
        <v>150</v>
      </c>
      <c r="G456" s="30" t="s">
        <v>2674</v>
      </c>
      <c r="H456" s="30" t="s">
        <v>223</v>
      </c>
      <c r="I456" s="30" t="s">
        <v>144</v>
      </c>
      <c r="J456" s="30" t="s">
        <v>146</v>
      </c>
      <c r="K456" s="30" t="s">
        <v>146</v>
      </c>
      <c r="L456" s="30" t="s">
        <v>146</v>
      </c>
      <c r="M456" s="30" t="s">
        <v>152</v>
      </c>
      <c r="N456" s="2" t="s">
        <v>152</v>
      </c>
      <c r="O456" s="30" t="s">
        <v>368</v>
      </c>
      <c r="P456" s="30" t="s">
        <v>152</v>
      </c>
      <c r="Q456" s="30" t="s">
        <v>152</v>
      </c>
    </row>
    <row r="457" hidden="1">
      <c r="A457" s="33" t="s">
        <v>2679</v>
      </c>
      <c r="B457" s="30" t="s">
        <v>139</v>
      </c>
      <c r="C457" s="30" t="s">
        <v>148</v>
      </c>
      <c r="D457" s="30" t="s">
        <v>216</v>
      </c>
      <c r="E457" s="35">
        <v>43008.0</v>
      </c>
      <c r="F457" s="37" t="s">
        <v>150</v>
      </c>
      <c r="G457" s="30" t="s">
        <v>2682</v>
      </c>
      <c r="H457" s="30" t="s">
        <v>223</v>
      </c>
      <c r="I457" s="30" t="s">
        <v>171</v>
      </c>
      <c r="J457" s="30" t="s">
        <v>146</v>
      </c>
      <c r="K457" s="30" t="s">
        <v>146</v>
      </c>
      <c r="L457" s="30" t="s">
        <v>146</v>
      </c>
      <c r="M457" s="30" t="s">
        <v>152</v>
      </c>
      <c r="N457" s="2" t="s">
        <v>152</v>
      </c>
      <c r="O457" s="30" t="s">
        <v>152</v>
      </c>
      <c r="P457" s="30" t="s">
        <v>152</v>
      </c>
      <c r="Q457" s="30" t="s">
        <v>152</v>
      </c>
    </row>
    <row r="458" hidden="1">
      <c r="A458" s="33" t="s">
        <v>2685</v>
      </c>
      <c r="B458" s="30" t="s">
        <v>139</v>
      </c>
      <c r="C458" s="30" t="s">
        <v>148</v>
      </c>
      <c r="D458" s="30" t="s">
        <v>216</v>
      </c>
      <c r="E458" s="35">
        <v>43008.0</v>
      </c>
      <c r="F458" s="37" t="s">
        <v>150</v>
      </c>
      <c r="G458" s="30" t="s">
        <v>2682</v>
      </c>
      <c r="H458" s="30" t="s">
        <v>223</v>
      </c>
      <c r="I458" s="30" t="s">
        <v>171</v>
      </c>
      <c r="J458" s="30" t="s">
        <v>146</v>
      </c>
      <c r="K458" s="30" t="s">
        <v>146</v>
      </c>
      <c r="L458" s="30" t="s">
        <v>146</v>
      </c>
      <c r="M458" s="30" t="s">
        <v>152</v>
      </c>
      <c r="N458" s="2" t="s">
        <v>152</v>
      </c>
      <c r="O458" s="30" t="s">
        <v>152</v>
      </c>
      <c r="P458" s="30" t="s">
        <v>152</v>
      </c>
      <c r="Q458" s="30" t="s">
        <v>152</v>
      </c>
    </row>
    <row r="459" hidden="1">
      <c r="A459" s="33" t="s">
        <v>2690</v>
      </c>
      <c r="B459" s="30" t="s">
        <v>139</v>
      </c>
      <c r="C459" s="30" t="s">
        <v>148</v>
      </c>
      <c r="D459" s="30" t="s">
        <v>216</v>
      </c>
      <c r="E459" s="35">
        <v>43008.0</v>
      </c>
      <c r="F459" s="37" t="s">
        <v>150</v>
      </c>
      <c r="G459" s="30" t="s">
        <v>2682</v>
      </c>
      <c r="H459" s="30" t="s">
        <v>223</v>
      </c>
      <c r="I459" s="30" t="s">
        <v>171</v>
      </c>
      <c r="J459" s="30" t="s">
        <v>146</v>
      </c>
      <c r="K459" s="30" t="s">
        <v>146</v>
      </c>
      <c r="L459" s="30" t="s">
        <v>146</v>
      </c>
      <c r="M459" s="30" t="s">
        <v>152</v>
      </c>
      <c r="N459" s="2" t="s">
        <v>152</v>
      </c>
      <c r="O459" s="30" t="s">
        <v>368</v>
      </c>
      <c r="P459" s="30" t="s">
        <v>152</v>
      </c>
      <c r="Q459" s="30" t="s">
        <v>152</v>
      </c>
    </row>
    <row r="460" hidden="1">
      <c r="A460" s="33" t="s">
        <v>2694</v>
      </c>
      <c r="B460" s="30" t="s">
        <v>139</v>
      </c>
      <c r="C460" s="30" t="s">
        <v>148</v>
      </c>
      <c r="D460" s="30" t="s">
        <v>216</v>
      </c>
      <c r="E460" s="35">
        <v>43008.0</v>
      </c>
      <c r="F460" s="37" t="s">
        <v>150</v>
      </c>
      <c r="G460" s="30" t="s">
        <v>340</v>
      </c>
      <c r="H460" s="30" t="s">
        <v>152</v>
      </c>
      <c r="I460" s="30" t="s">
        <v>556</v>
      </c>
      <c r="J460" s="30" t="s">
        <v>152</v>
      </c>
      <c r="K460" s="30" t="s">
        <v>156</v>
      </c>
      <c r="L460" s="30" t="s">
        <v>152</v>
      </c>
      <c r="M460" s="30" t="s">
        <v>152</v>
      </c>
      <c r="N460" s="2" t="s">
        <v>152</v>
      </c>
      <c r="O460" s="30" t="s">
        <v>152</v>
      </c>
      <c r="P460" s="30" t="s">
        <v>152</v>
      </c>
      <c r="Q460" s="30" t="s">
        <v>152</v>
      </c>
    </row>
    <row r="461" hidden="1">
      <c r="A461" s="33" t="s">
        <v>2698</v>
      </c>
      <c r="B461" s="30" t="s">
        <v>139</v>
      </c>
      <c r="C461" s="30" t="s">
        <v>148</v>
      </c>
      <c r="D461" s="30" t="s">
        <v>216</v>
      </c>
      <c r="E461" s="35">
        <v>43008.0</v>
      </c>
      <c r="F461" s="37" t="s">
        <v>150</v>
      </c>
      <c r="G461" s="30" t="s">
        <v>2175</v>
      </c>
      <c r="H461" s="30" t="s">
        <v>223</v>
      </c>
      <c r="I461" s="30" t="s">
        <v>223</v>
      </c>
      <c r="J461" s="30" t="s">
        <v>146</v>
      </c>
      <c r="K461" s="30" t="s">
        <v>146</v>
      </c>
      <c r="L461" s="30" t="s">
        <v>146</v>
      </c>
      <c r="M461" s="30" t="s">
        <v>152</v>
      </c>
      <c r="N461" s="2" t="s">
        <v>213</v>
      </c>
      <c r="O461" s="30" t="s">
        <v>152</v>
      </c>
      <c r="P461" s="30" t="s">
        <v>152</v>
      </c>
      <c r="Q461" s="30" t="s">
        <v>152</v>
      </c>
    </row>
    <row r="462" hidden="1">
      <c r="A462" s="33" t="s">
        <v>2703</v>
      </c>
      <c r="B462" s="30" t="s">
        <v>139</v>
      </c>
      <c r="C462" s="30" t="s">
        <v>148</v>
      </c>
      <c r="D462" s="30" t="s">
        <v>216</v>
      </c>
      <c r="E462" s="35">
        <v>43008.0</v>
      </c>
      <c r="F462" s="37" t="s">
        <v>150</v>
      </c>
      <c r="G462" s="30" t="s">
        <v>340</v>
      </c>
      <c r="H462" s="30" t="s">
        <v>152</v>
      </c>
      <c r="I462" s="30" t="s">
        <v>213</v>
      </c>
      <c r="J462" s="30" t="s">
        <v>152</v>
      </c>
      <c r="K462" s="30" t="s">
        <v>199</v>
      </c>
      <c r="L462" s="30" t="s">
        <v>152</v>
      </c>
      <c r="M462" s="30" t="s">
        <v>152</v>
      </c>
      <c r="N462" s="2" t="s">
        <v>213</v>
      </c>
      <c r="O462" s="30" t="s">
        <v>213</v>
      </c>
      <c r="P462" s="30" t="s">
        <v>152</v>
      </c>
      <c r="Q462" s="30" t="s">
        <v>152</v>
      </c>
    </row>
    <row r="463" hidden="1">
      <c r="A463" s="33" t="s">
        <v>2709</v>
      </c>
      <c r="B463" s="30" t="s">
        <v>139</v>
      </c>
      <c r="C463" s="30" t="s">
        <v>148</v>
      </c>
      <c r="D463" s="30" t="s">
        <v>216</v>
      </c>
      <c r="E463" s="35">
        <v>43008.0</v>
      </c>
      <c r="F463" s="37" t="s">
        <v>150</v>
      </c>
      <c r="G463" s="30" t="s">
        <v>2175</v>
      </c>
      <c r="H463" s="30" t="s">
        <v>223</v>
      </c>
      <c r="I463" s="30" t="s">
        <v>146</v>
      </c>
      <c r="J463" s="30" t="s">
        <v>163</v>
      </c>
      <c r="K463" s="30" t="s">
        <v>146</v>
      </c>
      <c r="L463" s="30" t="s">
        <v>146</v>
      </c>
      <c r="M463" s="30" t="s">
        <v>152</v>
      </c>
      <c r="N463" s="2" t="s">
        <v>152</v>
      </c>
      <c r="O463" s="30" t="s">
        <v>152</v>
      </c>
      <c r="P463" s="30" t="s">
        <v>152</v>
      </c>
      <c r="Q463" s="30" t="s">
        <v>152</v>
      </c>
    </row>
    <row r="464" hidden="1">
      <c r="A464" s="33" t="s">
        <v>2715</v>
      </c>
      <c r="B464" s="30" t="s">
        <v>139</v>
      </c>
      <c r="C464" s="30" t="s">
        <v>148</v>
      </c>
      <c r="D464" s="30" t="s">
        <v>216</v>
      </c>
      <c r="E464" s="35">
        <v>43008.0</v>
      </c>
      <c r="F464" s="37" t="s">
        <v>150</v>
      </c>
      <c r="G464" s="30" t="s">
        <v>340</v>
      </c>
      <c r="H464" s="30" t="s">
        <v>152</v>
      </c>
      <c r="I464" s="30" t="s">
        <v>556</v>
      </c>
      <c r="J464" s="30" t="s">
        <v>152</v>
      </c>
      <c r="K464" s="30" t="s">
        <v>156</v>
      </c>
      <c r="L464" s="30" t="s">
        <v>152</v>
      </c>
      <c r="M464" s="30" t="s">
        <v>152</v>
      </c>
      <c r="N464" s="2" t="s">
        <v>152</v>
      </c>
      <c r="O464" s="30" t="s">
        <v>152</v>
      </c>
      <c r="P464" s="30" t="s">
        <v>152</v>
      </c>
      <c r="Q464" s="30" t="s">
        <v>152</v>
      </c>
    </row>
    <row r="465" hidden="1">
      <c r="A465" s="33" t="s">
        <v>2720</v>
      </c>
      <c r="B465" s="30" t="s">
        <v>139</v>
      </c>
      <c r="C465" s="30" t="s">
        <v>148</v>
      </c>
      <c r="D465" s="30" t="s">
        <v>2723</v>
      </c>
      <c r="E465" s="35">
        <v>43008.0</v>
      </c>
      <c r="F465" s="37" t="s">
        <v>154</v>
      </c>
      <c r="G465" s="30" t="s">
        <v>2321</v>
      </c>
      <c r="H465" s="30" t="s">
        <v>145</v>
      </c>
      <c r="I465" s="30" t="s">
        <v>145</v>
      </c>
      <c r="J465" s="30" t="s">
        <v>145</v>
      </c>
      <c r="K465" s="30" t="s">
        <v>145</v>
      </c>
      <c r="L465" s="30" t="s">
        <v>145</v>
      </c>
      <c r="M465" s="30" t="s">
        <v>145</v>
      </c>
      <c r="N465" s="30" t="s">
        <v>145</v>
      </c>
      <c r="O465" s="30" t="s">
        <v>145</v>
      </c>
      <c r="P465" s="30" t="s">
        <v>145</v>
      </c>
      <c r="Q465" s="30" t="s">
        <v>152</v>
      </c>
    </row>
    <row r="466" hidden="1">
      <c r="A466" s="33" t="s">
        <v>2729</v>
      </c>
      <c r="B466" s="30" t="s">
        <v>139</v>
      </c>
      <c r="C466" s="30" t="s">
        <v>148</v>
      </c>
      <c r="D466" s="30" t="s">
        <v>2723</v>
      </c>
      <c r="E466" s="35">
        <v>43008.0</v>
      </c>
      <c r="F466" s="37" t="s">
        <v>150</v>
      </c>
      <c r="G466" s="30" t="s">
        <v>232</v>
      </c>
      <c r="H466" s="30" t="s">
        <v>152</v>
      </c>
      <c r="I466" s="30" t="s">
        <v>368</v>
      </c>
      <c r="J466" s="30" t="s">
        <v>152</v>
      </c>
      <c r="K466" s="30" t="s">
        <v>213</v>
      </c>
      <c r="L466" s="30" t="s">
        <v>152</v>
      </c>
      <c r="M466" s="30" t="s">
        <v>152</v>
      </c>
      <c r="N466" s="2" t="s">
        <v>152</v>
      </c>
      <c r="O466" s="30" t="s">
        <v>152</v>
      </c>
      <c r="P466" s="30" t="s">
        <v>152</v>
      </c>
      <c r="Q466" s="30" t="s">
        <v>152</v>
      </c>
    </row>
    <row r="467" hidden="1">
      <c r="A467" s="33" t="s">
        <v>2732</v>
      </c>
      <c r="B467" s="30" t="s">
        <v>139</v>
      </c>
      <c r="C467" s="30" t="s">
        <v>453</v>
      </c>
      <c r="D467" s="30" t="s">
        <v>140</v>
      </c>
      <c r="E467" s="35">
        <v>43008.0</v>
      </c>
      <c r="F467" s="37" t="s">
        <v>154</v>
      </c>
      <c r="G467" s="30" t="s">
        <v>438</v>
      </c>
      <c r="H467" s="30" t="s">
        <v>145</v>
      </c>
      <c r="I467" s="30" t="s">
        <v>145</v>
      </c>
      <c r="J467" s="30" t="s">
        <v>145</v>
      </c>
      <c r="K467" s="30" t="s">
        <v>145</v>
      </c>
      <c r="L467" s="30" t="s">
        <v>145</v>
      </c>
      <c r="M467" s="30" t="s">
        <v>145</v>
      </c>
      <c r="N467" s="30" t="s">
        <v>145</v>
      </c>
      <c r="O467" s="30" t="s">
        <v>145</v>
      </c>
      <c r="P467" s="30" t="s">
        <v>145</v>
      </c>
      <c r="Q467" s="30" t="s">
        <v>146</v>
      </c>
    </row>
    <row r="468" hidden="1">
      <c r="A468" s="33" t="s">
        <v>2737</v>
      </c>
      <c r="B468" s="30" t="s">
        <v>139</v>
      </c>
      <c r="C468" s="30" t="s">
        <v>1116</v>
      </c>
      <c r="D468" s="30" t="s">
        <v>141</v>
      </c>
      <c r="E468" s="35">
        <v>43007.0</v>
      </c>
      <c r="F468" s="37" t="s">
        <v>143</v>
      </c>
      <c r="G468" s="30" t="s">
        <v>2739</v>
      </c>
      <c r="H468" s="30" t="s">
        <v>145</v>
      </c>
      <c r="I468" s="30" t="s">
        <v>145</v>
      </c>
      <c r="J468" s="30" t="s">
        <v>145</v>
      </c>
      <c r="K468" s="30" t="s">
        <v>145</v>
      </c>
      <c r="L468" s="30" t="s">
        <v>145</v>
      </c>
      <c r="M468" s="30" t="s">
        <v>145</v>
      </c>
      <c r="N468" s="30" t="s">
        <v>145</v>
      </c>
      <c r="O468" s="30" t="s">
        <v>145</v>
      </c>
      <c r="P468" s="30" t="s">
        <v>145</v>
      </c>
      <c r="Q468" s="30" t="s">
        <v>1124</v>
      </c>
    </row>
    <row r="469" hidden="1">
      <c r="A469" s="33" t="s">
        <v>2743</v>
      </c>
      <c r="B469" s="30" t="s">
        <v>139</v>
      </c>
      <c r="C469" s="30" t="s">
        <v>148</v>
      </c>
      <c r="D469" s="30" t="s">
        <v>148</v>
      </c>
      <c r="E469" s="35">
        <v>43007.0</v>
      </c>
      <c r="F469" s="37" t="s">
        <v>154</v>
      </c>
      <c r="G469" s="30" t="s">
        <v>1459</v>
      </c>
      <c r="H469" s="30" t="s">
        <v>145</v>
      </c>
      <c r="I469" s="30" t="s">
        <v>145</v>
      </c>
      <c r="J469" s="30" t="s">
        <v>145</v>
      </c>
      <c r="K469" s="30" t="s">
        <v>145</v>
      </c>
      <c r="L469" s="30" t="s">
        <v>145</v>
      </c>
      <c r="M469" s="30" t="s">
        <v>145</v>
      </c>
      <c r="N469" s="30" t="s">
        <v>145</v>
      </c>
      <c r="O469" s="30" t="s">
        <v>145</v>
      </c>
      <c r="P469" s="30" t="s">
        <v>145</v>
      </c>
      <c r="Q469" s="30" t="s">
        <v>152</v>
      </c>
    </row>
    <row r="470" hidden="1">
      <c r="A470" s="33" t="s">
        <v>2749</v>
      </c>
      <c r="B470" s="30" t="s">
        <v>139</v>
      </c>
      <c r="C470" s="30" t="s">
        <v>453</v>
      </c>
      <c r="D470" s="30" t="s">
        <v>148</v>
      </c>
      <c r="E470" s="35">
        <v>43007.0</v>
      </c>
      <c r="F470" s="37" t="s">
        <v>154</v>
      </c>
      <c r="G470" s="30" t="s">
        <v>152</v>
      </c>
      <c r="H470" s="30" t="s">
        <v>145</v>
      </c>
      <c r="I470" s="30" t="s">
        <v>145</v>
      </c>
      <c r="J470" s="30" t="s">
        <v>145</v>
      </c>
      <c r="K470" s="30" t="s">
        <v>145</v>
      </c>
      <c r="L470" s="30" t="s">
        <v>145</v>
      </c>
      <c r="M470" s="30" t="s">
        <v>145</v>
      </c>
      <c r="N470" s="30" t="s">
        <v>145</v>
      </c>
      <c r="O470" s="30" t="s">
        <v>145</v>
      </c>
      <c r="P470" s="30" t="s">
        <v>145</v>
      </c>
      <c r="Q470" s="30" t="s">
        <v>152</v>
      </c>
    </row>
    <row r="471" hidden="1">
      <c r="A471" s="33" t="s">
        <v>2754</v>
      </c>
      <c r="B471" s="30" t="s">
        <v>139</v>
      </c>
      <c r="C471" s="30" t="s">
        <v>453</v>
      </c>
      <c r="D471" s="30" t="s">
        <v>148</v>
      </c>
      <c r="E471" s="35">
        <v>43007.0</v>
      </c>
      <c r="F471" s="37" t="s">
        <v>154</v>
      </c>
      <c r="G471" s="30" t="s">
        <v>457</v>
      </c>
      <c r="H471" s="30" t="s">
        <v>145</v>
      </c>
      <c r="I471" s="30" t="s">
        <v>145</v>
      </c>
      <c r="J471" s="30" t="s">
        <v>145</v>
      </c>
      <c r="K471" s="30" t="s">
        <v>145</v>
      </c>
      <c r="L471" s="30" t="s">
        <v>145</v>
      </c>
      <c r="M471" s="30" t="s">
        <v>145</v>
      </c>
      <c r="N471" s="30" t="s">
        <v>145</v>
      </c>
      <c r="O471" s="30" t="s">
        <v>145</v>
      </c>
      <c r="P471" s="30" t="s">
        <v>145</v>
      </c>
      <c r="Q471" s="30" t="s">
        <v>457</v>
      </c>
    </row>
    <row r="472" hidden="1">
      <c r="A472" s="33" t="s">
        <v>2757</v>
      </c>
      <c r="B472" s="30" t="s">
        <v>139</v>
      </c>
      <c r="C472" s="30" t="s">
        <v>148</v>
      </c>
      <c r="D472" s="30" t="s">
        <v>148</v>
      </c>
      <c r="E472" s="35">
        <v>43006.0</v>
      </c>
      <c r="F472" s="37" t="s">
        <v>154</v>
      </c>
      <c r="G472" s="30" t="s">
        <v>1459</v>
      </c>
      <c r="H472" s="30" t="s">
        <v>145</v>
      </c>
      <c r="I472" s="30" t="s">
        <v>145</v>
      </c>
      <c r="J472" s="30" t="s">
        <v>145</v>
      </c>
      <c r="K472" s="30" t="s">
        <v>145</v>
      </c>
      <c r="L472" s="30" t="s">
        <v>145</v>
      </c>
      <c r="M472" s="30" t="s">
        <v>145</v>
      </c>
      <c r="N472" s="30" t="s">
        <v>145</v>
      </c>
      <c r="O472" s="30" t="s">
        <v>145</v>
      </c>
      <c r="P472" s="30" t="s">
        <v>145</v>
      </c>
      <c r="Q472" s="30" t="s">
        <v>152</v>
      </c>
    </row>
    <row r="473" hidden="1">
      <c r="A473" s="33" t="s">
        <v>2763</v>
      </c>
      <c r="B473" s="30" t="s">
        <v>139</v>
      </c>
      <c r="C473" s="30" t="s">
        <v>140</v>
      </c>
      <c r="D473" s="30" t="s">
        <v>216</v>
      </c>
      <c r="E473" s="35">
        <v>43005.0</v>
      </c>
      <c r="F473" s="37" t="s">
        <v>184</v>
      </c>
      <c r="G473" s="30" t="s">
        <v>2767</v>
      </c>
      <c r="H473" s="30" t="s">
        <v>145</v>
      </c>
      <c r="I473" s="30" t="s">
        <v>145</v>
      </c>
      <c r="J473" s="30" t="s">
        <v>145</v>
      </c>
      <c r="K473" s="30" t="s">
        <v>145</v>
      </c>
      <c r="L473" s="30" t="s">
        <v>145</v>
      </c>
      <c r="M473" s="30" t="s">
        <v>145</v>
      </c>
      <c r="N473" s="30" t="s">
        <v>145</v>
      </c>
      <c r="O473" s="30" t="s">
        <v>145</v>
      </c>
      <c r="P473" s="30" t="s">
        <v>145</v>
      </c>
      <c r="Q473" s="30" t="s">
        <v>146</v>
      </c>
    </row>
    <row r="474" hidden="1">
      <c r="A474" s="33" t="s">
        <v>2768</v>
      </c>
      <c r="B474" s="30" t="s">
        <v>139</v>
      </c>
      <c r="C474" s="30" t="s">
        <v>140</v>
      </c>
      <c r="D474" s="30" t="s">
        <v>140</v>
      </c>
      <c r="E474" s="35">
        <v>43005.0</v>
      </c>
      <c r="F474" s="37" t="s">
        <v>269</v>
      </c>
      <c r="G474" s="30" t="s">
        <v>521</v>
      </c>
      <c r="H474" s="30" t="s">
        <v>145</v>
      </c>
      <c r="I474" s="30" t="s">
        <v>145</v>
      </c>
      <c r="J474" s="30" t="s">
        <v>145</v>
      </c>
      <c r="K474" s="30" t="s">
        <v>145</v>
      </c>
      <c r="L474" s="30" t="s">
        <v>145</v>
      </c>
      <c r="M474" s="30" t="s">
        <v>145</v>
      </c>
      <c r="N474" s="30" t="s">
        <v>145</v>
      </c>
      <c r="O474" s="30" t="s">
        <v>145</v>
      </c>
      <c r="P474" s="30" t="s">
        <v>145</v>
      </c>
      <c r="Q474" s="30" t="s">
        <v>146</v>
      </c>
    </row>
    <row r="475" hidden="1">
      <c r="A475" s="33" t="s">
        <v>2775</v>
      </c>
      <c r="B475" s="30" t="s">
        <v>139</v>
      </c>
      <c r="C475" s="30" t="s">
        <v>148</v>
      </c>
      <c r="D475" s="30" t="s">
        <v>216</v>
      </c>
      <c r="E475" s="35">
        <v>43005.0</v>
      </c>
      <c r="F475" s="37" t="s">
        <v>154</v>
      </c>
      <c r="G475" s="30" t="s">
        <v>514</v>
      </c>
      <c r="H475" s="30" t="s">
        <v>145</v>
      </c>
      <c r="I475" s="30" t="s">
        <v>145</v>
      </c>
      <c r="J475" s="30" t="s">
        <v>145</v>
      </c>
      <c r="K475" s="30" t="s">
        <v>145</v>
      </c>
      <c r="L475" s="30" t="s">
        <v>145</v>
      </c>
      <c r="M475" s="30" t="s">
        <v>145</v>
      </c>
      <c r="N475" s="30" t="s">
        <v>145</v>
      </c>
      <c r="O475" s="30" t="s">
        <v>145</v>
      </c>
      <c r="P475" s="30" t="s">
        <v>145</v>
      </c>
      <c r="Q475" s="30" t="s">
        <v>152</v>
      </c>
    </row>
    <row r="476" hidden="1">
      <c r="A476" s="33" t="s">
        <v>2779</v>
      </c>
      <c r="B476" s="30" t="s">
        <v>139</v>
      </c>
      <c r="C476" s="30" t="s">
        <v>148</v>
      </c>
      <c r="D476" s="30" t="s">
        <v>216</v>
      </c>
      <c r="E476" s="35">
        <v>43005.0</v>
      </c>
      <c r="F476" s="37" t="s">
        <v>150</v>
      </c>
      <c r="G476" s="30" t="s">
        <v>1459</v>
      </c>
      <c r="H476" s="30" t="s">
        <v>152</v>
      </c>
      <c r="I476" s="30" t="s">
        <v>152</v>
      </c>
      <c r="J476" s="30" t="s">
        <v>213</v>
      </c>
      <c r="K476" s="30" t="s">
        <v>152</v>
      </c>
      <c r="L476" s="30" t="s">
        <v>152</v>
      </c>
      <c r="M476" s="30" t="s">
        <v>152</v>
      </c>
      <c r="N476" s="2" t="s">
        <v>152</v>
      </c>
      <c r="O476" s="30" t="s">
        <v>152</v>
      </c>
      <c r="P476" s="30" t="s">
        <v>152</v>
      </c>
      <c r="Q476" s="30" t="s">
        <v>152</v>
      </c>
    </row>
    <row r="477" hidden="1">
      <c r="A477" s="33" t="s">
        <v>2782</v>
      </c>
      <c r="B477" s="30" t="s">
        <v>139</v>
      </c>
      <c r="C477" s="30" t="s">
        <v>148</v>
      </c>
      <c r="D477" s="30" t="s">
        <v>216</v>
      </c>
      <c r="E477" s="35">
        <v>43005.0</v>
      </c>
      <c r="F477" s="37" t="s">
        <v>150</v>
      </c>
      <c r="G477" s="30" t="s">
        <v>1453</v>
      </c>
      <c r="H477" s="30" t="s">
        <v>152</v>
      </c>
      <c r="I477" s="30" t="s">
        <v>152</v>
      </c>
      <c r="J477" s="30" t="s">
        <v>152</v>
      </c>
      <c r="K477" s="30" t="s">
        <v>1611</v>
      </c>
      <c r="L477" s="30" t="s">
        <v>152</v>
      </c>
      <c r="M477" s="30" t="s">
        <v>152</v>
      </c>
      <c r="N477" s="2" t="s">
        <v>152</v>
      </c>
      <c r="O477" s="30" t="s">
        <v>152</v>
      </c>
      <c r="P477" s="30" t="s">
        <v>152</v>
      </c>
      <c r="Q477" s="30" t="s">
        <v>152</v>
      </c>
    </row>
    <row r="478" hidden="1">
      <c r="A478" s="33" t="s">
        <v>2787</v>
      </c>
      <c r="B478" s="30" t="s">
        <v>139</v>
      </c>
      <c r="C478" s="30" t="s">
        <v>148</v>
      </c>
      <c r="D478" s="30" t="s">
        <v>216</v>
      </c>
      <c r="E478" s="35">
        <v>43005.0</v>
      </c>
      <c r="F478" s="37" t="s">
        <v>150</v>
      </c>
      <c r="G478" s="30" t="s">
        <v>213</v>
      </c>
      <c r="H478" s="30" t="s">
        <v>152</v>
      </c>
      <c r="I478" s="30" t="s">
        <v>152</v>
      </c>
      <c r="J478" s="30" t="s">
        <v>152</v>
      </c>
      <c r="K478" s="30" t="s">
        <v>1459</v>
      </c>
      <c r="L478" s="30" t="s">
        <v>152</v>
      </c>
      <c r="M478" s="30" t="s">
        <v>152</v>
      </c>
      <c r="N478" s="2" t="s">
        <v>152</v>
      </c>
      <c r="O478" s="30" t="s">
        <v>152</v>
      </c>
      <c r="P478" s="30" t="s">
        <v>152</v>
      </c>
      <c r="Q478" s="30" t="s">
        <v>152</v>
      </c>
    </row>
    <row r="479" hidden="1">
      <c r="A479" s="33" t="s">
        <v>2792</v>
      </c>
      <c r="B479" s="30" t="s">
        <v>139</v>
      </c>
      <c r="C479" s="30" t="s">
        <v>148</v>
      </c>
      <c r="D479" s="30" t="s">
        <v>216</v>
      </c>
      <c r="E479" s="35">
        <v>43005.0</v>
      </c>
      <c r="F479" s="37" t="s">
        <v>150</v>
      </c>
      <c r="G479" s="30" t="s">
        <v>213</v>
      </c>
      <c r="H479" s="30" t="s">
        <v>152</v>
      </c>
      <c r="I479" s="30" t="s">
        <v>152</v>
      </c>
      <c r="J479" s="30" t="s">
        <v>152</v>
      </c>
      <c r="K479" s="30" t="s">
        <v>2321</v>
      </c>
      <c r="L479" s="30" t="s">
        <v>152</v>
      </c>
      <c r="M479" s="30" t="s">
        <v>152</v>
      </c>
      <c r="N479" s="2" t="s">
        <v>152</v>
      </c>
      <c r="O479" s="30" t="s">
        <v>152</v>
      </c>
      <c r="P479" s="30" t="s">
        <v>152</v>
      </c>
      <c r="Q479" s="30" t="s">
        <v>152</v>
      </c>
    </row>
    <row r="480" hidden="1">
      <c r="A480" s="33" t="s">
        <v>2795</v>
      </c>
      <c r="B480" s="30" t="s">
        <v>139</v>
      </c>
      <c r="C480" s="30" t="s">
        <v>453</v>
      </c>
      <c r="D480" s="30" t="s">
        <v>148</v>
      </c>
      <c r="E480" s="35">
        <v>43005.0</v>
      </c>
      <c r="F480" s="37" t="s">
        <v>154</v>
      </c>
      <c r="G480" s="30" t="s">
        <v>152</v>
      </c>
      <c r="H480" s="30" t="s">
        <v>145</v>
      </c>
      <c r="I480" s="30" t="s">
        <v>145</v>
      </c>
      <c r="J480" s="30" t="s">
        <v>145</v>
      </c>
      <c r="K480" s="30" t="s">
        <v>145</v>
      </c>
      <c r="L480" s="30" t="s">
        <v>145</v>
      </c>
      <c r="M480" s="30" t="s">
        <v>145</v>
      </c>
      <c r="N480" s="30" t="s">
        <v>145</v>
      </c>
      <c r="O480" s="30" t="s">
        <v>145</v>
      </c>
      <c r="P480" s="30" t="s">
        <v>145</v>
      </c>
      <c r="Q480" s="30" t="s">
        <v>152</v>
      </c>
    </row>
    <row r="481" hidden="1">
      <c r="A481" s="33" t="s">
        <v>2800</v>
      </c>
      <c r="B481" s="30" t="s">
        <v>139</v>
      </c>
      <c r="C481" s="30" t="s">
        <v>140</v>
      </c>
      <c r="D481" s="30" t="s">
        <v>140</v>
      </c>
      <c r="E481" s="35">
        <v>43004.0</v>
      </c>
      <c r="F481" s="37" t="s">
        <v>269</v>
      </c>
      <c r="G481" s="30" t="s">
        <v>2804</v>
      </c>
      <c r="H481" s="30" t="s">
        <v>145</v>
      </c>
      <c r="I481" s="30" t="s">
        <v>145</v>
      </c>
      <c r="J481" s="30" t="s">
        <v>145</v>
      </c>
      <c r="K481" s="30" t="s">
        <v>145</v>
      </c>
      <c r="L481" s="30" t="s">
        <v>145</v>
      </c>
      <c r="M481" s="30" t="s">
        <v>145</v>
      </c>
      <c r="N481" s="30" t="s">
        <v>145</v>
      </c>
      <c r="O481" s="30" t="s">
        <v>145</v>
      </c>
      <c r="P481" s="30" t="s">
        <v>145</v>
      </c>
      <c r="Q481" s="30" t="s">
        <v>146</v>
      </c>
    </row>
    <row r="482" hidden="1">
      <c r="A482" s="33" t="s">
        <v>2806</v>
      </c>
      <c r="B482" s="30" t="s">
        <v>139</v>
      </c>
      <c r="C482" s="30" t="s">
        <v>148</v>
      </c>
      <c r="D482" s="30" t="s">
        <v>216</v>
      </c>
      <c r="E482" s="35">
        <v>43004.0</v>
      </c>
      <c r="F482" s="37" t="s">
        <v>184</v>
      </c>
      <c r="G482" s="30" t="s">
        <v>2019</v>
      </c>
      <c r="H482" s="30" t="s">
        <v>152</v>
      </c>
      <c r="I482" s="30" t="s">
        <v>152</v>
      </c>
      <c r="J482" s="30" t="s">
        <v>152</v>
      </c>
      <c r="K482" s="30" t="s">
        <v>197</v>
      </c>
      <c r="L482" s="2" t="s">
        <v>152</v>
      </c>
      <c r="M482" s="30" t="s">
        <v>145</v>
      </c>
      <c r="N482" s="30" t="s">
        <v>145</v>
      </c>
      <c r="O482" s="30" t="s">
        <v>145</v>
      </c>
      <c r="P482" s="30" t="s">
        <v>145</v>
      </c>
      <c r="Q482" s="30" t="s">
        <v>152</v>
      </c>
    </row>
    <row r="483" hidden="1">
      <c r="A483" s="33" t="s">
        <v>2813</v>
      </c>
      <c r="B483" s="30" t="s">
        <v>139</v>
      </c>
      <c r="C483" s="30" t="s">
        <v>453</v>
      </c>
      <c r="D483" s="30" t="s">
        <v>148</v>
      </c>
      <c r="E483" s="35">
        <v>43004.0</v>
      </c>
      <c r="F483" s="37" t="s">
        <v>154</v>
      </c>
      <c r="G483" s="30" t="s">
        <v>2225</v>
      </c>
      <c r="H483" s="30" t="s">
        <v>145</v>
      </c>
      <c r="I483" s="30" t="s">
        <v>145</v>
      </c>
      <c r="J483" s="30" t="s">
        <v>145</v>
      </c>
      <c r="K483" s="30" t="s">
        <v>145</v>
      </c>
      <c r="L483" s="30" t="s">
        <v>145</v>
      </c>
      <c r="M483" s="30" t="s">
        <v>145</v>
      </c>
      <c r="N483" s="30" t="s">
        <v>145</v>
      </c>
      <c r="O483" s="30" t="s">
        <v>145</v>
      </c>
      <c r="P483" s="30" t="s">
        <v>145</v>
      </c>
      <c r="Q483" s="30" t="s">
        <v>457</v>
      </c>
    </row>
    <row r="484" hidden="1">
      <c r="A484" s="33" t="s">
        <v>2817</v>
      </c>
      <c r="B484" s="30" t="s">
        <v>139</v>
      </c>
      <c r="C484" s="30" t="s">
        <v>1367</v>
      </c>
      <c r="D484" s="30" t="s">
        <v>140</v>
      </c>
      <c r="E484" s="35">
        <v>43003.0</v>
      </c>
      <c r="F484" s="37" t="s">
        <v>154</v>
      </c>
      <c r="G484" s="30" t="s">
        <v>163</v>
      </c>
      <c r="H484" s="30" t="s">
        <v>145</v>
      </c>
      <c r="I484" s="30" t="s">
        <v>145</v>
      </c>
      <c r="J484" s="30" t="s">
        <v>145</v>
      </c>
      <c r="K484" s="30" t="s">
        <v>145</v>
      </c>
      <c r="L484" s="30" t="s">
        <v>145</v>
      </c>
      <c r="M484" s="30" t="s">
        <v>145</v>
      </c>
      <c r="N484" s="30" t="s">
        <v>145</v>
      </c>
      <c r="O484" s="30" t="s">
        <v>145</v>
      </c>
      <c r="P484" s="30" t="s">
        <v>145</v>
      </c>
      <c r="Q484" s="30" t="s">
        <v>146</v>
      </c>
    </row>
    <row r="485" hidden="1">
      <c r="A485" s="33" t="s">
        <v>2821</v>
      </c>
      <c r="B485" s="30" t="s">
        <v>139</v>
      </c>
      <c r="C485" s="30" t="s">
        <v>140</v>
      </c>
      <c r="D485" s="30" t="s">
        <v>140</v>
      </c>
      <c r="E485" s="35">
        <v>43003.0</v>
      </c>
      <c r="F485" s="37" t="s">
        <v>143</v>
      </c>
      <c r="G485" s="30" t="s">
        <v>146</v>
      </c>
      <c r="H485" s="30" t="s">
        <v>145</v>
      </c>
      <c r="I485" s="30" t="s">
        <v>145</v>
      </c>
      <c r="J485" s="30" t="s">
        <v>145</v>
      </c>
      <c r="K485" s="30" t="s">
        <v>145</v>
      </c>
      <c r="L485" s="30" t="s">
        <v>145</v>
      </c>
      <c r="M485" s="30" t="s">
        <v>145</v>
      </c>
      <c r="N485" s="30" t="s">
        <v>145</v>
      </c>
      <c r="O485" s="30" t="s">
        <v>145</v>
      </c>
      <c r="P485" s="30" t="s">
        <v>145</v>
      </c>
      <c r="Q485" s="30" t="s">
        <v>146</v>
      </c>
    </row>
    <row r="486" hidden="1">
      <c r="A486" s="33" t="s">
        <v>2828</v>
      </c>
      <c r="B486" s="30" t="s">
        <v>139</v>
      </c>
      <c r="C486" s="30" t="s">
        <v>148</v>
      </c>
      <c r="D486" s="30" t="s">
        <v>148</v>
      </c>
      <c r="E486" s="35">
        <v>43003.0</v>
      </c>
      <c r="F486" s="37" t="s">
        <v>154</v>
      </c>
      <c r="G486" s="30" t="s">
        <v>2364</v>
      </c>
      <c r="H486" s="30" t="s">
        <v>145</v>
      </c>
      <c r="I486" s="30" t="s">
        <v>145</v>
      </c>
      <c r="J486" s="30" t="s">
        <v>145</v>
      </c>
      <c r="K486" s="30" t="s">
        <v>145</v>
      </c>
      <c r="L486" s="30" t="s">
        <v>145</v>
      </c>
      <c r="M486" s="30" t="s">
        <v>145</v>
      </c>
      <c r="N486" s="30" t="s">
        <v>145</v>
      </c>
      <c r="O486" s="30" t="s">
        <v>145</v>
      </c>
      <c r="P486" s="30" t="s">
        <v>145</v>
      </c>
      <c r="Q486" s="30" t="s">
        <v>152</v>
      </c>
    </row>
    <row r="487" hidden="1">
      <c r="A487" s="33" t="s">
        <v>2832</v>
      </c>
      <c r="B487" s="30" t="s">
        <v>139</v>
      </c>
      <c r="C487" s="30" t="s">
        <v>148</v>
      </c>
      <c r="D487" s="30" t="s">
        <v>148</v>
      </c>
      <c r="E487" s="35">
        <v>43003.0</v>
      </c>
      <c r="F487" s="37" t="s">
        <v>154</v>
      </c>
      <c r="G487" s="30" t="s">
        <v>2364</v>
      </c>
      <c r="H487" s="30" t="s">
        <v>145</v>
      </c>
      <c r="I487" s="30" t="s">
        <v>145</v>
      </c>
      <c r="J487" s="30" t="s">
        <v>145</v>
      </c>
      <c r="K487" s="30" t="s">
        <v>145</v>
      </c>
      <c r="L487" s="30" t="s">
        <v>145</v>
      </c>
      <c r="M487" s="30" t="s">
        <v>145</v>
      </c>
      <c r="N487" s="30" t="s">
        <v>145</v>
      </c>
      <c r="O487" s="30" t="s">
        <v>145</v>
      </c>
      <c r="P487" s="30" t="s">
        <v>145</v>
      </c>
      <c r="Q487" s="30" t="s">
        <v>152</v>
      </c>
    </row>
    <row r="488" hidden="1">
      <c r="A488" s="33" t="s">
        <v>2836</v>
      </c>
      <c r="B488" s="30" t="s">
        <v>139</v>
      </c>
      <c r="C488" s="30" t="s">
        <v>140</v>
      </c>
      <c r="D488" s="30" t="s">
        <v>148</v>
      </c>
      <c r="E488" s="35">
        <v>43003.0</v>
      </c>
      <c r="F488" s="37" t="s">
        <v>154</v>
      </c>
      <c r="G488" s="30" t="s">
        <v>146</v>
      </c>
      <c r="H488" s="30" t="s">
        <v>145</v>
      </c>
      <c r="I488" s="30" t="s">
        <v>145</v>
      </c>
      <c r="J488" s="30" t="s">
        <v>145</v>
      </c>
      <c r="K488" s="30" t="s">
        <v>145</v>
      </c>
      <c r="L488" s="30" t="s">
        <v>145</v>
      </c>
      <c r="M488" s="30" t="s">
        <v>145</v>
      </c>
      <c r="N488" s="30" t="s">
        <v>145</v>
      </c>
      <c r="O488" s="30" t="s">
        <v>145</v>
      </c>
      <c r="P488" s="30" t="s">
        <v>145</v>
      </c>
      <c r="Q488" s="30" t="s">
        <v>146</v>
      </c>
    </row>
    <row r="489" hidden="1">
      <c r="A489" s="33" t="s">
        <v>2840</v>
      </c>
      <c r="B489" s="30" t="s">
        <v>139</v>
      </c>
      <c r="C489" s="30" t="s">
        <v>140</v>
      </c>
      <c r="D489" s="30" t="s">
        <v>140</v>
      </c>
      <c r="E489" s="35">
        <v>43000.0</v>
      </c>
      <c r="F489" s="37" t="s">
        <v>184</v>
      </c>
      <c r="G489" s="30" t="s">
        <v>185</v>
      </c>
      <c r="H489" s="30" t="s">
        <v>146</v>
      </c>
      <c r="I489" s="30" t="s">
        <v>146</v>
      </c>
      <c r="J489" s="30" t="s">
        <v>146</v>
      </c>
      <c r="K489" s="30" t="s">
        <v>146</v>
      </c>
      <c r="L489" s="30" t="s">
        <v>146</v>
      </c>
      <c r="M489" s="30" t="s">
        <v>145</v>
      </c>
      <c r="N489" s="30" t="s">
        <v>145</v>
      </c>
      <c r="O489" s="30" t="s">
        <v>145</v>
      </c>
      <c r="P489" s="30" t="s">
        <v>145</v>
      </c>
      <c r="Q489" s="30" t="s">
        <v>146</v>
      </c>
    </row>
    <row r="490" hidden="1">
      <c r="A490" s="33" t="s">
        <v>2845</v>
      </c>
      <c r="B490" s="30" t="s">
        <v>139</v>
      </c>
      <c r="C490" s="30" t="s">
        <v>2848</v>
      </c>
      <c r="D490" s="30" t="s">
        <v>337</v>
      </c>
      <c r="E490" s="35">
        <v>43000.0</v>
      </c>
      <c r="F490" s="37" t="s">
        <v>154</v>
      </c>
      <c r="G490" s="30" t="s">
        <v>2850</v>
      </c>
      <c r="H490" s="30" t="s">
        <v>145</v>
      </c>
      <c r="I490" s="30" t="s">
        <v>145</v>
      </c>
      <c r="J490" s="30" t="s">
        <v>145</v>
      </c>
      <c r="K490" s="30" t="s">
        <v>145</v>
      </c>
      <c r="L490" s="30" t="s">
        <v>145</v>
      </c>
      <c r="M490" s="30" t="s">
        <v>145</v>
      </c>
      <c r="N490" s="30" t="s">
        <v>145</v>
      </c>
      <c r="O490" s="30" t="s">
        <v>145</v>
      </c>
      <c r="P490" s="30" t="s">
        <v>145</v>
      </c>
      <c r="Q490" s="30" t="s">
        <v>2851</v>
      </c>
    </row>
    <row r="491" hidden="1">
      <c r="A491" s="33" t="s">
        <v>2852</v>
      </c>
      <c r="B491" s="30" t="s">
        <v>139</v>
      </c>
      <c r="C491" s="30" t="s">
        <v>2723</v>
      </c>
      <c r="D491" s="30" t="s">
        <v>244</v>
      </c>
      <c r="E491" s="35">
        <v>43000.0</v>
      </c>
      <c r="F491" s="37" t="s">
        <v>154</v>
      </c>
      <c r="G491" s="30" t="s">
        <v>2856</v>
      </c>
      <c r="H491" s="30" t="s">
        <v>145</v>
      </c>
      <c r="I491" s="30" t="s">
        <v>145</v>
      </c>
      <c r="J491" s="30" t="s">
        <v>145</v>
      </c>
      <c r="K491" s="30" t="s">
        <v>145</v>
      </c>
      <c r="L491" s="30" t="s">
        <v>145</v>
      </c>
      <c r="M491" s="30" t="s">
        <v>145</v>
      </c>
      <c r="N491" s="30" t="s">
        <v>145</v>
      </c>
      <c r="O491" s="30" t="s">
        <v>145</v>
      </c>
      <c r="P491" s="30" t="s">
        <v>145</v>
      </c>
      <c r="Q491" s="30" t="s">
        <v>2857</v>
      </c>
    </row>
    <row r="492" hidden="1">
      <c r="A492" s="33" t="s">
        <v>2858</v>
      </c>
      <c r="B492" s="30" t="s">
        <v>139</v>
      </c>
      <c r="C492" s="30" t="s">
        <v>148</v>
      </c>
      <c r="D492" s="30" t="s">
        <v>244</v>
      </c>
      <c r="E492" s="35">
        <v>43000.0</v>
      </c>
      <c r="F492" s="37" t="s">
        <v>150</v>
      </c>
      <c r="G492" s="30" t="s">
        <v>140</v>
      </c>
      <c r="H492" s="30" t="s">
        <v>146</v>
      </c>
      <c r="I492" s="30" t="s">
        <v>144</v>
      </c>
      <c r="J492" s="30" t="s">
        <v>189</v>
      </c>
      <c r="K492" s="30" t="s">
        <v>152</v>
      </c>
      <c r="L492" s="30" t="s">
        <v>152</v>
      </c>
      <c r="M492" s="30" t="s">
        <v>678</v>
      </c>
      <c r="N492" s="30" t="s">
        <v>152</v>
      </c>
      <c r="O492" s="30" t="s">
        <v>213</v>
      </c>
      <c r="P492" s="30" t="s">
        <v>727</v>
      </c>
      <c r="Q492" s="30" t="s">
        <v>152</v>
      </c>
    </row>
    <row r="493" hidden="1">
      <c r="A493" s="33" t="s">
        <v>2865</v>
      </c>
      <c r="B493" s="30" t="s">
        <v>139</v>
      </c>
      <c r="C493" s="30" t="s">
        <v>337</v>
      </c>
      <c r="D493" s="30" t="s">
        <v>337</v>
      </c>
      <c r="E493" s="35">
        <v>43000.0</v>
      </c>
      <c r="F493" s="37" t="s">
        <v>150</v>
      </c>
      <c r="G493" s="30" t="s">
        <v>660</v>
      </c>
      <c r="H493" s="30" t="s">
        <v>223</v>
      </c>
      <c r="I493" s="30" t="s">
        <v>223</v>
      </c>
      <c r="J493" s="30" t="s">
        <v>407</v>
      </c>
      <c r="K493" s="30" t="s">
        <v>152</v>
      </c>
      <c r="L493" s="30" t="s">
        <v>152</v>
      </c>
      <c r="M493" s="30" t="s">
        <v>2869</v>
      </c>
      <c r="N493" s="30" t="s">
        <v>145</v>
      </c>
      <c r="O493" s="30" t="s">
        <v>145</v>
      </c>
      <c r="P493" s="30" t="s">
        <v>145</v>
      </c>
      <c r="Q493" s="30" t="s">
        <v>2870</v>
      </c>
    </row>
    <row r="494" hidden="1">
      <c r="A494" s="33" t="s">
        <v>2871</v>
      </c>
      <c r="B494" s="30" t="s">
        <v>139</v>
      </c>
      <c r="C494" s="30" t="s">
        <v>148</v>
      </c>
      <c r="D494" s="30" t="s">
        <v>337</v>
      </c>
      <c r="E494" s="35">
        <v>42999.0</v>
      </c>
      <c r="F494" s="37" t="s">
        <v>150</v>
      </c>
      <c r="G494" s="30" t="s">
        <v>521</v>
      </c>
      <c r="H494" s="30" t="s">
        <v>146</v>
      </c>
      <c r="I494" s="30" t="s">
        <v>146</v>
      </c>
      <c r="J494" s="30" t="s">
        <v>1411</v>
      </c>
      <c r="K494" s="30" t="s">
        <v>152</v>
      </c>
      <c r="L494" s="30" t="s">
        <v>152</v>
      </c>
      <c r="M494" s="30" t="s">
        <v>2876</v>
      </c>
      <c r="N494" s="30" t="s">
        <v>152</v>
      </c>
      <c r="O494" s="30" t="s">
        <v>152</v>
      </c>
      <c r="P494" s="30" t="s">
        <v>152</v>
      </c>
      <c r="Q494" s="30" t="s">
        <v>152</v>
      </c>
    </row>
    <row r="495" hidden="1">
      <c r="A495" s="33" t="s">
        <v>2877</v>
      </c>
      <c r="B495" s="30" t="s">
        <v>139</v>
      </c>
      <c r="C495" s="30" t="s">
        <v>140</v>
      </c>
      <c r="D495" s="30" t="s">
        <v>122</v>
      </c>
      <c r="E495" s="35">
        <v>42999.0</v>
      </c>
      <c r="F495" s="37" t="s">
        <v>150</v>
      </c>
      <c r="G495" s="30" t="s">
        <v>503</v>
      </c>
      <c r="H495" s="30" t="s">
        <v>146</v>
      </c>
      <c r="I495" s="30" t="s">
        <v>152</v>
      </c>
      <c r="J495" s="30" t="s">
        <v>152</v>
      </c>
      <c r="K495" s="30" t="s">
        <v>146</v>
      </c>
      <c r="L495" s="30" t="s">
        <v>352</v>
      </c>
      <c r="M495" s="30" t="s">
        <v>146</v>
      </c>
      <c r="N495" s="2" t="s">
        <v>1307</v>
      </c>
      <c r="O495" s="30" t="s">
        <v>152</v>
      </c>
      <c r="P495" s="30" t="s">
        <v>152</v>
      </c>
      <c r="Q495" s="30" t="s">
        <v>146</v>
      </c>
    </row>
    <row r="496" hidden="1">
      <c r="A496" s="33" t="s">
        <v>2880</v>
      </c>
      <c r="B496" s="30" t="s">
        <v>139</v>
      </c>
      <c r="C496" s="30" t="s">
        <v>122</v>
      </c>
      <c r="D496" s="30" t="s">
        <v>122</v>
      </c>
      <c r="E496" s="35">
        <v>42998.0</v>
      </c>
      <c r="F496" s="37" t="s">
        <v>150</v>
      </c>
      <c r="G496" s="30" t="s">
        <v>2884</v>
      </c>
      <c r="H496" s="30" t="s">
        <v>146</v>
      </c>
      <c r="I496" s="30" t="s">
        <v>146</v>
      </c>
      <c r="J496" s="30" t="s">
        <v>687</v>
      </c>
      <c r="K496" s="30" t="s">
        <v>687</v>
      </c>
      <c r="L496" s="30" t="s">
        <v>2885</v>
      </c>
      <c r="M496" s="30" t="s">
        <v>2886</v>
      </c>
      <c r="N496" s="30" t="s">
        <v>152</v>
      </c>
      <c r="O496" s="30" t="s">
        <v>152</v>
      </c>
      <c r="P496" s="30" t="s">
        <v>2019</v>
      </c>
      <c r="Q496" s="30" t="s">
        <v>687</v>
      </c>
    </row>
    <row r="497" hidden="1">
      <c r="A497" s="33" t="s">
        <v>2887</v>
      </c>
      <c r="B497" s="30" t="s">
        <v>139</v>
      </c>
      <c r="C497" s="30" t="s">
        <v>148</v>
      </c>
      <c r="D497" s="30" t="s">
        <v>122</v>
      </c>
      <c r="E497" s="35">
        <v>42998.0</v>
      </c>
      <c r="F497" s="37" t="s">
        <v>150</v>
      </c>
      <c r="G497" s="30" t="s">
        <v>2890</v>
      </c>
      <c r="H497" s="30" t="s">
        <v>152</v>
      </c>
      <c r="I497" s="30" t="s">
        <v>152</v>
      </c>
      <c r="J497" s="30" t="s">
        <v>152</v>
      </c>
      <c r="K497" s="30" t="s">
        <v>152</v>
      </c>
      <c r="L497" s="30" t="s">
        <v>152</v>
      </c>
      <c r="M497" s="30" t="s">
        <v>152</v>
      </c>
      <c r="N497" s="2" t="s">
        <v>197</v>
      </c>
      <c r="O497" s="30" t="s">
        <v>145</v>
      </c>
      <c r="P497" s="30" t="s">
        <v>145</v>
      </c>
      <c r="Q497" s="30" t="s">
        <v>152</v>
      </c>
    </row>
    <row r="498" hidden="1">
      <c r="A498" s="33" t="s">
        <v>2893</v>
      </c>
      <c r="B498" s="30" t="s">
        <v>139</v>
      </c>
      <c r="C498" s="30" t="s">
        <v>148</v>
      </c>
      <c r="D498" s="30" t="s">
        <v>140</v>
      </c>
      <c r="E498" s="35">
        <v>42998.0</v>
      </c>
      <c r="F498" s="37" t="s">
        <v>154</v>
      </c>
      <c r="G498" s="30" t="s">
        <v>156</v>
      </c>
      <c r="H498" s="30" t="s">
        <v>145</v>
      </c>
      <c r="I498" s="30" t="s">
        <v>145</v>
      </c>
      <c r="J498" s="30" t="s">
        <v>145</v>
      </c>
      <c r="K498" s="30" t="s">
        <v>145</v>
      </c>
      <c r="L498" s="30" t="s">
        <v>145</v>
      </c>
      <c r="M498" s="30" t="s">
        <v>145</v>
      </c>
      <c r="N498" s="30" t="s">
        <v>145</v>
      </c>
      <c r="O498" s="30" t="s">
        <v>145</v>
      </c>
      <c r="P498" s="30" t="s">
        <v>145</v>
      </c>
      <c r="Q498" s="30" t="s">
        <v>152</v>
      </c>
    </row>
    <row r="499" hidden="1">
      <c r="A499" s="33" t="s">
        <v>2898</v>
      </c>
      <c r="B499" s="30" t="s">
        <v>139</v>
      </c>
      <c r="C499" s="30" t="s">
        <v>122</v>
      </c>
      <c r="D499" s="30" t="s">
        <v>122</v>
      </c>
      <c r="E499" s="35">
        <v>42998.0</v>
      </c>
      <c r="F499" s="37" t="s">
        <v>150</v>
      </c>
      <c r="G499" s="2" t="s">
        <v>2901</v>
      </c>
      <c r="H499" s="30" t="s">
        <v>145</v>
      </c>
      <c r="I499" s="30" t="s">
        <v>145</v>
      </c>
      <c r="J499" s="30" t="s">
        <v>145</v>
      </c>
      <c r="K499" s="30" t="s">
        <v>145</v>
      </c>
      <c r="L499" s="30" t="s">
        <v>145</v>
      </c>
      <c r="M499" s="30" t="s">
        <v>145</v>
      </c>
      <c r="N499" s="30" t="s">
        <v>145</v>
      </c>
      <c r="O499" s="30" t="s">
        <v>145</v>
      </c>
      <c r="P499" s="30" t="s">
        <v>145</v>
      </c>
      <c r="Q499" s="30" t="s">
        <v>687</v>
      </c>
    </row>
    <row r="500" hidden="1">
      <c r="A500" s="33" t="s">
        <v>2904</v>
      </c>
      <c r="B500" s="30" t="s">
        <v>139</v>
      </c>
      <c r="C500" s="30" t="s">
        <v>122</v>
      </c>
      <c r="D500" s="30" t="s">
        <v>122</v>
      </c>
      <c r="E500" s="35">
        <v>42998.0</v>
      </c>
      <c r="F500" s="37" t="s">
        <v>150</v>
      </c>
      <c r="G500" s="2" t="s">
        <v>2901</v>
      </c>
      <c r="H500" s="30" t="s">
        <v>145</v>
      </c>
      <c r="I500" s="30" t="s">
        <v>145</v>
      </c>
      <c r="J500" s="30" t="s">
        <v>145</v>
      </c>
      <c r="K500" s="30" t="s">
        <v>145</v>
      </c>
      <c r="L500" s="30" t="s">
        <v>145</v>
      </c>
      <c r="M500" s="30" t="s">
        <v>145</v>
      </c>
      <c r="N500" s="30" t="s">
        <v>145</v>
      </c>
      <c r="O500" s="30" t="s">
        <v>145</v>
      </c>
      <c r="P500" s="30" t="s">
        <v>145</v>
      </c>
      <c r="Q500" s="30" t="s">
        <v>687</v>
      </c>
    </row>
    <row r="501" hidden="1">
      <c r="A501" s="33" t="s">
        <v>2908</v>
      </c>
      <c r="B501" s="30" t="s">
        <v>139</v>
      </c>
      <c r="C501" s="30" t="s">
        <v>140</v>
      </c>
      <c r="D501" s="30" t="s">
        <v>141</v>
      </c>
      <c r="E501" s="35">
        <v>42997.0</v>
      </c>
      <c r="F501" s="37" t="s">
        <v>150</v>
      </c>
      <c r="G501" s="30" t="s">
        <v>140</v>
      </c>
      <c r="H501" s="30" t="s">
        <v>146</v>
      </c>
      <c r="I501" s="30" t="s">
        <v>146</v>
      </c>
      <c r="J501" s="30" t="s">
        <v>432</v>
      </c>
      <c r="K501" s="30" t="s">
        <v>145</v>
      </c>
      <c r="L501" s="30" t="s">
        <v>145</v>
      </c>
      <c r="M501" s="30" t="s">
        <v>145</v>
      </c>
      <c r="N501" s="30" t="s">
        <v>145</v>
      </c>
      <c r="O501" s="30" t="s">
        <v>145</v>
      </c>
      <c r="P501" s="30" t="s">
        <v>145</v>
      </c>
      <c r="Q501" s="30" t="s">
        <v>146</v>
      </c>
    </row>
    <row r="502" hidden="1">
      <c r="A502" s="33" t="s">
        <v>2915</v>
      </c>
      <c r="B502" s="30" t="s">
        <v>139</v>
      </c>
      <c r="C502" s="30" t="s">
        <v>140</v>
      </c>
      <c r="D502" s="30" t="s">
        <v>153</v>
      </c>
      <c r="E502" s="35">
        <v>42993.0</v>
      </c>
      <c r="F502" s="37" t="s">
        <v>154</v>
      </c>
      <c r="G502" s="30" t="s">
        <v>146</v>
      </c>
      <c r="H502" s="30" t="s">
        <v>145</v>
      </c>
      <c r="I502" s="30" t="s">
        <v>145</v>
      </c>
      <c r="J502" s="30" t="s">
        <v>145</v>
      </c>
      <c r="K502" s="30" t="s">
        <v>145</v>
      </c>
      <c r="L502" s="30" t="s">
        <v>145</v>
      </c>
      <c r="M502" s="30" t="s">
        <v>145</v>
      </c>
      <c r="N502" s="30" t="s">
        <v>145</v>
      </c>
      <c r="O502" s="30" t="s">
        <v>145</v>
      </c>
      <c r="P502" s="30" t="s">
        <v>145</v>
      </c>
      <c r="Q502" s="30" t="s">
        <v>146</v>
      </c>
    </row>
    <row r="503" hidden="1">
      <c r="A503" s="33" t="s">
        <v>2920</v>
      </c>
      <c r="B503" s="30" t="s">
        <v>139</v>
      </c>
      <c r="C503" s="30" t="s">
        <v>155</v>
      </c>
      <c r="D503" s="30" t="s">
        <v>155</v>
      </c>
      <c r="E503" s="35">
        <v>42993.0</v>
      </c>
      <c r="F503" s="37" t="s">
        <v>184</v>
      </c>
      <c r="G503" s="30" t="s">
        <v>2923</v>
      </c>
      <c r="H503" s="30" t="s">
        <v>158</v>
      </c>
      <c r="I503" s="30" t="s">
        <v>158</v>
      </c>
      <c r="J503" s="30" t="s">
        <v>2925</v>
      </c>
      <c r="K503" s="30" t="s">
        <v>158</v>
      </c>
      <c r="L503" s="30" t="s">
        <v>375</v>
      </c>
      <c r="M503" s="30" t="s">
        <v>145</v>
      </c>
      <c r="N503" s="30" t="s">
        <v>145</v>
      </c>
      <c r="O503" s="30" t="s">
        <v>145</v>
      </c>
      <c r="P503" s="30" t="s">
        <v>145</v>
      </c>
      <c r="Q503" s="30" t="s">
        <v>158</v>
      </c>
    </row>
    <row r="504" hidden="1">
      <c r="A504" s="33" t="s">
        <v>2928</v>
      </c>
      <c r="B504" s="30" t="s">
        <v>139</v>
      </c>
      <c r="C504" s="30" t="s">
        <v>148</v>
      </c>
      <c r="D504" s="30" t="s">
        <v>244</v>
      </c>
      <c r="E504" s="35">
        <v>42993.0</v>
      </c>
      <c r="F504" s="37" t="s">
        <v>154</v>
      </c>
      <c r="G504" s="30" t="s">
        <v>340</v>
      </c>
      <c r="H504" s="30" t="s">
        <v>145</v>
      </c>
      <c r="I504" s="30" t="s">
        <v>145</v>
      </c>
      <c r="J504" s="30" t="s">
        <v>145</v>
      </c>
      <c r="K504" s="30" t="s">
        <v>145</v>
      </c>
      <c r="L504" s="30" t="s">
        <v>145</v>
      </c>
      <c r="M504" s="30" t="s">
        <v>145</v>
      </c>
      <c r="N504" s="30" t="s">
        <v>145</v>
      </c>
      <c r="O504" s="30" t="s">
        <v>145</v>
      </c>
      <c r="P504" s="30" t="s">
        <v>145</v>
      </c>
      <c r="Q504" s="30" t="s">
        <v>152</v>
      </c>
    </row>
    <row r="505" hidden="1">
      <c r="A505" s="33" t="s">
        <v>2931</v>
      </c>
      <c r="B505" s="30" t="s">
        <v>139</v>
      </c>
      <c r="C505" s="30" t="s">
        <v>453</v>
      </c>
      <c r="D505" s="30" t="s">
        <v>244</v>
      </c>
      <c r="E505" s="35">
        <v>42993.0</v>
      </c>
      <c r="F505" s="37" t="s">
        <v>154</v>
      </c>
      <c r="G505" s="30" t="s">
        <v>2933</v>
      </c>
      <c r="H505" s="30" t="s">
        <v>145</v>
      </c>
      <c r="I505" s="30" t="s">
        <v>145</v>
      </c>
      <c r="J505" s="30" t="s">
        <v>145</v>
      </c>
      <c r="K505" s="30" t="s">
        <v>145</v>
      </c>
      <c r="L505" s="30" t="s">
        <v>145</v>
      </c>
      <c r="M505" s="30" t="s">
        <v>145</v>
      </c>
      <c r="N505" s="30" t="s">
        <v>145</v>
      </c>
      <c r="O505" s="30" t="s">
        <v>145</v>
      </c>
      <c r="P505" s="30" t="s">
        <v>145</v>
      </c>
      <c r="Q505" s="30" t="s">
        <v>457</v>
      </c>
    </row>
    <row r="506" hidden="1">
      <c r="A506" s="33" t="s">
        <v>2935</v>
      </c>
      <c r="B506" s="30" t="s">
        <v>139</v>
      </c>
      <c r="C506" s="30" t="s">
        <v>140</v>
      </c>
      <c r="D506" s="30" t="s">
        <v>244</v>
      </c>
      <c r="E506" s="35">
        <v>42993.0</v>
      </c>
      <c r="F506" s="37" t="s">
        <v>150</v>
      </c>
      <c r="G506" s="30" t="s">
        <v>503</v>
      </c>
      <c r="H506" s="30" t="s">
        <v>145</v>
      </c>
      <c r="I506" s="30" t="s">
        <v>146</v>
      </c>
      <c r="J506" s="30" t="s">
        <v>189</v>
      </c>
      <c r="K506" s="30" t="s">
        <v>151</v>
      </c>
      <c r="L506" s="30" t="s">
        <v>152</v>
      </c>
      <c r="M506" s="30" t="s">
        <v>2938</v>
      </c>
      <c r="N506" s="30" t="s">
        <v>152</v>
      </c>
      <c r="O506" s="30" t="s">
        <v>213</v>
      </c>
      <c r="P506" s="30" t="s">
        <v>232</v>
      </c>
      <c r="Q506" s="30" t="s">
        <v>146</v>
      </c>
    </row>
    <row r="507" hidden="1">
      <c r="A507" s="33" t="s">
        <v>2939</v>
      </c>
      <c r="B507" s="30" t="s">
        <v>139</v>
      </c>
      <c r="C507" s="30" t="s">
        <v>2197</v>
      </c>
      <c r="D507" s="30" t="s">
        <v>140</v>
      </c>
      <c r="E507" s="35">
        <v>42993.0</v>
      </c>
      <c r="F507" s="37" t="s">
        <v>154</v>
      </c>
      <c r="G507" s="30" t="s">
        <v>264</v>
      </c>
      <c r="H507" s="30" t="s">
        <v>145</v>
      </c>
      <c r="I507" s="30" t="s">
        <v>145</v>
      </c>
      <c r="J507" s="30" t="s">
        <v>145</v>
      </c>
      <c r="K507" s="30" t="s">
        <v>145</v>
      </c>
      <c r="L507" s="30" t="s">
        <v>145</v>
      </c>
      <c r="M507" s="30" t="s">
        <v>145</v>
      </c>
      <c r="N507" s="30" t="s">
        <v>145</v>
      </c>
      <c r="O507" s="30" t="s">
        <v>145</v>
      </c>
      <c r="P507" s="30" t="s">
        <v>145</v>
      </c>
      <c r="Q507" s="30" t="s">
        <v>146</v>
      </c>
    </row>
    <row r="508" hidden="1">
      <c r="A508" s="33" t="s">
        <v>2940</v>
      </c>
      <c r="B508" s="30" t="s">
        <v>139</v>
      </c>
      <c r="C508" s="30" t="s">
        <v>140</v>
      </c>
      <c r="D508" s="30" t="s">
        <v>122</v>
      </c>
      <c r="E508" s="35">
        <v>42992.0</v>
      </c>
      <c r="F508" s="37" t="s">
        <v>150</v>
      </c>
      <c r="G508" s="30" t="s">
        <v>540</v>
      </c>
      <c r="H508" s="30" t="s">
        <v>146</v>
      </c>
      <c r="I508" s="30" t="s">
        <v>503</v>
      </c>
      <c r="J508" s="30" t="s">
        <v>146</v>
      </c>
      <c r="K508" s="30" t="s">
        <v>2944</v>
      </c>
      <c r="L508" s="30" t="s">
        <v>146</v>
      </c>
      <c r="M508" s="30" t="s">
        <v>146</v>
      </c>
      <c r="N508" s="30" t="s">
        <v>145</v>
      </c>
      <c r="O508" s="30" t="s">
        <v>145</v>
      </c>
      <c r="P508" s="30" t="s">
        <v>145</v>
      </c>
      <c r="Q508" s="30" t="s">
        <v>146</v>
      </c>
    </row>
    <row r="509" hidden="1">
      <c r="A509" s="33" t="s">
        <v>2945</v>
      </c>
      <c r="B509" s="30" t="s">
        <v>139</v>
      </c>
      <c r="C509" s="30" t="s">
        <v>140</v>
      </c>
      <c r="D509" s="30" t="s">
        <v>122</v>
      </c>
      <c r="E509" s="35">
        <v>42992.0</v>
      </c>
      <c r="F509" s="37" t="s">
        <v>150</v>
      </c>
      <c r="G509" s="30" t="s">
        <v>540</v>
      </c>
      <c r="H509" s="30" t="s">
        <v>146</v>
      </c>
      <c r="I509" s="30" t="s">
        <v>503</v>
      </c>
      <c r="J509" s="30" t="s">
        <v>146</v>
      </c>
      <c r="K509" s="30" t="s">
        <v>2944</v>
      </c>
      <c r="L509" s="30" t="s">
        <v>146</v>
      </c>
      <c r="M509" s="30" t="s">
        <v>146</v>
      </c>
      <c r="N509" s="30" t="s">
        <v>145</v>
      </c>
      <c r="O509" s="30" t="s">
        <v>145</v>
      </c>
      <c r="P509" s="30" t="s">
        <v>145</v>
      </c>
      <c r="Q509" s="30" t="s">
        <v>146</v>
      </c>
    </row>
    <row r="510" hidden="1">
      <c r="A510" s="33" t="s">
        <v>2949</v>
      </c>
      <c r="B510" s="30" t="s">
        <v>139</v>
      </c>
      <c r="C510" s="30" t="s">
        <v>122</v>
      </c>
      <c r="D510" s="30" t="s">
        <v>122</v>
      </c>
      <c r="E510" s="35">
        <v>42992.0</v>
      </c>
      <c r="F510" s="37" t="s">
        <v>150</v>
      </c>
      <c r="G510" s="30" t="s">
        <v>540</v>
      </c>
      <c r="H510" s="30" t="s">
        <v>146</v>
      </c>
      <c r="I510" s="30" t="s">
        <v>171</v>
      </c>
      <c r="J510" s="30" t="s">
        <v>146</v>
      </c>
      <c r="K510" s="30" t="s">
        <v>146</v>
      </c>
      <c r="L510" s="30" t="s">
        <v>146</v>
      </c>
      <c r="M510" s="30" t="s">
        <v>2951</v>
      </c>
      <c r="N510" s="30" t="s">
        <v>145</v>
      </c>
      <c r="O510" s="30" t="s">
        <v>145</v>
      </c>
      <c r="P510" s="30" t="s">
        <v>145</v>
      </c>
      <c r="Q510" s="30" t="s">
        <v>687</v>
      </c>
    </row>
    <row r="511" hidden="1">
      <c r="A511" s="33" t="s">
        <v>2955</v>
      </c>
      <c r="B511" s="30" t="s">
        <v>139</v>
      </c>
      <c r="C511" s="30" t="s">
        <v>122</v>
      </c>
      <c r="D511" s="30" t="s">
        <v>122</v>
      </c>
      <c r="E511" s="35">
        <v>42992.0</v>
      </c>
      <c r="F511" s="37" t="s">
        <v>150</v>
      </c>
      <c r="G511" s="30" t="s">
        <v>2959</v>
      </c>
      <c r="H511" s="30" t="s">
        <v>145</v>
      </c>
      <c r="I511" s="30" t="s">
        <v>687</v>
      </c>
      <c r="J511" s="30" t="s">
        <v>687</v>
      </c>
      <c r="K511" s="30" t="s">
        <v>687</v>
      </c>
      <c r="L511" s="30" t="s">
        <v>687</v>
      </c>
      <c r="M511" s="30" t="s">
        <v>687</v>
      </c>
      <c r="N511" s="30" t="s">
        <v>145</v>
      </c>
      <c r="O511" s="30" t="s">
        <v>145</v>
      </c>
      <c r="P511" s="30" t="s">
        <v>145</v>
      </c>
      <c r="Q511" s="30" t="s">
        <v>687</v>
      </c>
    </row>
    <row r="512" hidden="1">
      <c r="A512" s="33" t="s">
        <v>2960</v>
      </c>
      <c r="B512" s="30" t="s">
        <v>139</v>
      </c>
      <c r="C512" s="30" t="s">
        <v>148</v>
      </c>
      <c r="D512" s="30" t="s">
        <v>122</v>
      </c>
      <c r="E512" s="35">
        <v>42992.0</v>
      </c>
      <c r="F512" s="37" t="s">
        <v>154</v>
      </c>
      <c r="G512" s="30" t="s">
        <v>340</v>
      </c>
      <c r="H512" s="30" t="s">
        <v>145</v>
      </c>
      <c r="I512" s="30" t="s">
        <v>145</v>
      </c>
      <c r="J512" s="30" t="s">
        <v>145</v>
      </c>
      <c r="K512" s="30" t="s">
        <v>145</v>
      </c>
      <c r="L512" s="30" t="s">
        <v>145</v>
      </c>
      <c r="M512" s="30" t="s">
        <v>145</v>
      </c>
      <c r="N512" s="30" t="s">
        <v>145</v>
      </c>
      <c r="O512" s="30" t="s">
        <v>145</v>
      </c>
      <c r="P512" s="30" t="s">
        <v>145</v>
      </c>
      <c r="Q512" s="30" t="s">
        <v>152</v>
      </c>
    </row>
    <row r="513" hidden="1">
      <c r="A513" s="33" t="s">
        <v>2965</v>
      </c>
      <c r="B513" s="30" t="s">
        <v>139</v>
      </c>
      <c r="C513" s="30" t="s">
        <v>148</v>
      </c>
      <c r="D513" s="30" t="s">
        <v>122</v>
      </c>
      <c r="E513" s="35">
        <v>42992.0</v>
      </c>
      <c r="F513" s="37" t="s">
        <v>154</v>
      </c>
      <c r="G513" s="30" t="s">
        <v>340</v>
      </c>
      <c r="H513" s="30" t="s">
        <v>145</v>
      </c>
      <c r="I513" s="30" t="s">
        <v>145</v>
      </c>
      <c r="J513" s="30" t="s">
        <v>145</v>
      </c>
      <c r="K513" s="30" t="s">
        <v>145</v>
      </c>
      <c r="L513" s="30" t="s">
        <v>145</v>
      </c>
      <c r="M513" s="30" t="s">
        <v>145</v>
      </c>
      <c r="N513" s="30" t="s">
        <v>145</v>
      </c>
      <c r="O513" s="30" t="s">
        <v>145</v>
      </c>
      <c r="P513" s="30" t="s">
        <v>145</v>
      </c>
      <c r="Q513" s="30" t="s">
        <v>152</v>
      </c>
    </row>
    <row r="514" hidden="1">
      <c r="A514" s="33" t="s">
        <v>2969</v>
      </c>
      <c r="B514" s="30" t="s">
        <v>139</v>
      </c>
      <c r="C514" s="30" t="s">
        <v>148</v>
      </c>
      <c r="D514" s="30" t="s">
        <v>122</v>
      </c>
      <c r="E514" s="35">
        <v>42992.0</v>
      </c>
      <c r="F514" s="37" t="s">
        <v>154</v>
      </c>
      <c r="G514" s="30" t="s">
        <v>340</v>
      </c>
      <c r="H514" s="30" t="s">
        <v>145</v>
      </c>
      <c r="I514" s="30" t="s">
        <v>145</v>
      </c>
      <c r="J514" s="30" t="s">
        <v>145</v>
      </c>
      <c r="K514" s="30" t="s">
        <v>145</v>
      </c>
      <c r="L514" s="30" t="s">
        <v>145</v>
      </c>
      <c r="M514" s="30" t="s">
        <v>145</v>
      </c>
      <c r="N514" s="30" t="s">
        <v>145</v>
      </c>
      <c r="O514" s="30" t="s">
        <v>145</v>
      </c>
      <c r="P514" s="30" t="s">
        <v>145</v>
      </c>
      <c r="Q514" s="30" t="s">
        <v>152</v>
      </c>
    </row>
    <row r="515" hidden="1">
      <c r="A515" s="33" t="s">
        <v>2974</v>
      </c>
      <c r="B515" s="30" t="s">
        <v>139</v>
      </c>
      <c r="C515" s="30" t="s">
        <v>140</v>
      </c>
      <c r="D515" s="30" t="s">
        <v>141</v>
      </c>
      <c r="E515" s="35">
        <v>42991.0</v>
      </c>
      <c r="F515" s="37" t="s">
        <v>150</v>
      </c>
      <c r="G515" s="30" t="s">
        <v>626</v>
      </c>
      <c r="H515" s="30" t="s">
        <v>146</v>
      </c>
      <c r="I515" s="30" t="s">
        <v>503</v>
      </c>
      <c r="J515" s="30" t="s">
        <v>145</v>
      </c>
      <c r="K515" s="30" t="s">
        <v>145</v>
      </c>
      <c r="L515" s="30" t="s">
        <v>145</v>
      </c>
      <c r="M515" s="30" t="s">
        <v>145</v>
      </c>
      <c r="N515" s="30" t="s">
        <v>145</v>
      </c>
      <c r="O515" s="30" t="s">
        <v>145</v>
      </c>
      <c r="P515" s="30" t="s">
        <v>145</v>
      </c>
      <c r="Q515" s="30" t="s">
        <v>146</v>
      </c>
    </row>
    <row r="516" hidden="1">
      <c r="A516" s="33" t="s">
        <v>2979</v>
      </c>
      <c r="B516" s="30" t="s">
        <v>139</v>
      </c>
      <c r="C516" s="30" t="s">
        <v>1587</v>
      </c>
      <c r="D516" s="30" t="s">
        <v>140</v>
      </c>
      <c r="E516" s="35">
        <v>42990.0</v>
      </c>
      <c r="F516" s="37" t="s">
        <v>154</v>
      </c>
      <c r="G516" s="30" t="s">
        <v>2981</v>
      </c>
      <c r="H516" s="30" t="s">
        <v>145</v>
      </c>
      <c r="I516" s="30" t="s">
        <v>145</v>
      </c>
      <c r="J516" s="30" t="s">
        <v>145</v>
      </c>
      <c r="K516" s="30" t="s">
        <v>145</v>
      </c>
      <c r="L516" s="30" t="s">
        <v>145</v>
      </c>
      <c r="M516" s="30" t="s">
        <v>145</v>
      </c>
      <c r="N516" s="30" t="s">
        <v>145</v>
      </c>
      <c r="O516" s="30" t="s">
        <v>145</v>
      </c>
      <c r="P516" s="30" t="s">
        <v>145</v>
      </c>
      <c r="Q516" s="30" t="s">
        <v>2527</v>
      </c>
    </row>
    <row r="517" hidden="1">
      <c r="A517" s="33" t="s">
        <v>2983</v>
      </c>
      <c r="B517" s="30" t="s">
        <v>139</v>
      </c>
      <c r="C517" s="30" t="s">
        <v>155</v>
      </c>
      <c r="D517" s="30" t="s">
        <v>155</v>
      </c>
      <c r="E517" s="35">
        <v>42989.0</v>
      </c>
      <c r="F517" s="37" t="s">
        <v>150</v>
      </c>
      <c r="G517" s="30" t="s">
        <v>1092</v>
      </c>
      <c r="H517" s="30" t="s">
        <v>145</v>
      </c>
      <c r="I517" s="30" t="s">
        <v>223</v>
      </c>
      <c r="J517" s="30" t="s">
        <v>1737</v>
      </c>
      <c r="K517" s="30" t="s">
        <v>152</v>
      </c>
      <c r="L517" s="30" t="s">
        <v>152</v>
      </c>
      <c r="M517" s="30" t="s">
        <v>2987</v>
      </c>
      <c r="N517" s="30" t="s">
        <v>145</v>
      </c>
      <c r="O517" s="30" t="s">
        <v>145</v>
      </c>
      <c r="P517" s="30" t="s">
        <v>145</v>
      </c>
      <c r="Q517" s="30" t="s">
        <v>158</v>
      </c>
    </row>
    <row r="518" hidden="1">
      <c r="A518" s="33" t="s">
        <v>2989</v>
      </c>
      <c r="B518" s="30" t="s">
        <v>139</v>
      </c>
      <c r="C518" s="30" t="s">
        <v>140</v>
      </c>
      <c r="D518" s="30" t="s">
        <v>140</v>
      </c>
      <c r="E518" s="35">
        <v>42989.0</v>
      </c>
      <c r="F518" s="37" t="s">
        <v>154</v>
      </c>
      <c r="G518" s="30" t="s">
        <v>2991</v>
      </c>
      <c r="H518" s="30" t="s">
        <v>145</v>
      </c>
      <c r="I518" s="30" t="s">
        <v>145</v>
      </c>
      <c r="J518" s="30" t="s">
        <v>145</v>
      </c>
      <c r="K518" s="30" t="s">
        <v>145</v>
      </c>
      <c r="L518" s="30" t="s">
        <v>145</v>
      </c>
      <c r="M518" s="30" t="s">
        <v>145</v>
      </c>
      <c r="N518" s="30" t="s">
        <v>145</v>
      </c>
      <c r="O518" s="30" t="s">
        <v>145</v>
      </c>
      <c r="P518" s="30" t="s">
        <v>145</v>
      </c>
      <c r="Q518" s="30" t="s">
        <v>146</v>
      </c>
    </row>
    <row r="519" hidden="1">
      <c r="A519" s="104" t="s">
        <v>2999</v>
      </c>
      <c r="B519" s="30" t="s">
        <v>139</v>
      </c>
      <c r="C519" s="30" t="s">
        <v>148</v>
      </c>
      <c r="D519" s="30" t="s">
        <v>216</v>
      </c>
      <c r="E519" s="35">
        <v>42989.0</v>
      </c>
      <c r="F519" s="37" t="s">
        <v>150</v>
      </c>
      <c r="G519" s="30" t="s">
        <v>3002</v>
      </c>
      <c r="H519" s="30" t="s">
        <v>223</v>
      </c>
      <c r="I519" s="30" t="s">
        <v>3004</v>
      </c>
      <c r="J519" s="30" t="s">
        <v>152</v>
      </c>
      <c r="K519" s="30" t="s">
        <v>3005</v>
      </c>
      <c r="L519" s="30" t="s">
        <v>3006</v>
      </c>
      <c r="M519" s="30" t="s">
        <v>3005</v>
      </c>
      <c r="N519" s="2" t="s">
        <v>152</v>
      </c>
      <c r="O519" s="30" t="s">
        <v>152</v>
      </c>
      <c r="P519" s="30" t="s">
        <v>152</v>
      </c>
      <c r="Q519" s="30" t="s">
        <v>152</v>
      </c>
    </row>
    <row r="520" hidden="1">
      <c r="A520" s="33" t="s">
        <v>3009</v>
      </c>
      <c r="B520" s="30" t="s">
        <v>139</v>
      </c>
      <c r="C520" s="30" t="s">
        <v>140</v>
      </c>
      <c r="D520" s="30" t="s">
        <v>122</v>
      </c>
      <c r="E520" s="35">
        <v>42986.0</v>
      </c>
      <c r="F520" s="37" t="s">
        <v>150</v>
      </c>
      <c r="G520" s="30" t="s">
        <v>171</v>
      </c>
      <c r="H520" s="30" t="s">
        <v>145</v>
      </c>
      <c r="I520" s="30" t="s">
        <v>146</v>
      </c>
      <c r="J520" s="30" t="s">
        <v>146</v>
      </c>
      <c r="K520" s="30" t="s">
        <v>3013</v>
      </c>
      <c r="L520" s="30" t="s">
        <v>1301</v>
      </c>
      <c r="M520" s="30" t="s">
        <v>1773</v>
      </c>
      <c r="N520" s="2" t="s">
        <v>156</v>
      </c>
      <c r="O520" s="30" t="s">
        <v>156</v>
      </c>
      <c r="P520" s="30" t="s">
        <v>156</v>
      </c>
      <c r="Q520" s="30" t="s">
        <v>146</v>
      </c>
    </row>
    <row r="521" hidden="1">
      <c r="A521" s="33" t="s">
        <v>3017</v>
      </c>
      <c r="B521" s="30" t="s">
        <v>139</v>
      </c>
      <c r="C521" s="30" t="s">
        <v>337</v>
      </c>
      <c r="D521" s="30" t="s">
        <v>177</v>
      </c>
      <c r="E521" s="35">
        <v>42985.0</v>
      </c>
      <c r="F521" s="37" t="s">
        <v>150</v>
      </c>
      <c r="G521" s="30" t="s">
        <v>3019</v>
      </c>
      <c r="H521" s="30" t="s">
        <v>146</v>
      </c>
      <c r="I521" s="30" t="s">
        <v>163</v>
      </c>
      <c r="J521" s="30" t="s">
        <v>407</v>
      </c>
      <c r="K521" s="30" t="s">
        <v>152</v>
      </c>
      <c r="L521" s="30" t="s">
        <v>152</v>
      </c>
      <c r="M521" s="30" t="s">
        <v>2579</v>
      </c>
      <c r="N521" s="30" t="s">
        <v>152</v>
      </c>
      <c r="O521" s="30" t="s">
        <v>152</v>
      </c>
      <c r="P521" s="30" t="s">
        <v>152</v>
      </c>
      <c r="Q521" s="30" t="s">
        <v>404</v>
      </c>
    </row>
    <row r="522" hidden="1">
      <c r="A522" s="33" t="s">
        <v>3023</v>
      </c>
      <c r="B522" s="30" t="s">
        <v>139</v>
      </c>
      <c r="C522" s="30" t="s">
        <v>177</v>
      </c>
      <c r="D522" s="30" t="s">
        <v>177</v>
      </c>
      <c r="E522" s="35">
        <v>42985.0</v>
      </c>
      <c r="F522" s="37" t="s">
        <v>150</v>
      </c>
      <c r="G522" s="30" t="s">
        <v>1000</v>
      </c>
      <c r="H522" s="30" t="s">
        <v>146</v>
      </c>
      <c r="I522" s="30" t="s">
        <v>163</v>
      </c>
      <c r="J522" s="30" t="s">
        <v>407</v>
      </c>
      <c r="K522" s="30" t="s">
        <v>3029</v>
      </c>
      <c r="L522" s="30" t="s">
        <v>152</v>
      </c>
      <c r="M522" s="30" t="s">
        <v>686</v>
      </c>
      <c r="N522" s="30" t="s">
        <v>556</v>
      </c>
      <c r="O522" s="30" t="s">
        <v>556</v>
      </c>
      <c r="P522" s="30" t="s">
        <v>3031</v>
      </c>
      <c r="Q522" s="30" t="s">
        <v>1471</v>
      </c>
    </row>
    <row r="523" hidden="1">
      <c r="A523" s="33" t="s">
        <v>3033</v>
      </c>
      <c r="B523" s="30" t="s">
        <v>139</v>
      </c>
      <c r="C523" s="30" t="s">
        <v>140</v>
      </c>
      <c r="D523" s="30" t="s">
        <v>140</v>
      </c>
      <c r="E523" s="35">
        <v>42985.0</v>
      </c>
      <c r="F523" s="37" t="s">
        <v>269</v>
      </c>
      <c r="G523" s="30" t="s">
        <v>3034</v>
      </c>
      <c r="H523" s="30" t="s">
        <v>145</v>
      </c>
      <c r="I523" s="30" t="s">
        <v>145</v>
      </c>
      <c r="J523" s="30" t="s">
        <v>145</v>
      </c>
      <c r="K523" s="30" t="s">
        <v>145</v>
      </c>
      <c r="L523" s="30" t="s">
        <v>145</v>
      </c>
      <c r="M523" s="30" t="s">
        <v>145</v>
      </c>
      <c r="N523" s="30" t="s">
        <v>145</v>
      </c>
      <c r="O523" s="30" t="s">
        <v>145</v>
      </c>
      <c r="P523" s="30" t="s">
        <v>145</v>
      </c>
      <c r="Q523" s="30" t="s">
        <v>146</v>
      </c>
    </row>
    <row r="524" hidden="1">
      <c r="A524" s="33" t="s">
        <v>3038</v>
      </c>
      <c r="B524" s="30" t="s">
        <v>139</v>
      </c>
      <c r="C524" s="30" t="s">
        <v>140</v>
      </c>
      <c r="D524" s="30" t="s">
        <v>140</v>
      </c>
      <c r="E524" s="35">
        <v>42984.0</v>
      </c>
      <c r="F524" s="37" t="s">
        <v>184</v>
      </c>
      <c r="G524" s="30" t="s">
        <v>264</v>
      </c>
      <c r="H524" s="30" t="s">
        <v>145</v>
      </c>
      <c r="I524" s="30" t="s">
        <v>146</v>
      </c>
      <c r="J524" s="30" t="s">
        <v>146</v>
      </c>
      <c r="K524" s="30" t="s">
        <v>146</v>
      </c>
      <c r="L524" s="30" t="s">
        <v>146</v>
      </c>
      <c r="M524" s="30" t="s">
        <v>145</v>
      </c>
      <c r="N524" s="30" t="s">
        <v>145</v>
      </c>
      <c r="O524" s="30" t="s">
        <v>145</v>
      </c>
      <c r="P524" s="30" t="s">
        <v>145</v>
      </c>
      <c r="Q524" s="30" t="s">
        <v>146</v>
      </c>
    </row>
    <row r="525" hidden="1">
      <c r="A525" s="33" t="s">
        <v>3043</v>
      </c>
      <c r="B525" s="30" t="s">
        <v>139</v>
      </c>
      <c r="C525" s="30" t="s">
        <v>140</v>
      </c>
      <c r="D525" s="30" t="s">
        <v>140</v>
      </c>
      <c r="E525" s="35">
        <v>42984.0</v>
      </c>
      <c r="F525" s="37" t="s">
        <v>184</v>
      </c>
      <c r="G525" s="30" t="s">
        <v>3044</v>
      </c>
      <c r="H525" s="30" t="s">
        <v>145</v>
      </c>
      <c r="I525" s="30" t="s">
        <v>146</v>
      </c>
      <c r="J525" s="30" t="s">
        <v>146</v>
      </c>
      <c r="K525" s="30" t="s">
        <v>146</v>
      </c>
      <c r="L525" s="30" t="s">
        <v>146</v>
      </c>
      <c r="M525" s="30" t="s">
        <v>145</v>
      </c>
      <c r="N525" s="30" t="s">
        <v>145</v>
      </c>
      <c r="O525" s="30" t="s">
        <v>145</v>
      </c>
      <c r="P525" s="30" t="s">
        <v>145</v>
      </c>
      <c r="Q525" s="30" t="s">
        <v>146</v>
      </c>
    </row>
    <row r="526" hidden="1">
      <c r="A526" s="33" t="s">
        <v>3047</v>
      </c>
      <c r="B526" s="30" t="s">
        <v>139</v>
      </c>
      <c r="C526" s="30" t="s">
        <v>148</v>
      </c>
      <c r="D526" s="30" t="s">
        <v>153</v>
      </c>
      <c r="E526" s="35">
        <v>42984.0</v>
      </c>
      <c r="F526" s="37" t="s">
        <v>154</v>
      </c>
      <c r="G526" s="30" t="s">
        <v>3050</v>
      </c>
      <c r="H526" s="30" t="s">
        <v>145</v>
      </c>
      <c r="I526" s="30" t="s">
        <v>145</v>
      </c>
      <c r="J526" s="30" t="s">
        <v>145</v>
      </c>
      <c r="K526" s="30" t="s">
        <v>145</v>
      </c>
      <c r="L526" s="30" t="s">
        <v>145</v>
      </c>
      <c r="M526" s="30" t="s">
        <v>145</v>
      </c>
      <c r="N526" s="30" t="s">
        <v>145</v>
      </c>
      <c r="O526" s="30" t="s">
        <v>145</v>
      </c>
      <c r="P526" s="30" t="s">
        <v>145</v>
      </c>
      <c r="Q526" s="30" t="s">
        <v>152</v>
      </c>
    </row>
    <row r="527" hidden="1">
      <c r="A527" s="33" t="s">
        <v>3052</v>
      </c>
      <c r="B527" s="30" t="s">
        <v>139</v>
      </c>
      <c r="C527" s="30" t="s">
        <v>140</v>
      </c>
      <c r="D527" s="30" t="s">
        <v>153</v>
      </c>
      <c r="E527" s="35">
        <v>42983.0</v>
      </c>
      <c r="F527" s="37" t="s">
        <v>154</v>
      </c>
      <c r="G527" s="30" t="s">
        <v>146</v>
      </c>
      <c r="H527" s="30" t="s">
        <v>145</v>
      </c>
      <c r="I527" s="30" t="s">
        <v>145</v>
      </c>
      <c r="J527" s="30" t="s">
        <v>145</v>
      </c>
      <c r="K527" s="30" t="s">
        <v>145</v>
      </c>
      <c r="L527" s="30" t="s">
        <v>145</v>
      </c>
      <c r="M527" s="30" t="s">
        <v>145</v>
      </c>
      <c r="N527" s="30" t="s">
        <v>145</v>
      </c>
      <c r="O527" s="30" t="s">
        <v>145</v>
      </c>
      <c r="P527" s="30" t="s">
        <v>145</v>
      </c>
      <c r="Q527" s="30" t="s">
        <v>146</v>
      </c>
    </row>
    <row r="528" hidden="1">
      <c r="A528" s="33" t="s">
        <v>3058</v>
      </c>
      <c r="B528" s="30" t="s">
        <v>139</v>
      </c>
      <c r="C528" s="30" t="s">
        <v>2197</v>
      </c>
      <c r="D528" s="30" t="s">
        <v>140</v>
      </c>
      <c r="E528" s="35">
        <v>42983.0</v>
      </c>
      <c r="F528" s="37" t="s">
        <v>154</v>
      </c>
      <c r="G528" s="30" t="s">
        <v>146</v>
      </c>
      <c r="H528" s="30" t="s">
        <v>145</v>
      </c>
      <c r="I528" s="30" t="s">
        <v>145</v>
      </c>
      <c r="J528" s="30" t="s">
        <v>145</v>
      </c>
      <c r="K528" s="30" t="s">
        <v>145</v>
      </c>
      <c r="L528" s="30" t="s">
        <v>145</v>
      </c>
      <c r="M528" s="30" t="s">
        <v>145</v>
      </c>
      <c r="N528" s="30" t="s">
        <v>145</v>
      </c>
      <c r="O528" s="30" t="s">
        <v>145</v>
      </c>
      <c r="P528" s="30" t="s">
        <v>145</v>
      </c>
      <c r="Q528" s="30" t="s">
        <v>146</v>
      </c>
    </row>
    <row r="529" hidden="1">
      <c r="A529" s="33" t="s">
        <v>3062</v>
      </c>
      <c r="B529" s="30" t="s">
        <v>139</v>
      </c>
      <c r="C529" s="30" t="s">
        <v>337</v>
      </c>
      <c r="D529" s="30" t="s">
        <v>337</v>
      </c>
      <c r="E529" s="35">
        <v>42979.0</v>
      </c>
      <c r="F529" s="37" t="s">
        <v>150</v>
      </c>
      <c r="G529" s="30" t="s">
        <v>264</v>
      </c>
      <c r="H529" s="30" t="s">
        <v>146</v>
      </c>
      <c r="I529" s="30" t="s">
        <v>146</v>
      </c>
      <c r="J529" s="30" t="s">
        <v>1093</v>
      </c>
      <c r="K529" s="30" t="s">
        <v>407</v>
      </c>
      <c r="L529" s="30" t="s">
        <v>407</v>
      </c>
      <c r="M529" s="30" t="s">
        <v>3066</v>
      </c>
      <c r="N529" s="30" t="s">
        <v>145</v>
      </c>
      <c r="O529" s="30" t="s">
        <v>145</v>
      </c>
      <c r="P529" s="30" t="s">
        <v>145</v>
      </c>
      <c r="Q529" s="30" t="s">
        <v>404</v>
      </c>
    </row>
    <row r="530" hidden="1">
      <c r="A530" s="33" t="s">
        <v>3070</v>
      </c>
      <c r="B530" s="30" t="s">
        <v>139</v>
      </c>
      <c r="C530" s="30" t="s">
        <v>148</v>
      </c>
      <c r="D530" s="30" t="s">
        <v>216</v>
      </c>
      <c r="E530" s="35">
        <v>42978.0</v>
      </c>
      <c r="F530" s="37" t="s">
        <v>150</v>
      </c>
      <c r="G530" s="30" t="s">
        <v>3076</v>
      </c>
      <c r="H530" s="30" t="s">
        <v>146</v>
      </c>
      <c r="I530" s="30" t="s">
        <v>146</v>
      </c>
      <c r="J530" s="30" t="s">
        <v>171</v>
      </c>
      <c r="K530" s="30" t="s">
        <v>1301</v>
      </c>
      <c r="L530" s="30" t="s">
        <v>152</v>
      </c>
      <c r="M530" s="30" t="s">
        <v>152</v>
      </c>
      <c r="N530" s="2" t="s">
        <v>213</v>
      </c>
      <c r="O530" s="30" t="s">
        <v>3078</v>
      </c>
      <c r="P530" s="30" t="s">
        <v>3080</v>
      </c>
      <c r="Q530" s="30" t="s">
        <v>152</v>
      </c>
    </row>
    <row r="531" hidden="1">
      <c r="A531" s="33" t="s">
        <v>3082</v>
      </c>
      <c r="B531" s="30" t="s">
        <v>139</v>
      </c>
      <c r="C531" s="30" t="s">
        <v>2197</v>
      </c>
      <c r="D531" s="30" t="s">
        <v>153</v>
      </c>
      <c r="E531" s="35">
        <v>42978.0</v>
      </c>
      <c r="F531" s="37" t="s">
        <v>154</v>
      </c>
      <c r="G531" s="30" t="s">
        <v>3084</v>
      </c>
      <c r="H531" s="30" t="s">
        <v>145</v>
      </c>
      <c r="I531" s="30" t="s">
        <v>145</v>
      </c>
      <c r="J531" s="30" t="s">
        <v>145</v>
      </c>
      <c r="K531" s="30" t="s">
        <v>145</v>
      </c>
      <c r="L531" s="30" t="s">
        <v>145</v>
      </c>
      <c r="M531" s="30" t="s">
        <v>145</v>
      </c>
      <c r="N531" s="30" t="s">
        <v>145</v>
      </c>
      <c r="O531" s="30" t="s">
        <v>145</v>
      </c>
      <c r="P531" s="30" t="s">
        <v>145</v>
      </c>
      <c r="Q531" s="30" t="s">
        <v>1773</v>
      </c>
    </row>
    <row r="532" hidden="1">
      <c r="A532" s="33" t="s">
        <v>3088</v>
      </c>
      <c r="B532" s="30" t="s">
        <v>139</v>
      </c>
      <c r="C532" s="30" t="s">
        <v>140</v>
      </c>
      <c r="D532" s="30" t="s">
        <v>153</v>
      </c>
      <c r="E532" s="35">
        <v>42978.0</v>
      </c>
      <c r="F532" s="37" t="s">
        <v>154</v>
      </c>
      <c r="G532" s="30" t="s">
        <v>146</v>
      </c>
      <c r="H532" s="30" t="s">
        <v>145</v>
      </c>
      <c r="I532" s="30" t="s">
        <v>145</v>
      </c>
      <c r="J532" s="30" t="s">
        <v>145</v>
      </c>
      <c r="K532" s="30" t="s">
        <v>145</v>
      </c>
      <c r="L532" s="30" t="s">
        <v>145</v>
      </c>
      <c r="M532" s="30" t="s">
        <v>145</v>
      </c>
      <c r="N532" s="30" t="s">
        <v>145</v>
      </c>
      <c r="O532" s="30" t="s">
        <v>145</v>
      </c>
      <c r="P532" s="30" t="s">
        <v>145</v>
      </c>
      <c r="Q532" s="30" t="s">
        <v>146</v>
      </c>
    </row>
    <row r="533" hidden="1">
      <c r="A533" s="33" t="s">
        <v>3092</v>
      </c>
      <c r="B533" s="30" t="s">
        <v>139</v>
      </c>
      <c r="C533" s="30" t="s">
        <v>140</v>
      </c>
      <c r="D533" s="30" t="s">
        <v>140</v>
      </c>
      <c r="E533" s="35">
        <v>42976.0</v>
      </c>
      <c r="F533" s="37" t="s">
        <v>269</v>
      </c>
      <c r="G533" s="30" t="s">
        <v>3096</v>
      </c>
      <c r="H533" s="30" t="s">
        <v>145</v>
      </c>
      <c r="I533" s="30" t="s">
        <v>145</v>
      </c>
      <c r="J533" s="30" t="s">
        <v>145</v>
      </c>
      <c r="K533" s="30" t="s">
        <v>145</v>
      </c>
      <c r="L533" s="30" t="s">
        <v>145</v>
      </c>
      <c r="M533" s="30" t="s">
        <v>145</v>
      </c>
      <c r="N533" s="30" t="s">
        <v>145</v>
      </c>
      <c r="O533" s="30" t="s">
        <v>145</v>
      </c>
      <c r="P533" s="30" t="s">
        <v>145</v>
      </c>
      <c r="Q533" s="30" t="s">
        <v>146</v>
      </c>
    </row>
    <row r="534" hidden="1">
      <c r="A534" s="33" t="s">
        <v>3097</v>
      </c>
      <c r="B534" s="30" t="s">
        <v>139</v>
      </c>
      <c r="C534" s="30" t="s">
        <v>140</v>
      </c>
      <c r="D534" s="30" t="s">
        <v>140</v>
      </c>
      <c r="E534" s="35">
        <v>42976.0</v>
      </c>
      <c r="F534" s="37" t="s">
        <v>269</v>
      </c>
      <c r="G534" s="30" t="s">
        <v>1502</v>
      </c>
      <c r="H534" s="30" t="s">
        <v>2884</v>
      </c>
      <c r="I534" s="30" t="s">
        <v>145</v>
      </c>
      <c r="J534" s="30" t="s">
        <v>145</v>
      </c>
      <c r="K534" s="30" t="s">
        <v>145</v>
      </c>
      <c r="L534" s="30" t="s">
        <v>145</v>
      </c>
      <c r="M534" s="30" t="s">
        <v>145</v>
      </c>
      <c r="N534" s="30" t="s">
        <v>145</v>
      </c>
      <c r="O534" s="30" t="s">
        <v>145</v>
      </c>
      <c r="P534" s="30" t="s">
        <v>145</v>
      </c>
      <c r="Q534" s="30" t="s">
        <v>146</v>
      </c>
    </row>
    <row r="535" hidden="1">
      <c r="A535" s="33" t="s">
        <v>3102</v>
      </c>
      <c r="B535" s="30" t="s">
        <v>139</v>
      </c>
      <c r="C535" s="30" t="s">
        <v>140</v>
      </c>
      <c r="D535" s="30" t="s">
        <v>140</v>
      </c>
      <c r="E535" s="35">
        <v>42976.0</v>
      </c>
      <c r="F535" s="37" t="s">
        <v>143</v>
      </c>
      <c r="G535" s="30" t="s">
        <v>3096</v>
      </c>
      <c r="H535" s="30" t="s">
        <v>145</v>
      </c>
      <c r="I535" s="30" t="s">
        <v>145</v>
      </c>
      <c r="J535" s="30" t="s">
        <v>145</v>
      </c>
      <c r="K535" s="30" t="s">
        <v>145</v>
      </c>
      <c r="L535" s="30" t="s">
        <v>145</v>
      </c>
      <c r="M535" s="30" t="s">
        <v>145</v>
      </c>
      <c r="N535" s="30" t="s">
        <v>145</v>
      </c>
      <c r="O535" s="30" t="s">
        <v>145</v>
      </c>
      <c r="P535" s="30" t="s">
        <v>145</v>
      </c>
      <c r="Q535" s="30" t="s">
        <v>146</v>
      </c>
    </row>
    <row r="536" hidden="1">
      <c r="A536" s="33" t="s">
        <v>3104</v>
      </c>
      <c r="B536" s="30" t="s">
        <v>139</v>
      </c>
      <c r="C536" s="30" t="s">
        <v>140</v>
      </c>
      <c r="D536" s="30" t="s">
        <v>140</v>
      </c>
      <c r="E536" s="35">
        <v>42976.0</v>
      </c>
      <c r="F536" s="37" t="s">
        <v>452</v>
      </c>
      <c r="G536" s="2" t="s">
        <v>3106</v>
      </c>
      <c r="H536" s="30" t="s">
        <v>145</v>
      </c>
      <c r="I536" s="30" t="s">
        <v>146</v>
      </c>
      <c r="J536" s="30" t="s">
        <v>146</v>
      </c>
      <c r="K536" s="30" t="s">
        <v>146</v>
      </c>
      <c r="L536" s="30" t="s">
        <v>146</v>
      </c>
      <c r="M536" s="30" t="s">
        <v>145</v>
      </c>
      <c r="N536" s="30" t="s">
        <v>145</v>
      </c>
      <c r="O536" s="30" t="s">
        <v>145</v>
      </c>
      <c r="P536" s="30" t="s">
        <v>145</v>
      </c>
      <c r="Q536" s="30" t="s">
        <v>146</v>
      </c>
    </row>
    <row r="537" hidden="1">
      <c r="A537" s="33" t="s">
        <v>3111</v>
      </c>
      <c r="B537" s="30" t="s">
        <v>139</v>
      </c>
      <c r="C537" s="30" t="s">
        <v>140</v>
      </c>
      <c r="D537" s="30" t="s">
        <v>140</v>
      </c>
      <c r="E537" s="35">
        <v>42975.0</v>
      </c>
      <c r="F537" s="37" t="s">
        <v>184</v>
      </c>
      <c r="G537" s="30" t="s">
        <v>626</v>
      </c>
      <c r="H537" s="30" t="s">
        <v>145</v>
      </c>
      <c r="I537" s="30" t="s">
        <v>146</v>
      </c>
      <c r="J537" s="30" t="s">
        <v>146</v>
      </c>
      <c r="K537" s="30" t="s">
        <v>145</v>
      </c>
      <c r="L537" s="30" t="s">
        <v>145</v>
      </c>
      <c r="M537" s="30" t="s">
        <v>145</v>
      </c>
      <c r="N537" s="30" t="s">
        <v>145</v>
      </c>
      <c r="O537" s="30" t="s">
        <v>145</v>
      </c>
      <c r="P537" s="30" t="s">
        <v>145</v>
      </c>
      <c r="Q537" s="30" t="s">
        <v>146</v>
      </c>
    </row>
    <row r="538" hidden="1">
      <c r="A538" s="33" t="s">
        <v>3116</v>
      </c>
      <c r="B538" s="30" t="s">
        <v>139</v>
      </c>
      <c r="C538" s="30" t="s">
        <v>141</v>
      </c>
      <c r="D538" s="30" t="s">
        <v>141</v>
      </c>
      <c r="E538" s="35">
        <v>42975.0</v>
      </c>
      <c r="F538" s="37" t="s">
        <v>150</v>
      </c>
      <c r="G538" s="30" t="s">
        <v>358</v>
      </c>
      <c r="H538" s="30" t="s">
        <v>223</v>
      </c>
      <c r="I538" s="30" t="s">
        <v>223</v>
      </c>
      <c r="J538" s="30" t="s">
        <v>1476</v>
      </c>
      <c r="K538" s="30" t="s">
        <v>152</v>
      </c>
      <c r="L538" s="30" t="s">
        <v>152</v>
      </c>
      <c r="M538" s="30" t="s">
        <v>504</v>
      </c>
      <c r="N538" s="30" t="s">
        <v>145</v>
      </c>
      <c r="O538" s="30" t="s">
        <v>145</v>
      </c>
      <c r="P538" s="30" t="s">
        <v>145</v>
      </c>
      <c r="Q538" s="30" t="s">
        <v>180</v>
      </c>
    </row>
    <row r="539" hidden="1">
      <c r="A539" s="33" t="s">
        <v>3120</v>
      </c>
      <c r="B539" s="30" t="s">
        <v>139</v>
      </c>
      <c r="C539" s="30" t="s">
        <v>141</v>
      </c>
      <c r="D539" s="30" t="s">
        <v>141</v>
      </c>
      <c r="E539" s="35">
        <v>42975.0</v>
      </c>
      <c r="F539" s="37" t="s">
        <v>150</v>
      </c>
      <c r="G539" s="30" t="s">
        <v>368</v>
      </c>
      <c r="H539" s="30" t="s">
        <v>145</v>
      </c>
      <c r="I539" s="30" t="s">
        <v>145</v>
      </c>
      <c r="J539" s="30" t="s">
        <v>145</v>
      </c>
      <c r="K539" s="30" t="s">
        <v>145</v>
      </c>
      <c r="L539" s="30" t="s">
        <v>145</v>
      </c>
      <c r="M539" s="30" t="s">
        <v>145</v>
      </c>
      <c r="N539" s="30" t="s">
        <v>145</v>
      </c>
      <c r="O539" s="30" t="s">
        <v>145</v>
      </c>
      <c r="P539" s="30" t="s">
        <v>145</v>
      </c>
      <c r="Q539" s="30" t="s">
        <v>180</v>
      </c>
    </row>
    <row r="540" hidden="1">
      <c r="A540" s="33" t="s">
        <v>3127</v>
      </c>
      <c r="B540" s="30" t="s">
        <v>139</v>
      </c>
      <c r="C540" s="30" t="s">
        <v>148</v>
      </c>
      <c r="D540" s="30" t="s">
        <v>337</v>
      </c>
      <c r="E540" s="35">
        <v>42972.0</v>
      </c>
      <c r="F540" s="37" t="s">
        <v>150</v>
      </c>
      <c r="G540" s="30" t="s">
        <v>368</v>
      </c>
      <c r="H540" s="30" t="s">
        <v>145</v>
      </c>
      <c r="I540" s="30" t="s">
        <v>152</v>
      </c>
      <c r="J540" s="30" t="s">
        <v>2321</v>
      </c>
      <c r="K540" s="30" t="s">
        <v>152</v>
      </c>
      <c r="L540" s="30" t="s">
        <v>152</v>
      </c>
      <c r="M540" s="30" t="s">
        <v>152</v>
      </c>
      <c r="N540" s="30" t="s">
        <v>145</v>
      </c>
      <c r="O540" s="30" t="s">
        <v>145</v>
      </c>
      <c r="P540" s="30" t="s">
        <v>145</v>
      </c>
      <c r="Q540" s="30" t="s">
        <v>152</v>
      </c>
    </row>
    <row r="541" hidden="1">
      <c r="A541" s="33" t="s">
        <v>3131</v>
      </c>
      <c r="B541" s="30" t="s">
        <v>139</v>
      </c>
      <c r="C541" s="30" t="s">
        <v>122</v>
      </c>
      <c r="D541" s="30" t="s">
        <v>122</v>
      </c>
      <c r="E541" s="35">
        <v>42972.0</v>
      </c>
      <c r="F541" s="37" t="s">
        <v>150</v>
      </c>
      <c r="G541" s="30" t="s">
        <v>679</v>
      </c>
      <c r="H541" s="30" t="s">
        <v>687</v>
      </c>
      <c r="I541" s="30" t="s">
        <v>687</v>
      </c>
      <c r="J541" s="30" t="s">
        <v>503</v>
      </c>
      <c r="K541" s="30" t="s">
        <v>146</v>
      </c>
      <c r="L541" s="30" t="s">
        <v>146</v>
      </c>
      <c r="M541" s="30" t="s">
        <v>3135</v>
      </c>
      <c r="N541" s="30" t="s">
        <v>145</v>
      </c>
      <c r="O541" s="30" t="s">
        <v>145</v>
      </c>
      <c r="P541" s="30" t="s">
        <v>145</v>
      </c>
      <c r="Q541" s="30" t="s">
        <v>687</v>
      </c>
    </row>
    <row r="542" hidden="1">
      <c r="A542" s="33" t="s">
        <v>3138</v>
      </c>
      <c r="B542" s="30" t="s">
        <v>139</v>
      </c>
      <c r="C542" s="30" t="s">
        <v>122</v>
      </c>
      <c r="D542" s="30" t="s">
        <v>122</v>
      </c>
      <c r="E542" s="35">
        <v>42972.0</v>
      </c>
      <c r="F542" s="37" t="s">
        <v>150</v>
      </c>
      <c r="G542" s="30" t="s">
        <v>1510</v>
      </c>
      <c r="H542" s="30" t="s">
        <v>223</v>
      </c>
      <c r="I542" s="30" t="s">
        <v>223</v>
      </c>
      <c r="J542" s="30" t="s">
        <v>3141</v>
      </c>
      <c r="K542" s="30" t="s">
        <v>3142</v>
      </c>
      <c r="L542" s="30" t="s">
        <v>3142</v>
      </c>
      <c r="M542" s="30" t="s">
        <v>3142</v>
      </c>
      <c r="N542" s="30" t="s">
        <v>145</v>
      </c>
      <c r="O542" s="30" t="s">
        <v>145</v>
      </c>
      <c r="P542" s="30" t="s">
        <v>145</v>
      </c>
      <c r="Q542" s="30" t="s">
        <v>687</v>
      </c>
    </row>
    <row r="543" hidden="1">
      <c r="A543" s="33" t="s">
        <v>3144</v>
      </c>
      <c r="B543" s="30" t="s">
        <v>139</v>
      </c>
      <c r="C543" s="30" t="s">
        <v>1196</v>
      </c>
      <c r="D543" s="30" t="s">
        <v>122</v>
      </c>
      <c r="E543" s="35">
        <v>42972.0</v>
      </c>
      <c r="F543" s="37" t="s">
        <v>150</v>
      </c>
      <c r="G543" s="30" t="s">
        <v>1196</v>
      </c>
      <c r="H543" s="30" t="s">
        <v>223</v>
      </c>
      <c r="I543" s="30" t="s">
        <v>3147</v>
      </c>
      <c r="J543" s="30" t="s">
        <v>3142</v>
      </c>
      <c r="K543" s="30" t="s">
        <v>687</v>
      </c>
      <c r="L543" s="30" t="s">
        <v>2287</v>
      </c>
      <c r="M543" s="30" t="s">
        <v>687</v>
      </c>
      <c r="N543" s="30" t="s">
        <v>145</v>
      </c>
      <c r="O543" s="30" t="s">
        <v>145</v>
      </c>
      <c r="P543" s="30" t="s">
        <v>145</v>
      </c>
      <c r="Q543" s="30" t="s">
        <v>3142</v>
      </c>
    </row>
    <row r="544" hidden="1">
      <c r="A544" s="33" t="s">
        <v>3149</v>
      </c>
      <c r="B544" s="30" t="s">
        <v>139</v>
      </c>
      <c r="C544" s="30" t="s">
        <v>140</v>
      </c>
      <c r="D544" s="30" t="s">
        <v>140</v>
      </c>
      <c r="E544" s="35">
        <v>42971.0</v>
      </c>
      <c r="F544" s="37" t="s">
        <v>269</v>
      </c>
      <c r="G544" s="30" t="s">
        <v>144</v>
      </c>
      <c r="H544" s="30" t="s">
        <v>145</v>
      </c>
      <c r="I544" s="30" t="s">
        <v>145</v>
      </c>
      <c r="J544" s="30" t="s">
        <v>145</v>
      </c>
      <c r="K544" s="30" t="s">
        <v>145</v>
      </c>
      <c r="L544" s="30" t="s">
        <v>145</v>
      </c>
      <c r="M544" s="30" t="s">
        <v>145</v>
      </c>
      <c r="N544" s="30" t="s">
        <v>145</v>
      </c>
      <c r="O544" s="30" t="s">
        <v>145</v>
      </c>
      <c r="P544" s="30" t="s">
        <v>145</v>
      </c>
      <c r="Q544" s="30" t="s">
        <v>146</v>
      </c>
    </row>
    <row r="545" hidden="1">
      <c r="A545" s="33" t="s">
        <v>3153</v>
      </c>
      <c r="B545" s="30" t="s">
        <v>139</v>
      </c>
      <c r="C545" s="30" t="s">
        <v>140</v>
      </c>
      <c r="D545" s="30" t="s">
        <v>140</v>
      </c>
      <c r="E545" s="35">
        <v>42971.0</v>
      </c>
      <c r="F545" s="37" t="s">
        <v>269</v>
      </c>
      <c r="G545" s="30" t="s">
        <v>144</v>
      </c>
      <c r="H545" s="30" t="s">
        <v>145</v>
      </c>
      <c r="I545" s="30" t="s">
        <v>145</v>
      </c>
      <c r="J545" s="30" t="s">
        <v>145</v>
      </c>
      <c r="K545" s="30" t="s">
        <v>145</v>
      </c>
      <c r="L545" s="30" t="s">
        <v>145</v>
      </c>
      <c r="M545" s="30" t="s">
        <v>145</v>
      </c>
      <c r="N545" s="30" t="s">
        <v>145</v>
      </c>
      <c r="O545" s="30" t="s">
        <v>145</v>
      </c>
      <c r="P545" s="30" t="s">
        <v>145</v>
      </c>
      <c r="Q545" s="30" t="s">
        <v>146</v>
      </c>
    </row>
    <row r="546" hidden="1">
      <c r="A546" s="33" t="s">
        <v>3157</v>
      </c>
      <c r="B546" s="30" t="s">
        <v>139</v>
      </c>
      <c r="C546" s="30" t="s">
        <v>148</v>
      </c>
      <c r="D546" s="30" t="s">
        <v>177</v>
      </c>
      <c r="E546" s="35">
        <v>42971.0</v>
      </c>
      <c r="F546" s="37" t="s">
        <v>154</v>
      </c>
      <c r="G546" s="30" t="s">
        <v>156</v>
      </c>
      <c r="H546" s="30" t="s">
        <v>145</v>
      </c>
      <c r="I546" s="30" t="s">
        <v>145</v>
      </c>
      <c r="J546" s="30" t="s">
        <v>145</v>
      </c>
      <c r="K546" s="30" t="s">
        <v>145</v>
      </c>
      <c r="L546" s="30" t="s">
        <v>145</v>
      </c>
      <c r="M546" s="30" t="s">
        <v>145</v>
      </c>
      <c r="N546" s="30" t="s">
        <v>145</v>
      </c>
      <c r="O546" s="30" t="s">
        <v>145</v>
      </c>
      <c r="P546" s="30" t="s">
        <v>145</v>
      </c>
      <c r="Q546" s="30" t="s">
        <v>152</v>
      </c>
    </row>
    <row r="547" hidden="1">
      <c r="A547" s="33" t="s">
        <v>3162</v>
      </c>
      <c r="B547" s="30" t="s">
        <v>139</v>
      </c>
      <c r="C547" s="30" t="s">
        <v>140</v>
      </c>
      <c r="D547" s="30" t="s">
        <v>177</v>
      </c>
      <c r="E547" s="35">
        <v>42971.0</v>
      </c>
      <c r="F547" s="37" t="s">
        <v>154</v>
      </c>
      <c r="G547" s="30" t="s">
        <v>144</v>
      </c>
      <c r="H547" s="30" t="s">
        <v>145</v>
      </c>
      <c r="I547" s="30" t="s">
        <v>145</v>
      </c>
      <c r="J547" s="30" t="s">
        <v>145</v>
      </c>
      <c r="K547" s="30" t="s">
        <v>145</v>
      </c>
      <c r="L547" s="30" t="s">
        <v>145</v>
      </c>
      <c r="M547" s="30" t="s">
        <v>145</v>
      </c>
      <c r="N547" s="30" t="s">
        <v>145</v>
      </c>
      <c r="O547" s="30" t="s">
        <v>145</v>
      </c>
      <c r="P547" s="30" t="s">
        <v>145</v>
      </c>
      <c r="Q547" s="30" t="s">
        <v>146</v>
      </c>
    </row>
    <row r="548" hidden="1">
      <c r="A548" s="33" t="s">
        <v>3169</v>
      </c>
      <c r="B548" s="30" t="s">
        <v>139</v>
      </c>
      <c r="C548" s="30" t="s">
        <v>140</v>
      </c>
      <c r="D548" s="30" t="s">
        <v>177</v>
      </c>
      <c r="E548" s="35">
        <v>42971.0</v>
      </c>
      <c r="F548" s="37" t="s">
        <v>154</v>
      </c>
      <c r="G548" s="30" t="s">
        <v>144</v>
      </c>
      <c r="H548" s="30" t="s">
        <v>145</v>
      </c>
      <c r="I548" s="30" t="s">
        <v>145</v>
      </c>
      <c r="J548" s="30" t="s">
        <v>145</v>
      </c>
      <c r="K548" s="30" t="s">
        <v>145</v>
      </c>
      <c r="L548" s="30" t="s">
        <v>145</v>
      </c>
      <c r="M548" s="30" t="s">
        <v>145</v>
      </c>
      <c r="N548" s="30" t="s">
        <v>145</v>
      </c>
      <c r="O548" s="30" t="s">
        <v>145</v>
      </c>
      <c r="P548" s="30" t="s">
        <v>145</v>
      </c>
      <c r="Q548" s="30" t="s">
        <v>146</v>
      </c>
    </row>
    <row r="549" hidden="1">
      <c r="A549" s="33" t="s">
        <v>3174</v>
      </c>
      <c r="B549" s="30" t="s">
        <v>139</v>
      </c>
      <c r="C549" s="30" t="s">
        <v>337</v>
      </c>
      <c r="D549" s="30" t="s">
        <v>177</v>
      </c>
      <c r="E549" s="35">
        <v>42971.0</v>
      </c>
      <c r="F549" s="37" t="s">
        <v>154</v>
      </c>
      <c r="G549" s="30" t="s">
        <v>3175</v>
      </c>
      <c r="H549" s="30" t="s">
        <v>145</v>
      </c>
      <c r="I549" s="30" t="s">
        <v>145</v>
      </c>
      <c r="J549" s="30" t="s">
        <v>145</v>
      </c>
      <c r="K549" s="30" t="s">
        <v>145</v>
      </c>
      <c r="L549" s="30" t="s">
        <v>145</v>
      </c>
      <c r="M549" s="30" t="s">
        <v>145</v>
      </c>
      <c r="N549" s="30" t="s">
        <v>145</v>
      </c>
      <c r="O549" s="30" t="s">
        <v>145</v>
      </c>
      <c r="P549" s="30" t="s">
        <v>145</v>
      </c>
      <c r="Q549" s="30" t="s">
        <v>1471</v>
      </c>
    </row>
    <row r="550" hidden="1">
      <c r="A550" s="33" t="s">
        <v>3178</v>
      </c>
      <c r="B550" s="30" t="s">
        <v>139</v>
      </c>
      <c r="C550" s="30" t="s">
        <v>453</v>
      </c>
      <c r="D550" s="30" t="s">
        <v>177</v>
      </c>
      <c r="E550" s="35">
        <v>42971.0</v>
      </c>
      <c r="F550" s="37" t="s">
        <v>154</v>
      </c>
      <c r="G550" s="30" t="s">
        <v>3180</v>
      </c>
      <c r="H550" s="30" t="s">
        <v>145</v>
      </c>
      <c r="I550" s="30" t="s">
        <v>145</v>
      </c>
      <c r="J550" s="30" t="s">
        <v>145</v>
      </c>
      <c r="K550" s="30" t="s">
        <v>145</v>
      </c>
      <c r="L550" s="30" t="s">
        <v>145</v>
      </c>
      <c r="M550" s="30" t="s">
        <v>145</v>
      </c>
      <c r="N550" s="30" t="s">
        <v>145</v>
      </c>
      <c r="O550" s="30" t="s">
        <v>145</v>
      </c>
      <c r="P550" s="30" t="s">
        <v>145</v>
      </c>
      <c r="Q550" s="30" t="s">
        <v>1471</v>
      </c>
    </row>
    <row r="551" hidden="1">
      <c r="A551" s="33" t="s">
        <v>3183</v>
      </c>
      <c r="B551" s="30" t="s">
        <v>139</v>
      </c>
      <c r="C551" s="30" t="s">
        <v>148</v>
      </c>
      <c r="D551" s="30" t="s">
        <v>177</v>
      </c>
      <c r="E551" s="35">
        <v>42971.0</v>
      </c>
      <c r="F551" s="37" t="s">
        <v>150</v>
      </c>
      <c r="G551" s="30" t="s">
        <v>368</v>
      </c>
      <c r="H551" s="30" t="s">
        <v>152</v>
      </c>
      <c r="I551" s="30" t="s">
        <v>358</v>
      </c>
      <c r="J551" s="30" t="s">
        <v>3185</v>
      </c>
      <c r="K551" s="30" t="s">
        <v>506</v>
      </c>
      <c r="L551" s="30" t="s">
        <v>324</v>
      </c>
      <c r="M551" s="30" t="s">
        <v>3186</v>
      </c>
      <c r="N551" s="30" t="s">
        <v>246</v>
      </c>
      <c r="O551" s="30" t="s">
        <v>1459</v>
      </c>
      <c r="P551" s="30" t="s">
        <v>152</v>
      </c>
      <c r="Q551" s="30" t="s">
        <v>152</v>
      </c>
    </row>
    <row r="552" hidden="1">
      <c r="A552" s="33" t="s">
        <v>3190</v>
      </c>
      <c r="B552" s="30" t="s">
        <v>139</v>
      </c>
      <c r="C552" s="30" t="s">
        <v>140</v>
      </c>
      <c r="D552" s="30" t="s">
        <v>153</v>
      </c>
      <c r="E552" s="35">
        <v>42971.0</v>
      </c>
      <c r="F552" s="37" t="s">
        <v>154</v>
      </c>
      <c r="G552" s="30" t="s">
        <v>146</v>
      </c>
      <c r="H552" s="30" t="s">
        <v>145</v>
      </c>
      <c r="I552" s="30" t="s">
        <v>145</v>
      </c>
      <c r="J552" s="30" t="s">
        <v>145</v>
      </c>
      <c r="K552" s="30" t="s">
        <v>145</v>
      </c>
      <c r="L552" s="30" t="s">
        <v>145</v>
      </c>
      <c r="M552" s="30" t="s">
        <v>145</v>
      </c>
      <c r="N552" s="30" t="s">
        <v>145</v>
      </c>
      <c r="O552" s="30" t="s">
        <v>145</v>
      </c>
      <c r="P552" s="30" t="s">
        <v>145</v>
      </c>
      <c r="Q552" s="30" t="s">
        <v>146</v>
      </c>
    </row>
    <row r="553" hidden="1">
      <c r="A553" s="33" t="s">
        <v>3195</v>
      </c>
      <c r="B553" s="30" t="s">
        <v>139</v>
      </c>
      <c r="C553" s="30" t="s">
        <v>148</v>
      </c>
      <c r="D553" s="30" t="s">
        <v>244</v>
      </c>
      <c r="E553" s="35">
        <v>42971.0</v>
      </c>
      <c r="F553" s="37" t="s">
        <v>154</v>
      </c>
      <c r="G553" s="30" t="s">
        <v>197</v>
      </c>
      <c r="H553" s="30" t="s">
        <v>145</v>
      </c>
      <c r="I553" s="30" t="s">
        <v>145</v>
      </c>
      <c r="J553" s="30" t="s">
        <v>145</v>
      </c>
      <c r="K553" s="30" t="s">
        <v>145</v>
      </c>
      <c r="L553" s="30" t="s">
        <v>145</v>
      </c>
      <c r="M553" s="30" t="s">
        <v>145</v>
      </c>
      <c r="N553" s="30" t="s">
        <v>145</v>
      </c>
      <c r="O553" s="30" t="s">
        <v>145</v>
      </c>
      <c r="P553" s="30" t="s">
        <v>145</v>
      </c>
      <c r="Q553" s="30" t="s">
        <v>152</v>
      </c>
    </row>
    <row r="554" hidden="1">
      <c r="A554" s="33" t="s">
        <v>3202</v>
      </c>
      <c r="B554" s="30" t="s">
        <v>139</v>
      </c>
      <c r="C554" s="30" t="s">
        <v>453</v>
      </c>
      <c r="D554" s="30" t="s">
        <v>244</v>
      </c>
      <c r="E554" s="35">
        <v>42971.0</v>
      </c>
      <c r="F554" s="37" t="s">
        <v>154</v>
      </c>
      <c r="G554" s="30" t="s">
        <v>457</v>
      </c>
      <c r="H554" s="30" t="s">
        <v>145</v>
      </c>
      <c r="I554" s="30" t="s">
        <v>145</v>
      </c>
      <c r="J554" s="30" t="s">
        <v>145</v>
      </c>
      <c r="K554" s="30" t="s">
        <v>145</v>
      </c>
      <c r="L554" s="30" t="s">
        <v>145</v>
      </c>
      <c r="M554" s="30" t="s">
        <v>145</v>
      </c>
      <c r="N554" s="30" t="s">
        <v>145</v>
      </c>
      <c r="O554" s="30" t="s">
        <v>145</v>
      </c>
      <c r="P554" s="30" t="s">
        <v>145</v>
      </c>
      <c r="Q554" s="30" t="s">
        <v>457</v>
      </c>
    </row>
    <row r="555" hidden="1">
      <c r="A555" s="33" t="s">
        <v>3208</v>
      </c>
      <c r="B555" s="30" t="s">
        <v>139</v>
      </c>
      <c r="C555" s="30" t="s">
        <v>148</v>
      </c>
      <c r="D555" s="30" t="s">
        <v>244</v>
      </c>
      <c r="E555" s="35">
        <v>42971.0</v>
      </c>
      <c r="F555" s="37" t="s">
        <v>150</v>
      </c>
      <c r="G555" s="30" t="s">
        <v>151</v>
      </c>
      <c r="H555" s="30" t="s">
        <v>152</v>
      </c>
      <c r="I555" s="30" t="s">
        <v>152</v>
      </c>
      <c r="J555" s="30" t="s">
        <v>531</v>
      </c>
      <c r="K555" s="30" t="s">
        <v>152</v>
      </c>
      <c r="L555" s="30" t="s">
        <v>152</v>
      </c>
      <c r="M555" s="30" t="s">
        <v>1052</v>
      </c>
      <c r="N555" s="30" t="s">
        <v>1307</v>
      </c>
      <c r="O555" s="30" t="s">
        <v>1307</v>
      </c>
      <c r="P555" s="30" t="s">
        <v>1307</v>
      </c>
      <c r="Q555" s="30" t="s">
        <v>152</v>
      </c>
    </row>
    <row r="556" hidden="1">
      <c r="A556" s="33" t="s">
        <v>3212</v>
      </c>
      <c r="B556" s="30" t="s">
        <v>139</v>
      </c>
      <c r="C556" s="30" t="s">
        <v>148</v>
      </c>
      <c r="D556" s="30" t="s">
        <v>153</v>
      </c>
      <c r="E556" s="35">
        <v>42971.0</v>
      </c>
      <c r="F556" s="37" t="s">
        <v>154</v>
      </c>
      <c r="G556" s="30" t="s">
        <v>1453</v>
      </c>
      <c r="H556" s="30" t="s">
        <v>145</v>
      </c>
      <c r="I556" s="30" t="s">
        <v>145</v>
      </c>
      <c r="J556" s="30" t="s">
        <v>145</v>
      </c>
      <c r="K556" s="30" t="s">
        <v>145</v>
      </c>
      <c r="L556" s="30" t="s">
        <v>145</v>
      </c>
      <c r="M556" s="30" t="s">
        <v>145</v>
      </c>
      <c r="N556" s="30" t="s">
        <v>145</v>
      </c>
      <c r="O556" s="30" t="s">
        <v>145</v>
      </c>
      <c r="P556" s="30" t="s">
        <v>145</v>
      </c>
      <c r="Q556" s="30" t="s">
        <v>152</v>
      </c>
    </row>
    <row r="557" hidden="1">
      <c r="A557" s="33" t="s">
        <v>3217</v>
      </c>
      <c r="B557" s="30" t="s">
        <v>139</v>
      </c>
      <c r="C557" s="30" t="s">
        <v>140</v>
      </c>
      <c r="D557" s="30" t="s">
        <v>153</v>
      </c>
      <c r="E557" s="35">
        <v>42971.0</v>
      </c>
      <c r="F557" s="37" t="s">
        <v>154</v>
      </c>
      <c r="G557" s="30" t="s">
        <v>146</v>
      </c>
      <c r="H557" s="30" t="s">
        <v>145</v>
      </c>
      <c r="I557" s="30" t="s">
        <v>145</v>
      </c>
      <c r="J557" s="30" t="s">
        <v>145</v>
      </c>
      <c r="K557" s="30" t="s">
        <v>145</v>
      </c>
      <c r="L557" s="30" t="s">
        <v>145</v>
      </c>
      <c r="M557" s="30" t="s">
        <v>145</v>
      </c>
      <c r="N557" s="30" t="s">
        <v>145</v>
      </c>
      <c r="O557" s="30" t="s">
        <v>145</v>
      </c>
      <c r="P557" s="30" t="s">
        <v>145</v>
      </c>
      <c r="Q557" s="30" t="s">
        <v>146</v>
      </c>
    </row>
    <row r="558" hidden="1">
      <c r="A558" s="33" t="s">
        <v>3222</v>
      </c>
      <c r="B558" s="30" t="s">
        <v>139</v>
      </c>
      <c r="C558" s="30" t="s">
        <v>155</v>
      </c>
      <c r="D558" s="30" t="s">
        <v>140</v>
      </c>
      <c r="E558" s="35">
        <v>42971.0</v>
      </c>
      <c r="F558" s="37" t="s">
        <v>154</v>
      </c>
      <c r="G558" s="30" t="s">
        <v>163</v>
      </c>
      <c r="H558" s="30" t="s">
        <v>145</v>
      </c>
      <c r="I558" s="30" t="s">
        <v>145</v>
      </c>
      <c r="J558" s="30" t="s">
        <v>145</v>
      </c>
      <c r="K558" s="30" t="s">
        <v>145</v>
      </c>
      <c r="L558" s="30" t="s">
        <v>145</v>
      </c>
      <c r="M558" s="30" t="s">
        <v>145</v>
      </c>
      <c r="N558" s="30" t="s">
        <v>145</v>
      </c>
      <c r="O558" s="30" t="s">
        <v>145</v>
      </c>
      <c r="P558" s="30" t="s">
        <v>145</v>
      </c>
      <c r="Q558" s="30" t="s">
        <v>146</v>
      </c>
    </row>
    <row r="559" hidden="1">
      <c r="A559" s="33" t="s">
        <v>3225</v>
      </c>
      <c r="B559" s="30" t="s">
        <v>139</v>
      </c>
      <c r="C559" s="30" t="s">
        <v>140</v>
      </c>
      <c r="D559" s="30" t="s">
        <v>153</v>
      </c>
      <c r="E559" s="35">
        <v>42970.0</v>
      </c>
      <c r="F559" s="37" t="s">
        <v>154</v>
      </c>
      <c r="G559" s="30" t="s">
        <v>146</v>
      </c>
      <c r="H559" s="30" t="s">
        <v>145</v>
      </c>
      <c r="I559" s="30" t="s">
        <v>145</v>
      </c>
      <c r="J559" s="30" t="s">
        <v>145</v>
      </c>
      <c r="K559" s="30" t="s">
        <v>145</v>
      </c>
      <c r="L559" s="30" t="s">
        <v>145</v>
      </c>
      <c r="M559" s="30" t="s">
        <v>145</v>
      </c>
      <c r="N559" s="30" t="s">
        <v>145</v>
      </c>
      <c r="O559" s="30" t="s">
        <v>145</v>
      </c>
      <c r="P559" s="30" t="s">
        <v>145</v>
      </c>
      <c r="Q559" s="30" t="s">
        <v>146</v>
      </c>
    </row>
    <row r="560" hidden="1">
      <c r="A560" s="33" t="s">
        <v>3229</v>
      </c>
      <c r="B560" s="30" t="s">
        <v>139</v>
      </c>
      <c r="C560" s="30" t="s">
        <v>140</v>
      </c>
      <c r="D560" s="30" t="s">
        <v>153</v>
      </c>
      <c r="E560" s="35">
        <v>42970.0</v>
      </c>
      <c r="F560" s="37" t="s">
        <v>154</v>
      </c>
      <c r="G560" s="30" t="s">
        <v>146</v>
      </c>
      <c r="H560" s="30" t="s">
        <v>145</v>
      </c>
      <c r="I560" s="30" t="s">
        <v>145</v>
      </c>
      <c r="J560" s="30" t="s">
        <v>145</v>
      </c>
      <c r="K560" s="30" t="s">
        <v>145</v>
      </c>
      <c r="L560" s="30" t="s">
        <v>145</v>
      </c>
      <c r="M560" s="30" t="s">
        <v>145</v>
      </c>
      <c r="N560" s="30" t="s">
        <v>145</v>
      </c>
      <c r="O560" s="30" t="s">
        <v>145</v>
      </c>
      <c r="P560" s="30" t="s">
        <v>145</v>
      </c>
      <c r="Q560" s="30" t="s">
        <v>146</v>
      </c>
    </row>
    <row r="561" hidden="1">
      <c r="A561" s="33" t="s">
        <v>3234</v>
      </c>
      <c r="B561" s="30" t="s">
        <v>139</v>
      </c>
      <c r="C561" s="30" t="s">
        <v>140</v>
      </c>
      <c r="D561" s="30" t="s">
        <v>140</v>
      </c>
      <c r="E561" s="35">
        <v>42969.0</v>
      </c>
      <c r="F561" s="37" t="s">
        <v>269</v>
      </c>
      <c r="G561" s="30" t="s">
        <v>626</v>
      </c>
      <c r="H561" s="30" t="s">
        <v>145</v>
      </c>
      <c r="I561" s="30" t="s">
        <v>145</v>
      </c>
      <c r="J561" s="30" t="s">
        <v>145</v>
      </c>
      <c r="K561" s="30" t="s">
        <v>145</v>
      </c>
      <c r="L561" s="30" t="s">
        <v>145</v>
      </c>
      <c r="M561" s="30" t="s">
        <v>145</v>
      </c>
      <c r="N561" s="30" t="s">
        <v>145</v>
      </c>
      <c r="O561" s="30" t="s">
        <v>145</v>
      </c>
      <c r="P561" s="30" t="s">
        <v>145</v>
      </c>
      <c r="Q561" s="30" t="s">
        <v>146</v>
      </c>
    </row>
    <row r="562" hidden="1">
      <c r="A562" s="33" t="s">
        <v>3238</v>
      </c>
      <c r="B562" s="30" t="s">
        <v>139</v>
      </c>
      <c r="C562" s="30" t="s">
        <v>140</v>
      </c>
      <c r="D562" s="30" t="s">
        <v>140</v>
      </c>
      <c r="E562" s="35">
        <v>42969.0</v>
      </c>
      <c r="F562" s="37" t="s">
        <v>269</v>
      </c>
      <c r="G562" s="30" t="s">
        <v>185</v>
      </c>
      <c r="H562" s="30" t="s">
        <v>145</v>
      </c>
      <c r="I562" s="30" t="s">
        <v>145</v>
      </c>
      <c r="J562" s="30" t="s">
        <v>145</v>
      </c>
      <c r="K562" s="30" t="s">
        <v>145</v>
      </c>
      <c r="L562" s="30" t="s">
        <v>145</v>
      </c>
      <c r="M562" s="30" t="s">
        <v>145</v>
      </c>
      <c r="N562" s="30" t="s">
        <v>145</v>
      </c>
      <c r="O562" s="30" t="s">
        <v>145</v>
      </c>
      <c r="P562" s="30" t="s">
        <v>145</v>
      </c>
      <c r="Q562" s="30" t="s">
        <v>146</v>
      </c>
    </row>
    <row r="563" hidden="1">
      <c r="A563" s="33" t="s">
        <v>3241</v>
      </c>
      <c r="B563" s="30" t="s">
        <v>139</v>
      </c>
      <c r="C563" s="30" t="s">
        <v>140</v>
      </c>
      <c r="D563" s="30" t="s">
        <v>153</v>
      </c>
      <c r="E563" s="35">
        <v>42969.0</v>
      </c>
      <c r="F563" s="37" t="s">
        <v>154</v>
      </c>
      <c r="G563" s="30" t="s">
        <v>163</v>
      </c>
      <c r="H563" s="30" t="s">
        <v>145</v>
      </c>
      <c r="I563" s="30" t="s">
        <v>145</v>
      </c>
      <c r="J563" s="30" t="s">
        <v>145</v>
      </c>
      <c r="K563" s="30" t="s">
        <v>145</v>
      </c>
      <c r="L563" s="30" t="s">
        <v>145</v>
      </c>
      <c r="M563" s="30" t="s">
        <v>145</v>
      </c>
      <c r="N563" s="30" t="s">
        <v>145</v>
      </c>
      <c r="O563" s="30" t="s">
        <v>145</v>
      </c>
      <c r="P563" s="30" t="s">
        <v>145</v>
      </c>
      <c r="Q563" s="30" t="s">
        <v>146</v>
      </c>
    </row>
    <row r="564" hidden="1">
      <c r="A564" s="33" t="s">
        <v>3244</v>
      </c>
      <c r="B564" s="30" t="s">
        <v>139</v>
      </c>
      <c r="C564" s="30" t="s">
        <v>140</v>
      </c>
      <c r="D564" s="30" t="s">
        <v>141</v>
      </c>
      <c r="E564" s="35">
        <v>42968.0</v>
      </c>
      <c r="F564" s="37" t="s">
        <v>150</v>
      </c>
      <c r="G564" s="30" t="s">
        <v>3247</v>
      </c>
      <c r="H564" s="30" t="s">
        <v>146</v>
      </c>
      <c r="I564" s="30" t="s">
        <v>2944</v>
      </c>
      <c r="J564" s="30" t="s">
        <v>145</v>
      </c>
      <c r="K564" s="30" t="s">
        <v>145</v>
      </c>
      <c r="L564" s="30" t="s">
        <v>145</v>
      </c>
      <c r="M564" s="30" t="s">
        <v>145</v>
      </c>
      <c r="N564" s="30" t="s">
        <v>145</v>
      </c>
      <c r="O564" s="30" t="s">
        <v>145</v>
      </c>
      <c r="P564" s="30" t="s">
        <v>145</v>
      </c>
      <c r="Q564" s="30" t="s">
        <v>146</v>
      </c>
    </row>
    <row r="565" hidden="1">
      <c r="A565" s="33" t="s">
        <v>3249</v>
      </c>
      <c r="B565" s="30" t="s">
        <v>139</v>
      </c>
      <c r="C565" s="30" t="s">
        <v>141</v>
      </c>
      <c r="D565" s="30" t="s">
        <v>141</v>
      </c>
      <c r="E565" s="35">
        <v>42968.0</v>
      </c>
      <c r="F565" s="37" t="s">
        <v>150</v>
      </c>
      <c r="G565" s="30" t="s">
        <v>329</v>
      </c>
      <c r="H565" s="30" t="s">
        <v>3252</v>
      </c>
      <c r="I565" s="30" t="s">
        <v>506</v>
      </c>
      <c r="J565" s="30" t="s">
        <v>506</v>
      </c>
      <c r="K565" s="30" t="s">
        <v>506</v>
      </c>
      <c r="L565" s="30" t="s">
        <v>506</v>
      </c>
      <c r="M565" s="30" t="s">
        <v>1798</v>
      </c>
      <c r="N565" s="30" t="s">
        <v>145</v>
      </c>
      <c r="O565" s="30" t="s">
        <v>145</v>
      </c>
      <c r="P565" s="30" t="s">
        <v>145</v>
      </c>
      <c r="Q565" s="30" t="s">
        <v>664</v>
      </c>
    </row>
    <row r="566" hidden="1">
      <c r="A566" s="33" t="s">
        <v>3253</v>
      </c>
      <c r="B566" s="30" t="s">
        <v>139</v>
      </c>
      <c r="C566" s="30" t="s">
        <v>148</v>
      </c>
      <c r="D566" s="30" t="s">
        <v>141</v>
      </c>
      <c r="E566" s="35">
        <v>42968.0</v>
      </c>
      <c r="F566" s="37" t="s">
        <v>150</v>
      </c>
      <c r="G566" s="30" t="s">
        <v>3031</v>
      </c>
      <c r="H566" s="30" t="s">
        <v>145</v>
      </c>
      <c r="I566" s="30" t="s">
        <v>145</v>
      </c>
      <c r="J566" s="30" t="s">
        <v>145</v>
      </c>
      <c r="K566" s="30" t="s">
        <v>145</v>
      </c>
      <c r="L566" s="30" t="s">
        <v>145</v>
      </c>
      <c r="M566" s="30" t="s">
        <v>145</v>
      </c>
      <c r="N566" s="30" t="s">
        <v>145</v>
      </c>
      <c r="O566" s="30" t="s">
        <v>145</v>
      </c>
      <c r="P566" s="30" t="s">
        <v>145</v>
      </c>
      <c r="Q566" s="30" t="s">
        <v>152</v>
      </c>
    </row>
    <row r="567" hidden="1">
      <c r="A567" s="33" t="s">
        <v>3258</v>
      </c>
      <c r="B567" s="30" t="s">
        <v>139</v>
      </c>
      <c r="C567" s="30" t="s">
        <v>140</v>
      </c>
      <c r="D567" s="30" t="s">
        <v>141</v>
      </c>
      <c r="E567" s="35">
        <v>42968.0</v>
      </c>
      <c r="F567" s="37" t="s">
        <v>150</v>
      </c>
      <c r="G567" s="30" t="s">
        <v>140</v>
      </c>
      <c r="H567" s="30" t="s">
        <v>145</v>
      </c>
      <c r="I567" s="30" t="s">
        <v>146</v>
      </c>
      <c r="J567" s="30" t="s">
        <v>3260</v>
      </c>
      <c r="K567" s="30" t="s">
        <v>145</v>
      </c>
      <c r="L567" s="30" t="s">
        <v>145</v>
      </c>
      <c r="M567" s="30" t="s">
        <v>145</v>
      </c>
      <c r="N567" s="30" t="s">
        <v>145</v>
      </c>
      <c r="O567" s="30" t="s">
        <v>145</v>
      </c>
      <c r="P567" s="30" t="s">
        <v>145</v>
      </c>
      <c r="Q567" s="30" t="s">
        <v>146</v>
      </c>
    </row>
    <row r="568" hidden="1">
      <c r="A568" s="33" t="s">
        <v>3263</v>
      </c>
      <c r="B568" s="30" t="s">
        <v>139</v>
      </c>
      <c r="C568" s="30" t="s">
        <v>141</v>
      </c>
      <c r="D568" s="30" t="s">
        <v>141</v>
      </c>
      <c r="E568" s="35">
        <v>42968.0</v>
      </c>
      <c r="F568" s="37" t="s">
        <v>150</v>
      </c>
      <c r="G568" s="30" t="s">
        <v>153</v>
      </c>
      <c r="H568" s="30" t="s">
        <v>668</v>
      </c>
      <c r="I568" s="30" t="s">
        <v>223</v>
      </c>
      <c r="J568" s="30" t="s">
        <v>189</v>
      </c>
      <c r="K568" s="30" t="s">
        <v>180</v>
      </c>
      <c r="L568" s="30" t="s">
        <v>180</v>
      </c>
      <c r="M568" s="30" t="s">
        <v>3268</v>
      </c>
      <c r="N568" s="30" t="s">
        <v>145</v>
      </c>
      <c r="O568" s="30" t="s">
        <v>145</v>
      </c>
      <c r="P568" s="30" t="s">
        <v>145</v>
      </c>
      <c r="Q568" s="30" t="s">
        <v>180</v>
      </c>
    </row>
    <row r="569" hidden="1">
      <c r="A569" s="33" t="s">
        <v>3272</v>
      </c>
      <c r="B569" s="30" t="s">
        <v>139</v>
      </c>
      <c r="C569" s="30" t="s">
        <v>141</v>
      </c>
      <c r="D569" s="30" t="s">
        <v>141</v>
      </c>
      <c r="E569" s="35">
        <v>42968.0</v>
      </c>
      <c r="F569" s="37" t="s">
        <v>150</v>
      </c>
      <c r="G569" s="30" t="s">
        <v>148</v>
      </c>
      <c r="H569" s="30" t="s">
        <v>1307</v>
      </c>
      <c r="I569" s="30" t="s">
        <v>152</v>
      </c>
      <c r="J569" s="30" t="s">
        <v>152</v>
      </c>
      <c r="K569" s="30" t="s">
        <v>152</v>
      </c>
      <c r="L569" s="30" t="s">
        <v>152</v>
      </c>
      <c r="M569" s="30" t="s">
        <v>1798</v>
      </c>
      <c r="N569" s="30" t="s">
        <v>145</v>
      </c>
      <c r="O569" s="30" t="s">
        <v>145</v>
      </c>
      <c r="P569" s="30" t="s">
        <v>145</v>
      </c>
      <c r="Q569" s="30" t="s">
        <v>180</v>
      </c>
    </row>
    <row r="570" hidden="1">
      <c r="A570" s="33" t="s">
        <v>3278</v>
      </c>
      <c r="B570" s="30" t="s">
        <v>139</v>
      </c>
      <c r="C570" s="30" t="s">
        <v>141</v>
      </c>
      <c r="D570" s="30" t="s">
        <v>141</v>
      </c>
      <c r="E570" s="35">
        <v>42968.0</v>
      </c>
      <c r="F570" s="37" t="s">
        <v>150</v>
      </c>
      <c r="G570" s="30" t="s">
        <v>550</v>
      </c>
      <c r="H570" s="30" t="s">
        <v>146</v>
      </c>
      <c r="I570" s="30" t="s">
        <v>146</v>
      </c>
      <c r="J570" s="30" t="s">
        <v>1476</v>
      </c>
      <c r="K570" s="30" t="s">
        <v>152</v>
      </c>
      <c r="L570" s="30" t="s">
        <v>152</v>
      </c>
      <c r="M570" s="30" t="s">
        <v>504</v>
      </c>
      <c r="N570" s="30" t="s">
        <v>145</v>
      </c>
      <c r="O570" s="30" t="s">
        <v>145</v>
      </c>
      <c r="P570" s="30" t="s">
        <v>145</v>
      </c>
      <c r="Q570" s="30" t="s">
        <v>180</v>
      </c>
    </row>
    <row r="571" hidden="1">
      <c r="A571" s="33" t="s">
        <v>3282</v>
      </c>
      <c r="B571" s="30" t="s">
        <v>139</v>
      </c>
      <c r="C571" s="30" t="s">
        <v>141</v>
      </c>
      <c r="D571" s="30" t="s">
        <v>141</v>
      </c>
      <c r="E571" s="35">
        <v>42968.0</v>
      </c>
      <c r="F571" s="37" t="s">
        <v>150</v>
      </c>
      <c r="G571" s="30" t="s">
        <v>140</v>
      </c>
      <c r="H571" s="30" t="s">
        <v>223</v>
      </c>
      <c r="I571" s="30" t="s">
        <v>163</v>
      </c>
      <c r="J571" s="30" t="s">
        <v>189</v>
      </c>
      <c r="K571" s="30" t="s">
        <v>146</v>
      </c>
      <c r="L571" s="30" t="s">
        <v>3286</v>
      </c>
      <c r="M571" s="30" t="s">
        <v>179</v>
      </c>
      <c r="N571" s="30" t="s">
        <v>145</v>
      </c>
      <c r="O571" s="30" t="s">
        <v>145</v>
      </c>
      <c r="P571" s="30" t="s">
        <v>145</v>
      </c>
      <c r="Q571" s="30" t="s">
        <v>180</v>
      </c>
    </row>
    <row r="572" hidden="1">
      <c r="A572" s="33" t="s">
        <v>3289</v>
      </c>
      <c r="B572" s="30" t="s">
        <v>139</v>
      </c>
      <c r="C572" s="30" t="s">
        <v>140</v>
      </c>
      <c r="D572" s="30" t="s">
        <v>141</v>
      </c>
      <c r="E572" s="35">
        <v>42968.0</v>
      </c>
      <c r="F572" s="37" t="s">
        <v>150</v>
      </c>
      <c r="G572" s="30" t="s">
        <v>140</v>
      </c>
      <c r="H572" s="30" t="s">
        <v>1348</v>
      </c>
      <c r="I572" s="30" t="s">
        <v>146</v>
      </c>
      <c r="J572" s="30" t="s">
        <v>146</v>
      </c>
      <c r="K572" s="30" t="s">
        <v>146</v>
      </c>
      <c r="L572" s="30" t="s">
        <v>146</v>
      </c>
      <c r="M572" s="30" t="s">
        <v>146</v>
      </c>
      <c r="N572" s="30" t="s">
        <v>145</v>
      </c>
      <c r="O572" s="30" t="s">
        <v>145</v>
      </c>
      <c r="P572" s="30" t="s">
        <v>145</v>
      </c>
      <c r="Q572" s="30" t="s">
        <v>146</v>
      </c>
    </row>
    <row r="573" hidden="1">
      <c r="A573" s="33" t="s">
        <v>3295</v>
      </c>
      <c r="B573" s="30" t="s">
        <v>139</v>
      </c>
      <c r="C573" s="30" t="s">
        <v>141</v>
      </c>
      <c r="D573" s="30" t="s">
        <v>141</v>
      </c>
      <c r="E573" s="35">
        <v>42968.0</v>
      </c>
      <c r="F573" s="37" t="s">
        <v>150</v>
      </c>
      <c r="G573" s="30" t="s">
        <v>1711</v>
      </c>
      <c r="H573" s="30" t="s">
        <v>146</v>
      </c>
      <c r="I573" s="30" t="s">
        <v>146</v>
      </c>
      <c r="J573" s="30" t="s">
        <v>189</v>
      </c>
      <c r="K573" s="30" t="s">
        <v>152</v>
      </c>
      <c r="L573" s="30" t="s">
        <v>152</v>
      </c>
      <c r="M573" s="30" t="s">
        <v>1071</v>
      </c>
      <c r="N573" s="30" t="s">
        <v>145</v>
      </c>
      <c r="O573" s="30" t="s">
        <v>145</v>
      </c>
      <c r="P573" s="30" t="s">
        <v>145</v>
      </c>
      <c r="Q573" s="30" t="s">
        <v>180</v>
      </c>
    </row>
    <row r="574" hidden="1">
      <c r="A574" s="33" t="s">
        <v>3300</v>
      </c>
      <c r="B574" s="30" t="s">
        <v>139</v>
      </c>
      <c r="C574" s="30" t="s">
        <v>141</v>
      </c>
      <c r="D574" s="30" t="s">
        <v>141</v>
      </c>
      <c r="E574" s="35">
        <v>42968.0</v>
      </c>
      <c r="F574" s="37" t="s">
        <v>150</v>
      </c>
      <c r="G574" s="30" t="s">
        <v>3303</v>
      </c>
      <c r="H574" s="30" t="s">
        <v>223</v>
      </c>
      <c r="I574" s="30" t="s">
        <v>223</v>
      </c>
      <c r="J574" s="30" t="s">
        <v>278</v>
      </c>
      <c r="K574" s="30" t="s">
        <v>152</v>
      </c>
      <c r="L574" s="30" t="s">
        <v>152</v>
      </c>
      <c r="M574" s="30" t="s">
        <v>532</v>
      </c>
      <c r="N574" s="30" t="s">
        <v>145</v>
      </c>
      <c r="O574" s="30" t="s">
        <v>145</v>
      </c>
      <c r="P574" s="30" t="s">
        <v>145</v>
      </c>
      <c r="Q574" s="30" t="s">
        <v>180</v>
      </c>
    </row>
    <row r="575" hidden="1">
      <c r="A575" s="33" t="s">
        <v>3306</v>
      </c>
      <c r="B575" s="30" t="s">
        <v>139</v>
      </c>
      <c r="C575" s="30" t="s">
        <v>141</v>
      </c>
      <c r="D575" s="30" t="s">
        <v>141</v>
      </c>
      <c r="E575" s="35">
        <v>42968.0</v>
      </c>
      <c r="F575" s="37" t="s">
        <v>150</v>
      </c>
      <c r="G575" s="30" t="s">
        <v>3303</v>
      </c>
      <c r="H575" s="30" t="s">
        <v>145</v>
      </c>
      <c r="I575" s="30" t="s">
        <v>223</v>
      </c>
      <c r="J575" s="30" t="s">
        <v>189</v>
      </c>
      <c r="K575" s="30" t="s">
        <v>152</v>
      </c>
      <c r="L575" s="30" t="s">
        <v>152</v>
      </c>
      <c r="M575" s="30" t="s">
        <v>3309</v>
      </c>
      <c r="N575" s="30" t="s">
        <v>145</v>
      </c>
      <c r="O575" s="30" t="s">
        <v>145</v>
      </c>
      <c r="P575" s="30" t="s">
        <v>145</v>
      </c>
      <c r="Q575" s="30" t="s">
        <v>180</v>
      </c>
    </row>
    <row r="576" hidden="1">
      <c r="A576" s="33" t="s">
        <v>3313</v>
      </c>
      <c r="B576" s="30" t="s">
        <v>139</v>
      </c>
      <c r="C576" s="30" t="s">
        <v>141</v>
      </c>
      <c r="D576" s="30" t="s">
        <v>141</v>
      </c>
      <c r="E576" s="35">
        <v>42968.0</v>
      </c>
      <c r="F576" s="37" t="s">
        <v>150</v>
      </c>
      <c r="G576" s="30" t="s">
        <v>352</v>
      </c>
      <c r="H576" s="30" t="s">
        <v>146</v>
      </c>
      <c r="I576" s="30" t="s">
        <v>146</v>
      </c>
      <c r="J576" s="30" t="s">
        <v>189</v>
      </c>
      <c r="K576" s="30" t="s">
        <v>506</v>
      </c>
      <c r="L576" s="30" t="s">
        <v>506</v>
      </c>
      <c r="M576" s="30" t="s">
        <v>2176</v>
      </c>
      <c r="N576" s="30" t="s">
        <v>145</v>
      </c>
      <c r="O576" s="30" t="s">
        <v>145</v>
      </c>
      <c r="P576" s="30" t="s">
        <v>145</v>
      </c>
      <c r="Q576" s="30" t="s">
        <v>180</v>
      </c>
    </row>
    <row r="577" hidden="1">
      <c r="A577" s="33" t="s">
        <v>3317</v>
      </c>
      <c r="B577" s="30" t="s">
        <v>139</v>
      </c>
      <c r="C577" s="30" t="s">
        <v>141</v>
      </c>
      <c r="D577" s="30" t="s">
        <v>141</v>
      </c>
      <c r="E577" s="35">
        <v>42968.0</v>
      </c>
      <c r="F577" s="37" t="s">
        <v>150</v>
      </c>
      <c r="G577" s="30" t="s">
        <v>3321</v>
      </c>
      <c r="H577" s="30" t="s">
        <v>180</v>
      </c>
      <c r="I577" s="30" t="s">
        <v>180</v>
      </c>
      <c r="J577" s="30" t="s">
        <v>278</v>
      </c>
      <c r="K577" s="30" t="s">
        <v>152</v>
      </c>
      <c r="L577" s="30" t="s">
        <v>152</v>
      </c>
      <c r="M577" s="30" t="s">
        <v>3322</v>
      </c>
      <c r="N577" s="30" t="s">
        <v>145</v>
      </c>
      <c r="O577" s="30" t="s">
        <v>145</v>
      </c>
      <c r="P577" s="30" t="s">
        <v>145</v>
      </c>
      <c r="Q577" s="30" t="s">
        <v>180</v>
      </c>
    </row>
    <row r="578" hidden="1">
      <c r="A578" s="33" t="s">
        <v>3324</v>
      </c>
      <c r="B578" s="30" t="s">
        <v>139</v>
      </c>
      <c r="C578" s="30" t="s">
        <v>141</v>
      </c>
      <c r="D578" s="30" t="s">
        <v>141</v>
      </c>
      <c r="E578" s="35">
        <v>42968.0</v>
      </c>
      <c r="F578" s="37" t="s">
        <v>150</v>
      </c>
      <c r="G578" s="30" t="s">
        <v>2739</v>
      </c>
      <c r="H578" s="30" t="s">
        <v>145</v>
      </c>
      <c r="I578" s="30" t="s">
        <v>145</v>
      </c>
      <c r="J578" s="30" t="s">
        <v>145</v>
      </c>
      <c r="K578" s="30" t="s">
        <v>145</v>
      </c>
      <c r="L578" s="30" t="s">
        <v>145</v>
      </c>
      <c r="M578" s="30" t="s">
        <v>145</v>
      </c>
      <c r="N578" s="30" t="s">
        <v>145</v>
      </c>
      <c r="O578" s="30" t="s">
        <v>145</v>
      </c>
      <c r="P578" s="30" t="s">
        <v>145</v>
      </c>
      <c r="Q578" s="30" t="s">
        <v>180</v>
      </c>
    </row>
    <row r="579" hidden="1">
      <c r="A579" s="33" t="s">
        <v>3329</v>
      </c>
      <c r="B579" s="30" t="s">
        <v>139</v>
      </c>
      <c r="C579" s="30" t="s">
        <v>453</v>
      </c>
      <c r="D579" s="30" t="s">
        <v>244</v>
      </c>
      <c r="E579" s="35">
        <v>42968.0</v>
      </c>
      <c r="F579" s="37" t="s">
        <v>154</v>
      </c>
      <c r="G579" s="30" t="s">
        <v>457</v>
      </c>
      <c r="H579" s="30" t="s">
        <v>145</v>
      </c>
      <c r="I579" s="30" t="s">
        <v>145</v>
      </c>
      <c r="J579" s="30" t="s">
        <v>145</v>
      </c>
      <c r="K579" s="30" t="s">
        <v>145</v>
      </c>
      <c r="L579" s="30" t="s">
        <v>145</v>
      </c>
      <c r="M579" s="30" t="s">
        <v>145</v>
      </c>
      <c r="N579" s="30" t="s">
        <v>145</v>
      </c>
      <c r="O579" s="30" t="s">
        <v>145</v>
      </c>
      <c r="P579" s="30" t="s">
        <v>145</v>
      </c>
      <c r="Q579" s="30" t="s">
        <v>457</v>
      </c>
    </row>
    <row r="580" hidden="1">
      <c r="A580" s="33" t="s">
        <v>3334</v>
      </c>
      <c r="B580" s="30" t="s">
        <v>139</v>
      </c>
      <c r="C580" s="30" t="s">
        <v>141</v>
      </c>
      <c r="D580" s="30" t="s">
        <v>244</v>
      </c>
      <c r="E580" s="35">
        <v>42968.0</v>
      </c>
      <c r="F580" s="37" t="s">
        <v>154</v>
      </c>
      <c r="G580" s="30" t="s">
        <v>180</v>
      </c>
      <c r="H580" s="30" t="s">
        <v>145</v>
      </c>
      <c r="I580" s="30" t="s">
        <v>145</v>
      </c>
      <c r="J580" s="30" t="s">
        <v>145</v>
      </c>
      <c r="K580" s="30" t="s">
        <v>145</v>
      </c>
      <c r="L580" s="30" t="s">
        <v>145</v>
      </c>
      <c r="M580" s="30" t="s">
        <v>145</v>
      </c>
      <c r="N580" s="30" t="s">
        <v>145</v>
      </c>
      <c r="O580" s="30" t="s">
        <v>145</v>
      </c>
      <c r="P580" s="30" t="s">
        <v>145</v>
      </c>
      <c r="Q580" s="30" t="s">
        <v>180</v>
      </c>
    </row>
    <row r="581" hidden="1">
      <c r="A581" s="33" t="s">
        <v>3337</v>
      </c>
      <c r="B581" s="30" t="s">
        <v>139</v>
      </c>
      <c r="C581" s="30" t="s">
        <v>148</v>
      </c>
      <c r="D581" s="30" t="s">
        <v>244</v>
      </c>
      <c r="E581" s="35">
        <v>42968.0</v>
      </c>
      <c r="F581" s="37" t="s">
        <v>150</v>
      </c>
      <c r="G581" s="30" t="s">
        <v>163</v>
      </c>
      <c r="H581" s="30" t="s">
        <v>145</v>
      </c>
      <c r="I581" s="30" t="s">
        <v>146</v>
      </c>
      <c r="J581" s="30" t="s">
        <v>189</v>
      </c>
      <c r="K581" s="30" t="s">
        <v>146</v>
      </c>
      <c r="L581" s="30" t="s">
        <v>146</v>
      </c>
      <c r="M581" s="30" t="s">
        <v>882</v>
      </c>
      <c r="N581" s="30" t="s">
        <v>152</v>
      </c>
      <c r="O581" s="30" t="s">
        <v>197</v>
      </c>
      <c r="P581" s="30" t="s">
        <v>3342</v>
      </c>
      <c r="Q581" s="30" t="s">
        <v>152</v>
      </c>
    </row>
    <row r="582" hidden="1">
      <c r="A582" s="33" t="s">
        <v>3343</v>
      </c>
      <c r="B582" s="30" t="s">
        <v>139</v>
      </c>
      <c r="C582" s="30" t="s">
        <v>141</v>
      </c>
      <c r="D582" s="30" t="s">
        <v>141</v>
      </c>
      <c r="E582" s="35">
        <v>42968.0</v>
      </c>
      <c r="F582" s="37" t="s">
        <v>150</v>
      </c>
      <c r="G582" s="30" t="s">
        <v>660</v>
      </c>
      <c r="H582" s="30" t="s">
        <v>223</v>
      </c>
      <c r="I582" s="30" t="s">
        <v>146</v>
      </c>
      <c r="J582" s="30" t="s">
        <v>3348</v>
      </c>
      <c r="K582" s="30" t="s">
        <v>189</v>
      </c>
      <c r="L582" s="30" t="s">
        <v>189</v>
      </c>
      <c r="M582" s="30" t="s">
        <v>2388</v>
      </c>
      <c r="N582" s="30" t="s">
        <v>145</v>
      </c>
      <c r="O582" s="30" t="s">
        <v>145</v>
      </c>
      <c r="P582" s="30" t="s">
        <v>145</v>
      </c>
      <c r="Q582" s="30" t="s">
        <v>664</v>
      </c>
    </row>
    <row r="583" hidden="1">
      <c r="A583" s="33" t="s">
        <v>3351</v>
      </c>
      <c r="B583" s="30" t="s">
        <v>139</v>
      </c>
      <c r="C583" s="30" t="s">
        <v>141</v>
      </c>
      <c r="D583" s="30" t="s">
        <v>141</v>
      </c>
      <c r="E583" s="35">
        <v>42968.0</v>
      </c>
      <c r="F583" s="37" t="s">
        <v>150</v>
      </c>
      <c r="G583" s="30" t="s">
        <v>148</v>
      </c>
      <c r="H583" s="30" t="s">
        <v>151</v>
      </c>
      <c r="I583" s="30" t="s">
        <v>152</v>
      </c>
      <c r="J583" s="30" t="s">
        <v>189</v>
      </c>
      <c r="K583" s="30" t="s">
        <v>1611</v>
      </c>
      <c r="L583" s="30" t="s">
        <v>152</v>
      </c>
      <c r="M583" s="30" t="s">
        <v>506</v>
      </c>
      <c r="N583" s="30" t="s">
        <v>145</v>
      </c>
      <c r="O583" s="30" t="s">
        <v>145</v>
      </c>
      <c r="P583" s="30" t="s">
        <v>145</v>
      </c>
      <c r="Q583" s="30" t="s">
        <v>2587</v>
      </c>
    </row>
    <row r="584" hidden="1">
      <c r="A584" s="33" t="s">
        <v>3357</v>
      </c>
      <c r="B584" s="30" t="s">
        <v>139</v>
      </c>
      <c r="C584" s="30" t="s">
        <v>141</v>
      </c>
      <c r="D584" s="30" t="s">
        <v>141</v>
      </c>
      <c r="E584" s="35">
        <v>42968.0</v>
      </c>
      <c r="F584" s="37" t="s">
        <v>150</v>
      </c>
      <c r="G584" s="30" t="s">
        <v>148</v>
      </c>
      <c r="H584" s="30" t="s">
        <v>151</v>
      </c>
      <c r="I584" s="30" t="s">
        <v>152</v>
      </c>
      <c r="J584" s="30" t="s">
        <v>189</v>
      </c>
      <c r="K584" s="30" t="s">
        <v>367</v>
      </c>
      <c r="L584" s="30" t="s">
        <v>506</v>
      </c>
      <c r="M584" s="30" t="s">
        <v>671</v>
      </c>
      <c r="N584" s="30" t="s">
        <v>145</v>
      </c>
      <c r="O584" s="30" t="s">
        <v>145</v>
      </c>
      <c r="P584" s="30" t="s">
        <v>145</v>
      </c>
      <c r="Q584" s="30" t="s">
        <v>3321</v>
      </c>
    </row>
    <row r="585" hidden="1">
      <c r="A585" s="33" t="s">
        <v>3364</v>
      </c>
      <c r="B585" s="30" t="s">
        <v>139</v>
      </c>
      <c r="C585" s="30" t="s">
        <v>141</v>
      </c>
      <c r="D585" s="30" t="s">
        <v>141</v>
      </c>
      <c r="E585" s="35">
        <v>42968.0</v>
      </c>
      <c r="F585" s="37" t="s">
        <v>150</v>
      </c>
      <c r="G585" s="30" t="s">
        <v>148</v>
      </c>
      <c r="H585" s="30" t="s">
        <v>199</v>
      </c>
      <c r="I585" s="30" t="s">
        <v>152</v>
      </c>
      <c r="J585" s="30" t="s">
        <v>189</v>
      </c>
      <c r="K585" s="30" t="s">
        <v>367</v>
      </c>
      <c r="L585" s="30" t="s">
        <v>506</v>
      </c>
      <c r="M585" s="30" t="s">
        <v>1052</v>
      </c>
      <c r="N585" s="30" t="s">
        <v>145</v>
      </c>
      <c r="O585" s="30" t="s">
        <v>145</v>
      </c>
      <c r="P585" s="30" t="s">
        <v>145</v>
      </c>
      <c r="Q585" s="30" t="s">
        <v>2140</v>
      </c>
    </row>
    <row r="586" hidden="1">
      <c r="A586" s="33" t="s">
        <v>3374</v>
      </c>
      <c r="B586" s="30" t="s">
        <v>139</v>
      </c>
      <c r="C586" s="30" t="s">
        <v>140</v>
      </c>
      <c r="D586" s="30" t="s">
        <v>153</v>
      </c>
      <c r="E586" s="35">
        <v>42965.0</v>
      </c>
      <c r="F586" s="37" t="s">
        <v>154</v>
      </c>
      <c r="G586" s="30" t="s">
        <v>432</v>
      </c>
      <c r="H586" s="30" t="s">
        <v>145</v>
      </c>
      <c r="I586" s="30" t="s">
        <v>145</v>
      </c>
      <c r="J586" s="30" t="s">
        <v>145</v>
      </c>
      <c r="K586" s="30" t="s">
        <v>145</v>
      </c>
      <c r="L586" s="30" t="s">
        <v>145</v>
      </c>
      <c r="M586" s="30" t="s">
        <v>145</v>
      </c>
      <c r="N586" s="30" t="s">
        <v>145</v>
      </c>
      <c r="O586" s="30" t="s">
        <v>145</v>
      </c>
      <c r="P586" s="30" t="s">
        <v>145</v>
      </c>
      <c r="Q586" s="30" t="s">
        <v>146</v>
      </c>
    </row>
    <row r="587" hidden="1">
      <c r="A587" s="33" t="s">
        <v>3379</v>
      </c>
      <c r="B587" s="30" t="s">
        <v>139</v>
      </c>
      <c r="C587" s="30" t="s">
        <v>140</v>
      </c>
      <c r="D587" s="30" t="s">
        <v>141</v>
      </c>
      <c r="E587" s="35">
        <v>42964.0</v>
      </c>
      <c r="F587" s="37" t="s">
        <v>154</v>
      </c>
      <c r="G587" s="30" t="s">
        <v>264</v>
      </c>
      <c r="H587" s="30" t="s">
        <v>145</v>
      </c>
      <c r="I587" s="30" t="s">
        <v>145</v>
      </c>
      <c r="J587" s="30" t="s">
        <v>145</v>
      </c>
      <c r="K587" s="30" t="s">
        <v>145</v>
      </c>
      <c r="L587" s="30" t="s">
        <v>145</v>
      </c>
      <c r="M587" s="30" t="s">
        <v>145</v>
      </c>
      <c r="N587" s="30" t="s">
        <v>145</v>
      </c>
      <c r="O587" s="30" t="s">
        <v>145</v>
      </c>
      <c r="P587" s="30" t="s">
        <v>145</v>
      </c>
      <c r="Q587" s="30" t="s">
        <v>146</v>
      </c>
    </row>
    <row r="588" hidden="1">
      <c r="A588" s="33" t="s">
        <v>3383</v>
      </c>
      <c r="B588" s="30" t="s">
        <v>139</v>
      </c>
      <c r="C588" s="30" t="s">
        <v>141</v>
      </c>
      <c r="D588" s="30" t="s">
        <v>141</v>
      </c>
      <c r="E588" s="35">
        <v>42964.0</v>
      </c>
      <c r="F588" s="37" t="s">
        <v>150</v>
      </c>
      <c r="G588" s="30" t="s">
        <v>141</v>
      </c>
      <c r="H588" s="30" t="s">
        <v>152</v>
      </c>
      <c r="I588" s="30" t="s">
        <v>2739</v>
      </c>
      <c r="J588" s="30" t="s">
        <v>180</v>
      </c>
      <c r="K588" s="30" t="s">
        <v>180</v>
      </c>
      <c r="L588" s="30" t="s">
        <v>180</v>
      </c>
      <c r="M588" s="30" t="s">
        <v>180</v>
      </c>
      <c r="N588" s="30" t="s">
        <v>145</v>
      </c>
      <c r="O588" s="30" t="s">
        <v>145</v>
      </c>
      <c r="P588" s="30" t="s">
        <v>145</v>
      </c>
      <c r="Q588" s="30" t="s">
        <v>180</v>
      </c>
    </row>
    <row r="589" hidden="1">
      <c r="A589" s="33" t="s">
        <v>3388</v>
      </c>
      <c r="B589" s="30" t="s">
        <v>139</v>
      </c>
      <c r="C589" s="30" t="s">
        <v>140</v>
      </c>
      <c r="D589" s="30" t="s">
        <v>141</v>
      </c>
      <c r="E589" s="35">
        <v>42964.0</v>
      </c>
      <c r="F589" s="37" t="s">
        <v>143</v>
      </c>
      <c r="G589" s="30" t="s">
        <v>626</v>
      </c>
      <c r="H589" s="30" t="s">
        <v>145</v>
      </c>
      <c r="I589" s="30" t="s">
        <v>145</v>
      </c>
      <c r="J589" s="30" t="s">
        <v>145</v>
      </c>
      <c r="K589" s="30" t="s">
        <v>145</v>
      </c>
      <c r="L589" s="30" t="s">
        <v>145</v>
      </c>
      <c r="M589" s="30" t="s">
        <v>145</v>
      </c>
      <c r="N589" s="30" t="s">
        <v>145</v>
      </c>
      <c r="O589" s="30" t="s">
        <v>145</v>
      </c>
      <c r="P589" s="30" t="s">
        <v>145</v>
      </c>
      <c r="Q589" s="30" t="s">
        <v>146</v>
      </c>
    </row>
    <row r="590" hidden="1">
      <c r="A590" s="33" t="s">
        <v>3393</v>
      </c>
      <c r="B590" s="30" t="s">
        <v>139</v>
      </c>
      <c r="C590" s="30" t="s">
        <v>148</v>
      </c>
      <c r="D590" s="30" t="s">
        <v>122</v>
      </c>
      <c r="E590" s="35">
        <v>42964.0</v>
      </c>
      <c r="F590" s="37" t="s">
        <v>143</v>
      </c>
      <c r="G590" s="30" t="s">
        <v>197</v>
      </c>
      <c r="H590" s="30" t="s">
        <v>145</v>
      </c>
      <c r="I590" s="30" t="s">
        <v>145</v>
      </c>
      <c r="J590" s="30" t="s">
        <v>145</v>
      </c>
      <c r="K590" s="30" t="s">
        <v>145</v>
      </c>
      <c r="L590" s="30" t="s">
        <v>145</v>
      </c>
      <c r="M590" s="30" t="s">
        <v>145</v>
      </c>
      <c r="N590" s="30" t="s">
        <v>145</v>
      </c>
      <c r="O590" s="30" t="s">
        <v>145</v>
      </c>
      <c r="P590" s="30" t="s">
        <v>145</v>
      </c>
      <c r="Q590" s="30" t="s">
        <v>152</v>
      </c>
    </row>
    <row r="591" hidden="1">
      <c r="A591" s="33" t="s">
        <v>3398</v>
      </c>
      <c r="B591" s="30" t="s">
        <v>139</v>
      </c>
      <c r="C591" s="30" t="s">
        <v>148</v>
      </c>
      <c r="D591" s="30" t="s">
        <v>153</v>
      </c>
      <c r="E591" s="35">
        <v>42964.0</v>
      </c>
      <c r="F591" s="37" t="s">
        <v>154</v>
      </c>
      <c r="G591" s="30" t="s">
        <v>727</v>
      </c>
      <c r="H591" s="30" t="s">
        <v>145</v>
      </c>
      <c r="I591" s="30" t="s">
        <v>145</v>
      </c>
      <c r="J591" s="30" t="s">
        <v>145</v>
      </c>
      <c r="K591" s="30" t="s">
        <v>145</v>
      </c>
      <c r="L591" s="30" t="s">
        <v>145</v>
      </c>
      <c r="M591" s="30" t="s">
        <v>145</v>
      </c>
      <c r="N591" s="30" t="s">
        <v>145</v>
      </c>
      <c r="O591" s="30" t="s">
        <v>145</v>
      </c>
      <c r="P591" s="30" t="s">
        <v>145</v>
      </c>
      <c r="Q591" s="30" t="s">
        <v>152</v>
      </c>
    </row>
    <row r="592" hidden="1">
      <c r="A592" s="33" t="s">
        <v>3403</v>
      </c>
      <c r="B592" s="30" t="s">
        <v>139</v>
      </c>
      <c r="C592" s="30" t="s">
        <v>140</v>
      </c>
      <c r="D592" s="30" t="s">
        <v>153</v>
      </c>
      <c r="E592" s="35">
        <v>42964.0</v>
      </c>
      <c r="F592" s="37" t="s">
        <v>154</v>
      </c>
      <c r="G592" s="30" t="s">
        <v>146</v>
      </c>
      <c r="H592" s="30" t="s">
        <v>145</v>
      </c>
      <c r="I592" s="30" t="s">
        <v>145</v>
      </c>
      <c r="J592" s="30" t="s">
        <v>145</v>
      </c>
      <c r="K592" s="30" t="s">
        <v>145</v>
      </c>
      <c r="L592" s="30" t="s">
        <v>145</v>
      </c>
      <c r="M592" s="30" t="s">
        <v>145</v>
      </c>
      <c r="N592" s="30" t="s">
        <v>145</v>
      </c>
      <c r="O592" s="30" t="s">
        <v>145</v>
      </c>
      <c r="P592" s="30" t="s">
        <v>145</v>
      </c>
      <c r="Q592" s="30" t="s">
        <v>146</v>
      </c>
    </row>
    <row r="593" hidden="1">
      <c r="A593" s="33" t="s">
        <v>3410</v>
      </c>
      <c r="B593" s="30" t="s">
        <v>139</v>
      </c>
      <c r="C593" s="30" t="s">
        <v>148</v>
      </c>
      <c r="D593" s="30" t="s">
        <v>141</v>
      </c>
      <c r="E593" s="35">
        <v>42964.0</v>
      </c>
      <c r="F593" s="37" t="s">
        <v>154</v>
      </c>
      <c r="G593" s="30" t="s">
        <v>152</v>
      </c>
      <c r="H593" s="30" t="s">
        <v>145</v>
      </c>
      <c r="I593" s="30" t="s">
        <v>145</v>
      </c>
      <c r="J593" s="30" t="s">
        <v>145</v>
      </c>
      <c r="K593" s="30" t="s">
        <v>145</v>
      </c>
      <c r="L593" s="30" t="s">
        <v>145</v>
      </c>
      <c r="M593" s="30" t="s">
        <v>145</v>
      </c>
      <c r="N593" s="30" t="s">
        <v>145</v>
      </c>
      <c r="O593" s="30" t="s">
        <v>145</v>
      </c>
      <c r="P593" s="30" t="s">
        <v>145</v>
      </c>
      <c r="Q593" s="30" t="s">
        <v>152</v>
      </c>
    </row>
    <row r="594" hidden="1">
      <c r="A594" s="33" t="s">
        <v>3416</v>
      </c>
      <c r="B594" s="30" t="s">
        <v>139</v>
      </c>
      <c r="C594" s="30" t="s">
        <v>148</v>
      </c>
      <c r="D594" s="30" t="s">
        <v>141</v>
      </c>
      <c r="E594" s="35">
        <v>42964.0</v>
      </c>
      <c r="F594" s="37" t="s">
        <v>154</v>
      </c>
      <c r="G594" s="30" t="s">
        <v>152</v>
      </c>
      <c r="H594" s="30" t="s">
        <v>145</v>
      </c>
      <c r="I594" s="30" t="s">
        <v>145</v>
      </c>
      <c r="J594" s="30" t="s">
        <v>145</v>
      </c>
      <c r="K594" s="30" t="s">
        <v>145</v>
      </c>
      <c r="L594" s="30" t="s">
        <v>145</v>
      </c>
      <c r="M594" s="30" t="s">
        <v>145</v>
      </c>
      <c r="N594" s="30" t="s">
        <v>145</v>
      </c>
      <c r="O594" s="30" t="s">
        <v>145</v>
      </c>
      <c r="P594" s="30" t="s">
        <v>145</v>
      </c>
      <c r="Q594" s="30" t="s">
        <v>152</v>
      </c>
    </row>
    <row r="595" hidden="1">
      <c r="A595" s="33" t="s">
        <v>3420</v>
      </c>
      <c r="B595" s="30" t="s">
        <v>139</v>
      </c>
      <c r="C595" s="30" t="s">
        <v>140</v>
      </c>
      <c r="D595" s="30" t="s">
        <v>153</v>
      </c>
      <c r="E595" s="35">
        <v>42963.0</v>
      </c>
      <c r="F595" s="37" t="s">
        <v>154</v>
      </c>
      <c r="G595" s="30" t="s">
        <v>146</v>
      </c>
      <c r="H595" s="30" t="s">
        <v>145</v>
      </c>
      <c r="I595" s="30" t="s">
        <v>145</v>
      </c>
      <c r="J595" s="30" t="s">
        <v>145</v>
      </c>
      <c r="K595" s="30" t="s">
        <v>145</v>
      </c>
      <c r="L595" s="30" t="s">
        <v>145</v>
      </c>
      <c r="M595" s="30" t="s">
        <v>145</v>
      </c>
      <c r="N595" s="30" t="s">
        <v>145</v>
      </c>
      <c r="O595" s="30" t="s">
        <v>145</v>
      </c>
      <c r="P595" s="30" t="s">
        <v>145</v>
      </c>
      <c r="Q595" s="30" t="s">
        <v>146</v>
      </c>
    </row>
    <row r="596" hidden="1">
      <c r="A596" s="33" t="s">
        <v>3424</v>
      </c>
      <c r="B596" s="30" t="s">
        <v>139</v>
      </c>
      <c r="C596" s="30" t="s">
        <v>140</v>
      </c>
      <c r="D596" s="30" t="s">
        <v>140</v>
      </c>
      <c r="E596" s="35">
        <v>42963.0</v>
      </c>
      <c r="F596" s="37" t="s">
        <v>452</v>
      </c>
      <c r="G596" s="30" t="s">
        <v>146</v>
      </c>
      <c r="H596" s="30" t="s">
        <v>146</v>
      </c>
      <c r="I596" s="30" t="s">
        <v>146</v>
      </c>
      <c r="J596" s="30" t="s">
        <v>146</v>
      </c>
      <c r="K596" s="30" t="s">
        <v>146</v>
      </c>
      <c r="L596" s="30" t="s">
        <v>146</v>
      </c>
      <c r="M596" s="30" t="s">
        <v>145</v>
      </c>
      <c r="N596" s="30" t="s">
        <v>145</v>
      </c>
      <c r="O596" s="30" t="s">
        <v>145</v>
      </c>
      <c r="P596" s="30" t="s">
        <v>145</v>
      </c>
      <c r="Q596" s="30" t="s">
        <v>146</v>
      </c>
    </row>
    <row r="597" hidden="1">
      <c r="A597" s="33" t="s">
        <v>3430</v>
      </c>
      <c r="B597" s="30" t="s">
        <v>139</v>
      </c>
      <c r="C597" s="30" t="s">
        <v>140</v>
      </c>
      <c r="D597" s="30" t="s">
        <v>155</v>
      </c>
      <c r="E597" s="35">
        <v>42963.0</v>
      </c>
      <c r="F597" s="37" t="s">
        <v>184</v>
      </c>
      <c r="G597" s="30" t="s">
        <v>540</v>
      </c>
      <c r="H597" s="30" t="s">
        <v>146</v>
      </c>
      <c r="I597" s="30" t="s">
        <v>146</v>
      </c>
      <c r="J597" s="30" t="s">
        <v>146</v>
      </c>
      <c r="K597" s="30" t="s">
        <v>146</v>
      </c>
      <c r="L597" s="30" t="s">
        <v>146</v>
      </c>
      <c r="M597" s="30" t="s">
        <v>145</v>
      </c>
      <c r="N597" s="30" t="s">
        <v>145</v>
      </c>
      <c r="O597" s="30" t="s">
        <v>145</v>
      </c>
      <c r="P597" s="30" t="s">
        <v>145</v>
      </c>
      <c r="Q597" s="30" t="s">
        <v>146</v>
      </c>
    </row>
    <row r="598" hidden="1">
      <c r="A598" s="33" t="s">
        <v>3434</v>
      </c>
      <c r="B598" s="30" t="s">
        <v>139</v>
      </c>
      <c r="C598" s="30" t="s">
        <v>148</v>
      </c>
      <c r="D598" s="30" t="s">
        <v>216</v>
      </c>
      <c r="E598" s="35">
        <v>42963.0</v>
      </c>
      <c r="F598" s="37" t="s">
        <v>154</v>
      </c>
      <c r="G598" s="30" t="s">
        <v>727</v>
      </c>
      <c r="H598" s="30" t="s">
        <v>145</v>
      </c>
      <c r="I598" s="30" t="s">
        <v>145</v>
      </c>
      <c r="J598" s="30" t="s">
        <v>145</v>
      </c>
      <c r="K598" s="30" t="s">
        <v>145</v>
      </c>
      <c r="L598" s="30" t="s">
        <v>145</v>
      </c>
      <c r="M598" s="30" t="s">
        <v>145</v>
      </c>
      <c r="N598" s="30" t="s">
        <v>145</v>
      </c>
      <c r="O598" s="30" t="s">
        <v>145</v>
      </c>
      <c r="P598" s="30" t="s">
        <v>145</v>
      </c>
      <c r="Q598" s="30" t="s">
        <v>3439</v>
      </c>
    </row>
    <row r="599" hidden="1">
      <c r="A599" s="33" t="s">
        <v>3440</v>
      </c>
      <c r="B599" s="30" t="s">
        <v>139</v>
      </c>
      <c r="C599" s="30" t="s">
        <v>148</v>
      </c>
      <c r="D599" s="30" t="s">
        <v>216</v>
      </c>
      <c r="E599" s="35">
        <v>42963.0</v>
      </c>
      <c r="F599" s="37" t="s">
        <v>143</v>
      </c>
      <c r="G599" s="30" t="s">
        <v>2364</v>
      </c>
      <c r="H599" s="30" t="s">
        <v>145</v>
      </c>
      <c r="I599" s="30" t="s">
        <v>145</v>
      </c>
      <c r="J599" s="30" t="s">
        <v>145</v>
      </c>
      <c r="K599" s="30" t="s">
        <v>145</v>
      </c>
      <c r="L599" s="30" t="s">
        <v>145</v>
      </c>
      <c r="M599" s="30" t="s">
        <v>145</v>
      </c>
      <c r="N599" s="30" t="s">
        <v>213</v>
      </c>
      <c r="O599" s="30" t="s">
        <v>152</v>
      </c>
      <c r="P599" s="30" t="s">
        <v>197</v>
      </c>
      <c r="Q599" s="30" t="s">
        <v>152</v>
      </c>
    </row>
    <row r="600" hidden="1">
      <c r="A600" s="33" t="s">
        <v>3446</v>
      </c>
      <c r="B600" s="30" t="s">
        <v>139</v>
      </c>
      <c r="C600" s="30" t="s">
        <v>148</v>
      </c>
      <c r="D600" s="30" t="s">
        <v>140</v>
      </c>
      <c r="E600" s="35">
        <v>42962.0</v>
      </c>
      <c r="F600" s="37" t="s">
        <v>154</v>
      </c>
      <c r="G600" s="30" t="s">
        <v>152</v>
      </c>
      <c r="H600" s="30" t="s">
        <v>145</v>
      </c>
      <c r="I600" s="30" t="s">
        <v>145</v>
      </c>
      <c r="J600" s="30" t="s">
        <v>145</v>
      </c>
      <c r="K600" s="30" t="s">
        <v>145</v>
      </c>
      <c r="L600" s="30" t="s">
        <v>145</v>
      </c>
      <c r="M600" s="30" t="s">
        <v>145</v>
      </c>
      <c r="N600" s="30" t="s">
        <v>145</v>
      </c>
      <c r="O600" s="30" t="s">
        <v>145</v>
      </c>
      <c r="P600" s="30" t="s">
        <v>145</v>
      </c>
      <c r="Q600" s="30" t="s">
        <v>152</v>
      </c>
    </row>
    <row r="601" hidden="1">
      <c r="A601" s="33" t="s">
        <v>3450</v>
      </c>
      <c r="B601" s="30" t="s">
        <v>139</v>
      </c>
      <c r="C601" s="30" t="s">
        <v>140</v>
      </c>
      <c r="D601" s="30" t="s">
        <v>153</v>
      </c>
      <c r="E601" s="35">
        <v>42961.0</v>
      </c>
      <c r="F601" s="37" t="s">
        <v>154</v>
      </c>
      <c r="G601" s="30" t="s">
        <v>146</v>
      </c>
      <c r="H601" s="30" t="s">
        <v>145</v>
      </c>
      <c r="I601" s="30" t="s">
        <v>145</v>
      </c>
      <c r="J601" s="30" t="s">
        <v>145</v>
      </c>
      <c r="K601" s="30" t="s">
        <v>145</v>
      </c>
      <c r="L601" s="30" t="s">
        <v>145</v>
      </c>
      <c r="M601" s="30" t="s">
        <v>145</v>
      </c>
      <c r="N601" s="30" t="s">
        <v>145</v>
      </c>
      <c r="O601" s="30" t="s">
        <v>145</v>
      </c>
      <c r="P601" s="30" t="s">
        <v>145</v>
      </c>
      <c r="Q601" s="30" t="s">
        <v>146</v>
      </c>
    </row>
    <row r="602" hidden="1">
      <c r="A602" s="33" t="s">
        <v>3453</v>
      </c>
      <c r="B602" s="30" t="s">
        <v>139</v>
      </c>
      <c r="C602" s="30" t="s">
        <v>140</v>
      </c>
      <c r="D602" s="30" t="s">
        <v>140</v>
      </c>
      <c r="E602" s="35">
        <v>42961.0</v>
      </c>
      <c r="F602" s="37" t="s">
        <v>269</v>
      </c>
      <c r="G602" s="30" t="s">
        <v>540</v>
      </c>
      <c r="H602" s="30" t="s">
        <v>145</v>
      </c>
      <c r="I602" s="30" t="s">
        <v>145</v>
      </c>
      <c r="J602" s="30" t="s">
        <v>145</v>
      </c>
      <c r="K602" s="30" t="s">
        <v>145</v>
      </c>
      <c r="L602" s="30" t="s">
        <v>145</v>
      </c>
      <c r="M602" s="30" t="s">
        <v>145</v>
      </c>
      <c r="N602" s="30" t="s">
        <v>145</v>
      </c>
      <c r="O602" s="30" t="s">
        <v>145</v>
      </c>
      <c r="P602" s="30" t="s">
        <v>145</v>
      </c>
      <c r="Q602" s="30" t="s">
        <v>146</v>
      </c>
    </row>
    <row r="603" hidden="1">
      <c r="A603" s="33" t="s">
        <v>3457</v>
      </c>
      <c r="B603" s="30" t="s">
        <v>139</v>
      </c>
      <c r="C603" s="30" t="s">
        <v>141</v>
      </c>
      <c r="D603" s="30" t="s">
        <v>141</v>
      </c>
      <c r="E603" s="35">
        <v>42958.0</v>
      </c>
      <c r="F603" s="37" t="s">
        <v>150</v>
      </c>
      <c r="G603" s="30" t="s">
        <v>141</v>
      </c>
      <c r="H603" s="30" t="s">
        <v>146</v>
      </c>
      <c r="I603" s="30" t="s">
        <v>163</v>
      </c>
      <c r="J603" s="30" t="s">
        <v>3460</v>
      </c>
      <c r="K603" s="30" t="s">
        <v>145</v>
      </c>
      <c r="L603" s="30" t="s">
        <v>145</v>
      </c>
      <c r="M603" s="30" t="s">
        <v>145</v>
      </c>
      <c r="N603" s="30" t="s">
        <v>145</v>
      </c>
      <c r="O603" s="30" t="s">
        <v>145</v>
      </c>
      <c r="P603" s="30" t="s">
        <v>145</v>
      </c>
      <c r="Q603" s="30" t="s">
        <v>180</v>
      </c>
    </row>
    <row r="604" hidden="1">
      <c r="A604" s="33" t="s">
        <v>3462</v>
      </c>
      <c r="B604" s="30" t="s">
        <v>139</v>
      </c>
      <c r="C604" s="30" t="s">
        <v>148</v>
      </c>
      <c r="D604" s="30" t="s">
        <v>141</v>
      </c>
      <c r="E604" s="35">
        <v>42958.0</v>
      </c>
      <c r="F604" s="37" t="s">
        <v>154</v>
      </c>
      <c r="G604" s="30" t="s">
        <v>151</v>
      </c>
      <c r="H604" s="30" t="s">
        <v>145</v>
      </c>
      <c r="I604" s="30" t="s">
        <v>145</v>
      </c>
      <c r="J604" s="30" t="s">
        <v>145</v>
      </c>
      <c r="K604" s="30" t="s">
        <v>145</v>
      </c>
      <c r="L604" s="30" t="s">
        <v>145</v>
      </c>
      <c r="M604" s="30" t="s">
        <v>145</v>
      </c>
      <c r="N604" s="30" t="s">
        <v>145</v>
      </c>
      <c r="O604" s="30" t="s">
        <v>145</v>
      </c>
      <c r="P604" s="30" t="s">
        <v>145</v>
      </c>
      <c r="Q604" s="30" t="s">
        <v>152</v>
      </c>
    </row>
    <row r="605" hidden="1">
      <c r="A605" s="33" t="s">
        <v>3467</v>
      </c>
      <c r="B605" s="30" t="s">
        <v>139</v>
      </c>
      <c r="C605" s="30" t="s">
        <v>141</v>
      </c>
      <c r="D605" s="30" t="s">
        <v>141</v>
      </c>
      <c r="E605" s="35">
        <v>42957.0</v>
      </c>
      <c r="F605" s="37" t="s">
        <v>154</v>
      </c>
      <c r="G605" s="30" t="s">
        <v>180</v>
      </c>
      <c r="H605" s="30" t="s">
        <v>145</v>
      </c>
      <c r="I605" s="30" t="s">
        <v>145</v>
      </c>
      <c r="J605" s="30" t="s">
        <v>145</v>
      </c>
      <c r="K605" s="30" t="s">
        <v>145</v>
      </c>
      <c r="L605" s="30" t="s">
        <v>145</v>
      </c>
      <c r="M605" s="30" t="s">
        <v>145</v>
      </c>
      <c r="N605" s="30" t="s">
        <v>145</v>
      </c>
      <c r="O605" s="30" t="s">
        <v>145</v>
      </c>
      <c r="P605" s="30" t="s">
        <v>145</v>
      </c>
      <c r="Q605" s="30" t="s">
        <v>180</v>
      </c>
    </row>
    <row r="606" hidden="1">
      <c r="A606" s="33" t="s">
        <v>3471</v>
      </c>
      <c r="B606" s="30" t="s">
        <v>139</v>
      </c>
      <c r="C606" s="30" t="s">
        <v>141</v>
      </c>
      <c r="D606" s="30" t="s">
        <v>141</v>
      </c>
      <c r="E606" s="35">
        <v>42957.0</v>
      </c>
      <c r="F606" s="37" t="s">
        <v>154</v>
      </c>
      <c r="G606" s="30" t="s">
        <v>180</v>
      </c>
      <c r="H606" s="30" t="s">
        <v>145</v>
      </c>
      <c r="I606" s="30" t="s">
        <v>145</v>
      </c>
      <c r="J606" s="30" t="s">
        <v>145</v>
      </c>
      <c r="K606" s="30" t="s">
        <v>145</v>
      </c>
      <c r="L606" s="30" t="s">
        <v>145</v>
      </c>
      <c r="M606" s="30" t="s">
        <v>145</v>
      </c>
      <c r="N606" s="30" t="s">
        <v>145</v>
      </c>
      <c r="O606" s="30" t="s">
        <v>145</v>
      </c>
      <c r="P606" s="30" t="s">
        <v>145</v>
      </c>
      <c r="Q606" s="30" t="s">
        <v>180</v>
      </c>
    </row>
    <row r="607" hidden="1">
      <c r="A607" s="33" t="s">
        <v>3479</v>
      </c>
      <c r="B607" s="30" t="s">
        <v>139</v>
      </c>
      <c r="C607" s="30" t="s">
        <v>141</v>
      </c>
      <c r="D607" s="30" t="s">
        <v>141</v>
      </c>
      <c r="E607" s="35">
        <v>42957.0</v>
      </c>
      <c r="F607" s="37" t="s">
        <v>154</v>
      </c>
      <c r="G607" s="30" t="s">
        <v>180</v>
      </c>
      <c r="H607" s="30" t="s">
        <v>145</v>
      </c>
      <c r="I607" s="30" t="s">
        <v>145</v>
      </c>
      <c r="J607" s="30" t="s">
        <v>145</v>
      </c>
      <c r="K607" s="30" t="s">
        <v>145</v>
      </c>
      <c r="L607" s="30" t="s">
        <v>145</v>
      </c>
      <c r="M607" s="30" t="s">
        <v>145</v>
      </c>
      <c r="N607" s="30" t="s">
        <v>145</v>
      </c>
      <c r="O607" s="30" t="s">
        <v>145</v>
      </c>
      <c r="P607" s="30" t="s">
        <v>145</v>
      </c>
      <c r="Q607" s="30" t="s">
        <v>180</v>
      </c>
    </row>
    <row r="608" hidden="1">
      <c r="A608" s="33" t="s">
        <v>3484</v>
      </c>
      <c r="B608" s="30" t="s">
        <v>139</v>
      </c>
      <c r="C608" s="30" t="s">
        <v>141</v>
      </c>
      <c r="D608" s="30" t="s">
        <v>141</v>
      </c>
      <c r="E608" s="35">
        <v>42957.0</v>
      </c>
      <c r="F608" s="37" t="s">
        <v>150</v>
      </c>
      <c r="G608" s="30" t="s">
        <v>994</v>
      </c>
      <c r="H608" s="30" t="s">
        <v>223</v>
      </c>
      <c r="I608" s="30" t="s">
        <v>358</v>
      </c>
      <c r="J608" s="30" t="s">
        <v>189</v>
      </c>
      <c r="K608" s="30" t="s">
        <v>152</v>
      </c>
      <c r="L608" s="30" t="s">
        <v>146</v>
      </c>
      <c r="M608" s="30" t="s">
        <v>882</v>
      </c>
      <c r="N608" s="30" t="s">
        <v>145</v>
      </c>
      <c r="O608" s="30" t="s">
        <v>145</v>
      </c>
      <c r="P608" s="30" t="s">
        <v>145</v>
      </c>
      <c r="Q608" s="30" t="s">
        <v>2140</v>
      </c>
    </row>
    <row r="609" hidden="1">
      <c r="A609" s="33" t="s">
        <v>3491</v>
      </c>
      <c r="B609" s="30" t="s">
        <v>139</v>
      </c>
      <c r="C609" s="30" t="s">
        <v>141</v>
      </c>
      <c r="D609" s="30" t="s">
        <v>141</v>
      </c>
      <c r="E609" s="35">
        <v>42957.0</v>
      </c>
      <c r="F609" s="37" t="s">
        <v>154</v>
      </c>
      <c r="G609" s="30" t="s">
        <v>180</v>
      </c>
      <c r="H609" s="30" t="s">
        <v>145</v>
      </c>
      <c r="I609" s="30" t="s">
        <v>145</v>
      </c>
      <c r="J609" s="30" t="s">
        <v>145</v>
      </c>
      <c r="K609" s="30" t="s">
        <v>145</v>
      </c>
      <c r="L609" s="30" t="s">
        <v>145</v>
      </c>
      <c r="M609" s="30" t="s">
        <v>145</v>
      </c>
      <c r="N609" s="30" t="s">
        <v>145</v>
      </c>
      <c r="O609" s="30" t="s">
        <v>145</v>
      </c>
      <c r="P609" s="30" t="s">
        <v>145</v>
      </c>
      <c r="Q609" s="30" t="s">
        <v>180</v>
      </c>
    </row>
    <row r="610" hidden="1">
      <c r="A610" s="33" t="s">
        <v>3496</v>
      </c>
      <c r="B610" s="30" t="s">
        <v>139</v>
      </c>
      <c r="C610" s="30" t="s">
        <v>141</v>
      </c>
      <c r="D610" s="30" t="s">
        <v>141</v>
      </c>
      <c r="E610" s="35">
        <v>42957.0</v>
      </c>
      <c r="F610" s="37" t="s">
        <v>150</v>
      </c>
      <c r="G610" s="30" t="s">
        <v>994</v>
      </c>
      <c r="H610" s="30" t="s">
        <v>223</v>
      </c>
      <c r="I610" s="30" t="s">
        <v>223</v>
      </c>
      <c r="J610" s="30" t="s">
        <v>278</v>
      </c>
      <c r="K610" s="30" t="s">
        <v>152</v>
      </c>
      <c r="L610" s="30" t="s">
        <v>146</v>
      </c>
      <c r="M610" s="30" t="s">
        <v>1052</v>
      </c>
      <c r="N610" s="30" t="s">
        <v>145</v>
      </c>
      <c r="O610" s="30" t="s">
        <v>145</v>
      </c>
      <c r="P610" s="30" t="s">
        <v>145</v>
      </c>
      <c r="Q610" s="30" t="s">
        <v>179</v>
      </c>
    </row>
    <row r="611" hidden="1">
      <c r="A611" s="33" t="s">
        <v>3500</v>
      </c>
      <c r="B611" s="30" t="s">
        <v>139</v>
      </c>
      <c r="C611" s="30" t="s">
        <v>140</v>
      </c>
      <c r="D611" s="30" t="s">
        <v>140</v>
      </c>
      <c r="E611" s="35">
        <v>42957.0</v>
      </c>
      <c r="F611" s="37" t="s">
        <v>269</v>
      </c>
      <c r="G611" s="30" t="s">
        <v>146</v>
      </c>
      <c r="H611" s="30" t="s">
        <v>145</v>
      </c>
      <c r="I611" s="30" t="s">
        <v>145</v>
      </c>
      <c r="J611" s="30" t="s">
        <v>145</v>
      </c>
      <c r="K611" s="30" t="s">
        <v>145</v>
      </c>
      <c r="L611" s="30" t="s">
        <v>145</v>
      </c>
      <c r="M611" s="30" t="s">
        <v>145</v>
      </c>
      <c r="N611" s="30" t="s">
        <v>145</v>
      </c>
      <c r="O611" s="30" t="s">
        <v>145</v>
      </c>
      <c r="P611" s="30" t="s">
        <v>145</v>
      </c>
      <c r="Q611" s="30" t="s">
        <v>146</v>
      </c>
    </row>
    <row r="612" hidden="1">
      <c r="A612" s="33" t="s">
        <v>3504</v>
      </c>
      <c r="B612" s="30" t="s">
        <v>139</v>
      </c>
      <c r="C612" s="30" t="s">
        <v>140</v>
      </c>
      <c r="D612" s="30" t="s">
        <v>140</v>
      </c>
      <c r="E612" s="35">
        <v>42957.0</v>
      </c>
      <c r="F612" s="37" t="s">
        <v>269</v>
      </c>
      <c r="G612" s="30" t="s">
        <v>432</v>
      </c>
      <c r="H612" s="30" t="s">
        <v>145</v>
      </c>
      <c r="I612" s="30" t="s">
        <v>145</v>
      </c>
      <c r="J612" s="30" t="s">
        <v>145</v>
      </c>
      <c r="K612" s="30" t="s">
        <v>145</v>
      </c>
      <c r="L612" s="30" t="s">
        <v>145</v>
      </c>
      <c r="M612" s="30" t="s">
        <v>145</v>
      </c>
      <c r="N612" s="30" t="s">
        <v>145</v>
      </c>
      <c r="O612" s="30" t="s">
        <v>145</v>
      </c>
      <c r="P612" s="30" t="s">
        <v>145</v>
      </c>
      <c r="Q612" s="30" t="s">
        <v>146</v>
      </c>
    </row>
    <row r="613" hidden="1">
      <c r="A613" s="33" t="s">
        <v>3511</v>
      </c>
      <c r="B613" s="30" t="s">
        <v>139</v>
      </c>
      <c r="C613" s="30" t="s">
        <v>148</v>
      </c>
      <c r="D613" s="30" t="s">
        <v>141</v>
      </c>
      <c r="E613" s="35">
        <v>42957.0</v>
      </c>
      <c r="F613" s="37" t="s">
        <v>154</v>
      </c>
      <c r="G613" s="30" t="s">
        <v>156</v>
      </c>
      <c r="H613" s="30" t="s">
        <v>145</v>
      </c>
      <c r="I613" s="30" t="s">
        <v>145</v>
      </c>
      <c r="J613" s="30" t="s">
        <v>145</v>
      </c>
      <c r="K613" s="30" t="s">
        <v>145</v>
      </c>
      <c r="L613" s="30" t="s">
        <v>145</v>
      </c>
      <c r="M613" s="30" t="s">
        <v>145</v>
      </c>
      <c r="N613" s="30" t="s">
        <v>145</v>
      </c>
      <c r="O613" s="30" t="s">
        <v>145</v>
      </c>
      <c r="P613" s="30" t="s">
        <v>145</v>
      </c>
      <c r="Q613" s="30" t="s">
        <v>152</v>
      </c>
    </row>
    <row r="614" hidden="1">
      <c r="A614" s="33" t="s">
        <v>3514</v>
      </c>
      <c r="B614" s="30" t="s">
        <v>139</v>
      </c>
      <c r="C614" s="30" t="s">
        <v>148</v>
      </c>
      <c r="D614" s="30" t="s">
        <v>141</v>
      </c>
      <c r="E614" s="35">
        <v>42957.0</v>
      </c>
      <c r="F614" s="37" t="s">
        <v>154</v>
      </c>
      <c r="G614" s="30" t="s">
        <v>156</v>
      </c>
      <c r="H614" s="30" t="s">
        <v>145</v>
      </c>
      <c r="I614" s="30" t="s">
        <v>145</v>
      </c>
      <c r="J614" s="30" t="s">
        <v>145</v>
      </c>
      <c r="K614" s="30" t="s">
        <v>145</v>
      </c>
      <c r="L614" s="30" t="s">
        <v>145</v>
      </c>
      <c r="M614" s="30" t="s">
        <v>145</v>
      </c>
      <c r="N614" s="30" t="s">
        <v>145</v>
      </c>
      <c r="O614" s="30" t="s">
        <v>145</v>
      </c>
      <c r="P614" s="30" t="s">
        <v>145</v>
      </c>
      <c r="Q614" s="30" t="s">
        <v>152</v>
      </c>
    </row>
    <row r="615" hidden="1">
      <c r="A615" s="33" t="s">
        <v>3518</v>
      </c>
      <c r="B615" s="30" t="s">
        <v>139</v>
      </c>
      <c r="C615" s="30" t="s">
        <v>140</v>
      </c>
      <c r="D615" s="30" t="s">
        <v>141</v>
      </c>
      <c r="E615" s="35">
        <v>42957.0</v>
      </c>
      <c r="F615" s="37" t="s">
        <v>154</v>
      </c>
      <c r="G615" s="30" t="s">
        <v>146</v>
      </c>
      <c r="H615" s="30" t="s">
        <v>145</v>
      </c>
      <c r="I615" s="30" t="s">
        <v>145</v>
      </c>
      <c r="J615" s="30" t="s">
        <v>145</v>
      </c>
      <c r="K615" s="30" t="s">
        <v>145</v>
      </c>
      <c r="L615" s="30" t="s">
        <v>145</v>
      </c>
      <c r="M615" s="30" t="s">
        <v>145</v>
      </c>
      <c r="N615" s="30" t="s">
        <v>145</v>
      </c>
      <c r="O615" s="30" t="s">
        <v>145</v>
      </c>
      <c r="P615" s="30" t="s">
        <v>145</v>
      </c>
      <c r="Q615" s="30" t="s">
        <v>146</v>
      </c>
    </row>
    <row r="616" hidden="1">
      <c r="A616" s="33" t="s">
        <v>3522</v>
      </c>
      <c r="B616" s="30" t="s">
        <v>139</v>
      </c>
      <c r="C616" s="30" t="s">
        <v>141</v>
      </c>
      <c r="D616" s="30" t="s">
        <v>141</v>
      </c>
      <c r="E616" s="35">
        <v>42955.0</v>
      </c>
      <c r="F616" s="37" t="s">
        <v>150</v>
      </c>
      <c r="G616" s="30" t="s">
        <v>141</v>
      </c>
      <c r="H616" s="30" t="s">
        <v>145</v>
      </c>
      <c r="I616" s="30" t="s">
        <v>152</v>
      </c>
      <c r="J616" s="30" t="s">
        <v>3460</v>
      </c>
      <c r="K616" s="30" t="s">
        <v>145</v>
      </c>
      <c r="L616" s="30" t="s">
        <v>145</v>
      </c>
      <c r="M616" s="30" t="s">
        <v>145</v>
      </c>
      <c r="N616" s="30" t="s">
        <v>145</v>
      </c>
      <c r="O616" s="30" t="s">
        <v>145</v>
      </c>
      <c r="P616" s="30" t="s">
        <v>145</v>
      </c>
      <c r="Q616" s="30" t="s">
        <v>180</v>
      </c>
    </row>
    <row r="617" hidden="1">
      <c r="A617" s="33" t="s">
        <v>3528</v>
      </c>
      <c r="B617" s="30" t="s">
        <v>139</v>
      </c>
      <c r="C617" s="30" t="s">
        <v>140</v>
      </c>
      <c r="D617" s="30" t="s">
        <v>140</v>
      </c>
      <c r="E617" s="35">
        <v>42955.0</v>
      </c>
      <c r="F617" s="37" t="s">
        <v>452</v>
      </c>
      <c r="G617" s="30" t="s">
        <v>146</v>
      </c>
      <c r="H617" s="30" t="s">
        <v>145</v>
      </c>
      <c r="I617" s="30" t="s">
        <v>146</v>
      </c>
      <c r="J617" s="30" t="s">
        <v>146</v>
      </c>
      <c r="K617" s="30" t="s">
        <v>146</v>
      </c>
      <c r="L617" s="30" t="s">
        <v>146</v>
      </c>
      <c r="M617" s="30" t="s">
        <v>145</v>
      </c>
      <c r="N617" s="30" t="s">
        <v>145</v>
      </c>
      <c r="O617" s="30" t="s">
        <v>145</v>
      </c>
      <c r="P617" s="30" t="s">
        <v>145</v>
      </c>
      <c r="Q617" s="30" t="s">
        <v>146</v>
      </c>
    </row>
    <row r="618" hidden="1">
      <c r="A618" s="33" t="s">
        <v>3534</v>
      </c>
      <c r="B618" s="30" t="s">
        <v>139</v>
      </c>
      <c r="C618" s="30" t="s">
        <v>140</v>
      </c>
      <c r="D618" s="30" t="s">
        <v>140</v>
      </c>
      <c r="E618" s="35">
        <v>42955.0</v>
      </c>
      <c r="F618" s="37" t="s">
        <v>269</v>
      </c>
      <c r="G618" s="30" t="s">
        <v>185</v>
      </c>
      <c r="H618" s="30" t="s">
        <v>145</v>
      </c>
      <c r="I618" s="30" t="s">
        <v>145</v>
      </c>
      <c r="J618" s="30" t="s">
        <v>145</v>
      </c>
      <c r="K618" s="30" t="s">
        <v>145</v>
      </c>
      <c r="L618" s="30" t="s">
        <v>145</v>
      </c>
      <c r="M618" s="30" t="s">
        <v>145</v>
      </c>
      <c r="N618" s="30" t="s">
        <v>145</v>
      </c>
      <c r="O618" s="30" t="s">
        <v>145</v>
      </c>
      <c r="P618" s="30" t="s">
        <v>145</v>
      </c>
      <c r="Q618" s="30" t="s">
        <v>146</v>
      </c>
    </row>
    <row r="619" hidden="1">
      <c r="A619" s="33" t="s">
        <v>3539</v>
      </c>
      <c r="B619" s="30" t="s">
        <v>139</v>
      </c>
      <c r="C619" s="30" t="s">
        <v>148</v>
      </c>
      <c r="D619" s="30" t="s">
        <v>141</v>
      </c>
      <c r="E619" s="35">
        <v>42955.0</v>
      </c>
      <c r="F619" s="37" t="s">
        <v>154</v>
      </c>
      <c r="G619" s="30" t="s">
        <v>199</v>
      </c>
      <c r="H619" s="30" t="s">
        <v>145</v>
      </c>
      <c r="I619" s="30" t="s">
        <v>145</v>
      </c>
      <c r="J619" s="30" t="s">
        <v>145</v>
      </c>
      <c r="K619" s="30" t="s">
        <v>145</v>
      </c>
      <c r="L619" s="30" t="s">
        <v>145</v>
      </c>
      <c r="M619" s="30" t="s">
        <v>145</v>
      </c>
      <c r="N619" s="30" t="s">
        <v>145</v>
      </c>
      <c r="O619" s="30" t="s">
        <v>145</v>
      </c>
      <c r="P619" s="30" t="s">
        <v>145</v>
      </c>
      <c r="Q619" s="30" t="s">
        <v>152</v>
      </c>
    </row>
    <row r="620" hidden="1">
      <c r="A620" s="33" t="s">
        <v>3543</v>
      </c>
      <c r="B620" s="30" t="s">
        <v>139</v>
      </c>
      <c r="C620" s="30" t="s">
        <v>148</v>
      </c>
      <c r="D620" s="30" t="s">
        <v>141</v>
      </c>
      <c r="E620" s="35">
        <v>42955.0</v>
      </c>
      <c r="F620" s="37" t="s">
        <v>154</v>
      </c>
      <c r="G620" s="30" t="s">
        <v>199</v>
      </c>
      <c r="H620" s="30" t="s">
        <v>145</v>
      </c>
      <c r="I620" s="30" t="s">
        <v>145</v>
      </c>
      <c r="J620" s="30" t="s">
        <v>145</v>
      </c>
      <c r="K620" s="30" t="s">
        <v>145</v>
      </c>
      <c r="L620" s="30" t="s">
        <v>145</v>
      </c>
      <c r="M620" s="30" t="s">
        <v>145</v>
      </c>
      <c r="N620" s="30" t="s">
        <v>145</v>
      </c>
      <c r="O620" s="30" t="s">
        <v>145</v>
      </c>
      <c r="P620" s="30" t="s">
        <v>145</v>
      </c>
      <c r="Q620" s="30" t="s">
        <v>152</v>
      </c>
    </row>
    <row r="621" hidden="1">
      <c r="A621" s="33" t="s">
        <v>3550</v>
      </c>
      <c r="B621" s="30" t="s">
        <v>139</v>
      </c>
      <c r="C621" s="30" t="s">
        <v>140</v>
      </c>
      <c r="D621" s="30" t="s">
        <v>140</v>
      </c>
      <c r="E621" s="35">
        <v>42954.0</v>
      </c>
      <c r="F621" s="37" t="s">
        <v>269</v>
      </c>
      <c r="G621" s="30" t="s">
        <v>163</v>
      </c>
      <c r="H621" s="30" t="s">
        <v>145</v>
      </c>
      <c r="I621" s="30" t="s">
        <v>145</v>
      </c>
      <c r="J621" s="30" t="s">
        <v>145</v>
      </c>
      <c r="K621" s="30" t="s">
        <v>145</v>
      </c>
      <c r="L621" s="30" t="s">
        <v>145</v>
      </c>
      <c r="M621" s="30" t="s">
        <v>145</v>
      </c>
      <c r="N621" s="30" t="s">
        <v>145</v>
      </c>
      <c r="O621" s="30" t="s">
        <v>145</v>
      </c>
      <c r="P621" s="30" t="s">
        <v>145</v>
      </c>
      <c r="Q621" s="30" t="s">
        <v>146</v>
      </c>
    </row>
    <row r="622" hidden="1">
      <c r="A622" s="33" t="s">
        <v>3555</v>
      </c>
      <c r="B622" s="30" t="s">
        <v>139</v>
      </c>
      <c r="C622" s="30" t="s">
        <v>140</v>
      </c>
      <c r="D622" s="30" t="s">
        <v>140</v>
      </c>
      <c r="E622" s="35">
        <v>42954.0</v>
      </c>
      <c r="F622" s="37" t="s">
        <v>452</v>
      </c>
      <c r="G622" s="30" t="s">
        <v>146</v>
      </c>
      <c r="H622" s="30" t="s">
        <v>145</v>
      </c>
      <c r="I622" s="30" t="s">
        <v>146</v>
      </c>
      <c r="J622" s="30" t="s">
        <v>146</v>
      </c>
      <c r="K622" s="30" t="s">
        <v>146</v>
      </c>
      <c r="L622" s="30" t="s">
        <v>146</v>
      </c>
      <c r="M622" s="30" t="s">
        <v>145</v>
      </c>
      <c r="N622" s="30" t="s">
        <v>145</v>
      </c>
      <c r="O622" s="30" t="s">
        <v>145</v>
      </c>
      <c r="P622" s="30" t="s">
        <v>145</v>
      </c>
      <c r="Q622" s="30" t="s">
        <v>146</v>
      </c>
    </row>
    <row r="623" hidden="1">
      <c r="A623" s="33" t="s">
        <v>3565</v>
      </c>
      <c r="B623" s="30" t="s">
        <v>139</v>
      </c>
      <c r="C623" s="30" t="s">
        <v>216</v>
      </c>
      <c r="D623" s="30" t="s">
        <v>1313</v>
      </c>
      <c r="E623" s="35">
        <v>42954.0</v>
      </c>
      <c r="F623" s="37" t="s">
        <v>150</v>
      </c>
      <c r="G623" s="30" t="s">
        <v>3568</v>
      </c>
      <c r="H623" s="30" t="s">
        <v>223</v>
      </c>
      <c r="I623" s="30" t="s">
        <v>223</v>
      </c>
      <c r="J623" s="30" t="s">
        <v>3569</v>
      </c>
      <c r="K623" s="30" t="s">
        <v>1239</v>
      </c>
      <c r="L623" s="30" t="s">
        <v>1238</v>
      </c>
      <c r="M623" s="30" t="s">
        <v>3572</v>
      </c>
      <c r="N623" s="30" t="s">
        <v>145</v>
      </c>
      <c r="O623" s="30" t="s">
        <v>145</v>
      </c>
      <c r="P623" s="30" t="s">
        <v>145</v>
      </c>
      <c r="Q623" s="30" t="s">
        <v>1239</v>
      </c>
    </row>
    <row r="624" hidden="1">
      <c r="A624" s="33" t="s">
        <v>3576</v>
      </c>
      <c r="B624" s="30" t="s">
        <v>139</v>
      </c>
      <c r="C624" s="30" t="s">
        <v>148</v>
      </c>
      <c r="D624" s="30" t="s">
        <v>3577</v>
      </c>
      <c r="E624" s="35">
        <v>42952.0</v>
      </c>
      <c r="F624" s="37" t="s">
        <v>150</v>
      </c>
      <c r="G624" s="30" t="s">
        <v>140</v>
      </c>
      <c r="H624" s="30" t="s">
        <v>1849</v>
      </c>
      <c r="I624" s="30" t="s">
        <v>185</v>
      </c>
      <c r="J624" s="30" t="s">
        <v>146</v>
      </c>
      <c r="K624" s="30" t="s">
        <v>146</v>
      </c>
      <c r="L624" s="30" t="s">
        <v>146</v>
      </c>
      <c r="M624" s="30" t="s">
        <v>152</v>
      </c>
      <c r="N624" s="2" t="s">
        <v>152</v>
      </c>
      <c r="O624" s="30" t="s">
        <v>152</v>
      </c>
      <c r="P624" s="30" t="s">
        <v>152</v>
      </c>
      <c r="Q624" s="30" t="s">
        <v>152</v>
      </c>
    </row>
    <row r="625" hidden="1">
      <c r="A625" s="33" t="s">
        <v>3583</v>
      </c>
      <c r="B625" s="30" t="s">
        <v>139</v>
      </c>
      <c r="C625" s="30" t="s">
        <v>337</v>
      </c>
      <c r="D625" s="30" t="s">
        <v>140</v>
      </c>
      <c r="E625" s="35">
        <v>42951.0</v>
      </c>
      <c r="F625" s="37" t="s">
        <v>154</v>
      </c>
      <c r="G625" s="30" t="s">
        <v>146</v>
      </c>
      <c r="H625" s="30" t="s">
        <v>145</v>
      </c>
      <c r="I625" s="30" t="s">
        <v>145</v>
      </c>
      <c r="J625" s="30" t="s">
        <v>145</v>
      </c>
      <c r="K625" s="30" t="s">
        <v>145</v>
      </c>
      <c r="L625" s="30" t="s">
        <v>145</v>
      </c>
      <c r="M625" s="30" t="s">
        <v>145</v>
      </c>
      <c r="N625" s="30" t="s">
        <v>145</v>
      </c>
      <c r="O625" s="30" t="s">
        <v>145</v>
      </c>
      <c r="P625" s="30" t="s">
        <v>145</v>
      </c>
      <c r="Q625" s="30" t="s">
        <v>146</v>
      </c>
    </row>
    <row r="626" hidden="1">
      <c r="A626" s="33" t="s">
        <v>3590</v>
      </c>
      <c r="B626" s="30" t="s">
        <v>139</v>
      </c>
      <c r="C626" s="30" t="s">
        <v>140</v>
      </c>
      <c r="D626" s="30" t="s">
        <v>140</v>
      </c>
      <c r="E626" s="35">
        <v>42951.0</v>
      </c>
      <c r="F626" s="37" t="s">
        <v>154</v>
      </c>
      <c r="G626" s="30" t="s">
        <v>146</v>
      </c>
      <c r="H626" s="30" t="s">
        <v>145</v>
      </c>
      <c r="I626" s="30" t="s">
        <v>145</v>
      </c>
      <c r="J626" s="30" t="s">
        <v>145</v>
      </c>
      <c r="K626" s="30" t="s">
        <v>145</v>
      </c>
      <c r="L626" s="30" t="s">
        <v>145</v>
      </c>
      <c r="M626" s="30" t="s">
        <v>145</v>
      </c>
      <c r="N626" s="30" t="s">
        <v>145</v>
      </c>
      <c r="O626" s="30" t="s">
        <v>145</v>
      </c>
      <c r="P626" s="30" t="s">
        <v>145</v>
      </c>
      <c r="Q626" s="30" t="s">
        <v>146</v>
      </c>
    </row>
    <row r="627" hidden="1">
      <c r="A627" s="33" t="s">
        <v>3596</v>
      </c>
      <c r="B627" s="30" t="s">
        <v>139</v>
      </c>
      <c r="C627" s="30" t="s">
        <v>155</v>
      </c>
      <c r="D627" s="30" t="s">
        <v>155</v>
      </c>
      <c r="E627" s="35">
        <v>42950.0</v>
      </c>
      <c r="F627" s="37" t="s">
        <v>150</v>
      </c>
      <c r="G627" s="30" t="s">
        <v>521</v>
      </c>
      <c r="H627" s="30" t="s">
        <v>146</v>
      </c>
      <c r="I627" s="30" t="s">
        <v>146</v>
      </c>
      <c r="J627" s="30" t="s">
        <v>146</v>
      </c>
      <c r="K627" s="30" t="s">
        <v>146</v>
      </c>
      <c r="L627" s="30" t="s">
        <v>146</v>
      </c>
      <c r="M627" s="30" t="s">
        <v>3599</v>
      </c>
      <c r="N627" s="30" t="s">
        <v>145</v>
      </c>
      <c r="O627" s="30" t="s">
        <v>145</v>
      </c>
      <c r="P627" s="30" t="s">
        <v>145</v>
      </c>
      <c r="Q627" s="30" t="s">
        <v>158</v>
      </c>
    </row>
    <row r="628" hidden="1">
      <c r="A628" s="33" t="s">
        <v>3601</v>
      </c>
      <c r="B628" s="30" t="s">
        <v>139</v>
      </c>
      <c r="C628" s="30" t="s">
        <v>148</v>
      </c>
      <c r="D628" s="30" t="s">
        <v>726</v>
      </c>
      <c r="E628" s="35">
        <v>42950.0</v>
      </c>
      <c r="F628" s="37" t="s">
        <v>150</v>
      </c>
      <c r="G628" s="30" t="s">
        <v>171</v>
      </c>
      <c r="H628" s="30" t="s">
        <v>145</v>
      </c>
      <c r="I628" s="30" t="s">
        <v>146</v>
      </c>
      <c r="J628" s="30" t="s">
        <v>2361</v>
      </c>
      <c r="K628" s="30" t="s">
        <v>152</v>
      </c>
      <c r="L628" s="30" t="s">
        <v>146</v>
      </c>
      <c r="M628" s="30" t="s">
        <v>407</v>
      </c>
      <c r="N628" s="2" t="s">
        <v>152</v>
      </c>
      <c r="O628" s="30" t="s">
        <v>3605</v>
      </c>
      <c r="P628" s="30" t="s">
        <v>152</v>
      </c>
      <c r="Q628" s="30" t="s">
        <v>152</v>
      </c>
    </row>
    <row r="629" hidden="1">
      <c r="A629" s="33" t="s">
        <v>3609</v>
      </c>
      <c r="B629" s="30" t="s">
        <v>139</v>
      </c>
      <c r="C629" s="30" t="s">
        <v>148</v>
      </c>
      <c r="D629" s="30" t="s">
        <v>283</v>
      </c>
      <c r="E629" s="35">
        <v>42949.0</v>
      </c>
      <c r="F629" s="37" t="s">
        <v>150</v>
      </c>
      <c r="G629" s="30" t="s">
        <v>156</v>
      </c>
      <c r="H629" s="30" t="s">
        <v>152</v>
      </c>
      <c r="I629" s="30" t="s">
        <v>152</v>
      </c>
      <c r="J629" s="30" t="s">
        <v>152</v>
      </c>
      <c r="K629" s="30" t="s">
        <v>2361</v>
      </c>
      <c r="L629" s="30" t="s">
        <v>407</v>
      </c>
      <c r="M629" s="30" t="s">
        <v>3612</v>
      </c>
      <c r="N629" s="30" t="s">
        <v>145</v>
      </c>
      <c r="O629" s="30" t="s">
        <v>145</v>
      </c>
      <c r="P629" s="30" t="s">
        <v>145</v>
      </c>
      <c r="Q629" s="30" t="s">
        <v>152</v>
      </c>
    </row>
    <row r="630" hidden="1">
      <c r="A630" s="33" t="s">
        <v>3614</v>
      </c>
      <c r="B630" s="30" t="s">
        <v>139</v>
      </c>
      <c r="C630" s="30" t="s">
        <v>140</v>
      </c>
      <c r="D630" s="30" t="s">
        <v>140</v>
      </c>
      <c r="E630" s="35">
        <v>42949.0</v>
      </c>
      <c r="F630" s="37" t="s">
        <v>154</v>
      </c>
      <c r="G630" s="30" t="s">
        <v>3247</v>
      </c>
      <c r="H630" s="30" t="s">
        <v>145</v>
      </c>
      <c r="I630" s="30" t="s">
        <v>145</v>
      </c>
      <c r="J630" s="30" t="s">
        <v>145</v>
      </c>
      <c r="K630" s="30" t="s">
        <v>145</v>
      </c>
      <c r="L630" s="30" t="s">
        <v>145</v>
      </c>
      <c r="M630" s="30" t="s">
        <v>145</v>
      </c>
      <c r="N630" s="30" t="s">
        <v>145</v>
      </c>
      <c r="O630" s="30" t="s">
        <v>145</v>
      </c>
      <c r="P630" s="30" t="s">
        <v>145</v>
      </c>
      <c r="Q630" s="30" t="s">
        <v>146</v>
      </c>
    </row>
    <row r="631" hidden="1">
      <c r="A631" s="33" t="str">
        <f>hyperlink("https://issues.sierrawireless.com/browse/OEMPRI-4321", "OEMPRI-4321")</f>
        <v>OEMPRI-4321</v>
      </c>
      <c r="B631" s="30" t="s">
        <v>139</v>
      </c>
      <c r="C631" s="30" t="s">
        <v>153</v>
      </c>
      <c r="D631" s="30" t="s">
        <v>140</v>
      </c>
      <c r="E631" s="35">
        <v>42949.0</v>
      </c>
      <c r="F631" s="37" t="s">
        <v>154</v>
      </c>
      <c r="G631" s="30" t="s">
        <v>223</v>
      </c>
      <c r="H631" s="30" t="s">
        <v>145</v>
      </c>
      <c r="I631" s="30" t="s">
        <v>145</v>
      </c>
      <c r="J631" s="30" t="s">
        <v>145</v>
      </c>
      <c r="K631" s="30" t="s">
        <v>145</v>
      </c>
      <c r="L631" s="30" t="s">
        <v>145</v>
      </c>
      <c r="M631" s="30" t="s">
        <v>145</v>
      </c>
      <c r="N631" s="30" t="s">
        <v>145</v>
      </c>
      <c r="O631" s="30" t="s">
        <v>145</v>
      </c>
      <c r="P631" s="30" t="s">
        <v>145</v>
      </c>
      <c r="Q631" s="30" t="s">
        <v>223</v>
      </c>
    </row>
    <row r="632" hidden="1">
      <c r="A632" s="33" t="s">
        <v>3629</v>
      </c>
      <c r="B632" s="30" t="s">
        <v>139</v>
      </c>
      <c r="C632" s="30" t="s">
        <v>140</v>
      </c>
      <c r="D632" s="30" t="s">
        <v>153</v>
      </c>
      <c r="E632" s="35">
        <v>42948.0</v>
      </c>
      <c r="F632" s="37" t="s">
        <v>154</v>
      </c>
      <c r="G632" s="30" t="s">
        <v>146</v>
      </c>
      <c r="H632" s="30" t="s">
        <v>145</v>
      </c>
      <c r="I632" s="30" t="s">
        <v>145</v>
      </c>
      <c r="J632" s="30" t="s">
        <v>145</v>
      </c>
      <c r="K632" s="30" t="s">
        <v>145</v>
      </c>
      <c r="L632" s="30" t="s">
        <v>145</v>
      </c>
      <c r="M632" s="30" t="s">
        <v>145</v>
      </c>
      <c r="N632" s="30" t="s">
        <v>145</v>
      </c>
      <c r="O632" s="30" t="s">
        <v>145</v>
      </c>
      <c r="P632" s="30" t="s">
        <v>145</v>
      </c>
      <c r="Q632" s="30" t="s">
        <v>146</v>
      </c>
    </row>
    <row r="633" hidden="1">
      <c r="A633" s="33" t="s">
        <v>3635</v>
      </c>
      <c r="B633" s="30" t="s">
        <v>139</v>
      </c>
      <c r="C633" s="30" t="s">
        <v>140</v>
      </c>
      <c r="D633" s="30" t="s">
        <v>337</v>
      </c>
      <c r="E633" s="35">
        <v>42948.0</v>
      </c>
      <c r="F633" s="37" t="s">
        <v>143</v>
      </c>
      <c r="G633" s="30" t="s">
        <v>1536</v>
      </c>
      <c r="H633" s="30" t="s">
        <v>145</v>
      </c>
      <c r="I633" s="30" t="s">
        <v>145</v>
      </c>
      <c r="J633" s="30" t="s">
        <v>145</v>
      </c>
      <c r="K633" s="30" t="s">
        <v>145</v>
      </c>
      <c r="L633" s="30" t="s">
        <v>145</v>
      </c>
      <c r="M633" s="30" t="s">
        <v>145</v>
      </c>
      <c r="N633" s="30" t="s">
        <v>145</v>
      </c>
      <c r="O633" s="30" t="s">
        <v>145</v>
      </c>
      <c r="P633" s="30" t="s">
        <v>145</v>
      </c>
      <c r="Q633" s="30" t="s">
        <v>146</v>
      </c>
    </row>
    <row r="634" hidden="1">
      <c r="A634" s="33" t="s">
        <v>3641</v>
      </c>
      <c r="B634" s="30" t="s">
        <v>139</v>
      </c>
      <c r="C634" s="30" t="s">
        <v>140</v>
      </c>
      <c r="D634" s="30" t="s">
        <v>140</v>
      </c>
      <c r="E634" s="35">
        <v>42947.0</v>
      </c>
      <c r="F634" s="37" t="s">
        <v>269</v>
      </c>
      <c r="G634" s="30" t="s">
        <v>626</v>
      </c>
      <c r="H634" s="30" t="s">
        <v>145</v>
      </c>
      <c r="I634" s="30" t="s">
        <v>145</v>
      </c>
      <c r="J634" s="30" t="s">
        <v>145</v>
      </c>
      <c r="K634" s="30" t="s">
        <v>145</v>
      </c>
      <c r="L634" s="30" t="s">
        <v>145</v>
      </c>
      <c r="M634" s="30" t="s">
        <v>145</v>
      </c>
      <c r="N634" s="30" t="s">
        <v>145</v>
      </c>
      <c r="O634" s="30" t="s">
        <v>145</v>
      </c>
      <c r="P634" s="30" t="s">
        <v>145</v>
      </c>
      <c r="Q634" s="30" t="s">
        <v>146</v>
      </c>
    </row>
    <row r="635" hidden="1">
      <c r="A635" s="33" t="s">
        <v>3645</v>
      </c>
      <c r="B635" s="30" t="s">
        <v>139</v>
      </c>
      <c r="C635" s="30" t="s">
        <v>337</v>
      </c>
      <c r="D635" s="30" t="s">
        <v>337</v>
      </c>
      <c r="E635" s="35">
        <v>42947.0</v>
      </c>
      <c r="F635" s="37" t="s">
        <v>150</v>
      </c>
      <c r="G635" s="30" t="s">
        <v>213</v>
      </c>
      <c r="H635" s="30" t="s">
        <v>152</v>
      </c>
      <c r="I635" s="30" t="s">
        <v>152</v>
      </c>
      <c r="J635" s="30" t="s">
        <v>228</v>
      </c>
      <c r="K635" s="30" t="s">
        <v>407</v>
      </c>
      <c r="L635" s="30" t="s">
        <v>407</v>
      </c>
      <c r="M635" s="30" t="s">
        <v>3648</v>
      </c>
      <c r="N635" s="30" t="s">
        <v>145</v>
      </c>
      <c r="O635" s="30" t="s">
        <v>145</v>
      </c>
      <c r="P635" s="30" t="s">
        <v>145</v>
      </c>
      <c r="Q635" s="30" t="s">
        <v>404</v>
      </c>
    </row>
    <row r="636" hidden="1">
      <c r="A636" s="33" t="s">
        <v>3653</v>
      </c>
      <c r="B636" s="30" t="s">
        <v>139</v>
      </c>
      <c r="C636" s="30" t="s">
        <v>337</v>
      </c>
      <c r="D636" s="30" t="s">
        <v>337</v>
      </c>
      <c r="E636" s="35">
        <v>42947.0</v>
      </c>
      <c r="F636" s="37" t="s">
        <v>150</v>
      </c>
      <c r="G636" s="30" t="s">
        <v>213</v>
      </c>
      <c r="H636" s="30" t="s">
        <v>152</v>
      </c>
      <c r="I636" s="30" t="s">
        <v>152</v>
      </c>
      <c r="J636" s="30" t="s">
        <v>228</v>
      </c>
      <c r="K636" s="30" t="s">
        <v>146</v>
      </c>
      <c r="L636" s="30" t="s">
        <v>146</v>
      </c>
      <c r="M636" s="30" t="s">
        <v>1358</v>
      </c>
      <c r="N636" s="30" t="s">
        <v>145</v>
      </c>
      <c r="O636" s="30" t="s">
        <v>145</v>
      </c>
      <c r="P636" s="30" t="s">
        <v>145</v>
      </c>
      <c r="Q636" s="30" t="s">
        <v>404</v>
      </c>
    </row>
    <row r="637" hidden="1">
      <c r="A637" s="33" t="s">
        <v>3657</v>
      </c>
      <c r="B637" s="30" t="s">
        <v>139</v>
      </c>
      <c r="C637" s="30" t="s">
        <v>337</v>
      </c>
      <c r="D637" s="30" t="s">
        <v>337</v>
      </c>
      <c r="E637" s="35">
        <v>42947.0</v>
      </c>
      <c r="F637" s="37" t="s">
        <v>150</v>
      </c>
      <c r="G637" s="30" t="s">
        <v>163</v>
      </c>
      <c r="H637" s="30" t="s">
        <v>146</v>
      </c>
      <c r="I637" s="30" t="s">
        <v>146</v>
      </c>
      <c r="J637" s="30" t="s">
        <v>228</v>
      </c>
      <c r="K637" s="30" t="s">
        <v>146</v>
      </c>
      <c r="L637" s="30" t="s">
        <v>146</v>
      </c>
      <c r="M637" s="30" t="s">
        <v>1358</v>
      </c>
      <c r="N637" s="30" t="s">
        <v>145</v>
      </c>
      <c r="O637" s="30" t="s">
        <v>145</v>
      </c>
      <c r="P637" s="30" t="s">
        <v>145</v>
      </c>
      <c r="Q637" s="30" t="s">
        <v>404</v>
      </c>
    </row>
    <row r="638" hidden="1">
      <c r="A638" s="33" t="s">
        <v>3662</v>
      </c>
      <c r="B638" s="30" t="s">
        <v>139</v>
      </c>
      <c r="C638" s="30" t="s">
        <v>337</v>
      </c>
      <c r="D638" s="30" t="s">
        <v>337</v>
      </c>
      <c r="E638" s="35">
        <v>42947.0</v>
      </c>
      <c r="F638" s="37" t="s">
        <v>150</v>
      </c>
      <c r="G638" s="30" t="s">
        <v>358</v>
      </c>
      <c r="H638" s="30" t="s">
        <v>223</v>
      </c>
      <c r="I638" s="30" t="s">
        <v>223</v>
      </c>
      <c r="J638" s="30" t="s">
        <v>1737</v>
      </c>
      <c r="K638" s="30" t="s">
        <v>407</v>
      </c>
      <c r="L638" s="30" t="s">
        <v>407</v>
      </c>
      <c r="M638" s="30" t="s">
        <v>3666</v>
      </c>
      <c r="N638" s="30" t="s">
        <v>145</v>
      </c>
      <c r="O638" s="30" t="s">
        <v>145</v>
      </c>
      <c r="P638" s="30" t="s">
        <v>145</v>
      </c>
      <c r="Q638" s="30" t="s">
        <v>404</v>
      </c>
    </row>
    <row r="639" hidden="1">
      <c r="A639" s="33" t="s">
        <v>3667</v>
      </c>
      <c r="B639" s="30" t="s">
        <v>139</v>
      </c>
      <c r="C639" s="30" t="s">
        <v>337</v>
      </c>
      <c r="D639" s="30" t="s">
        <v>337</v>
      </c>
      <c r="E639" s="35">
        <v>42947.0</v>
      </c>
      <c r="F639" s="37" t="s">
        <v>150</v>
      </c>
      <c r="G639" s="30" t="s">
        <v>153</v>
      </c>
      <c r="H639" s="30" t="s">
        <v>223</v>
      </c>
      <c r="I639" s="30" t="s">
        <v>223</v>
      </c>
      <c r="J639" s="30" t="s">
        <v>358</v>
      </c>
      <c r="K639" s="30" t="s">
        <v>223</v>
      </c>
      <c r="L639" s="30" t="s">
        <v>222</v>
      </c>
      <c r="M639" s="30" t="s">
        <v>3670</v>
      </c>
      <c r="N639" s="30" t="s">
        <v>145</v>
      </c>
      <c r="O639" s="30" t="s">
        <v>145</v>
      </c>
      <c r="P639" s="30" t="s">
        <v>145</v>
      </c>
      <c r="Q639" s="30" t="s">
        <v>404</v>
      </c>
    </row>
    <row r="640" hidden="1">
      <c r="A640" s="33" t="s">
        <v>3673</v>
      </c>
      <c r="B640" s="30" t="s">
        <v>139</v>
      </c>
      <c r="C640" s="30" t="s">
        <v>148</v>
      </c>
      <c r="D640" s="30" t="s">
        <v>1400</v>
      </c>
      <c r="E640" s="35">
        <v>42943.0</v>
      </c>
      <c r="F640" s="37" t="s">
        <v>184</v>
      </c>
      <c r="G640" s="30" t="s">
        <v>1831</v>
      </c>
      <c r="H640" s="30" t="s">
        <v>146</v>
      </c>
      <c r="I640" s="30" t="s">
        <v>1773</v>
      </c>
      <c r="J640" s="30" t="s">
        <v>556</v>
      </c>
      <c r="K640" s="30" t="s">
        <v>152</v>
      </c>
      <c r="L640" s="2" t="s">
        <v>151</v>
      </c>
      <c r="M640" s="30" t="s">
        <v>145</v>
      </c>
      <c r="N640" s="30" t="s">
        <v>213</v>
      </c>
      <c r="O640" s="30" t="s">
        <v>151</v>
      </c>
      <c r="P640" s="30" t="s">
        <v>145</v>
      </c>
      <c r="Q640" s="30" t="s">
        <v>152</v>
      </c>
    </row>
    <row r="641" hidden="1">
      <c r="A641" s="33" t="str">
        <f>hyperlink("https://issues.sierrawireless.com/browse/OEMPRI-4280", "OEMPRI-4280")</f>
        <v>OEMPRI-4280</v>
      </c>
      <c r="B641" s="30" t="s">
        <v>139</v>
      </c>
      <c r="C641" s="30" t="s">
        <v>140</v>
      </c>
      <c r="D641" s="30" t="s">
        <v>283</v>
      </c>
      <c r="E641" s="35">
        <v>42943.0</v>
      </c>
      <c r="F641" s="37" t="s">
        <v>154</v>
      </c>
      <c r="G641" s="30" t="s">
        <v>146</v>
      </c>
      <c r="H641" s="30" t="s">
        <v>145</v>
      </c>
      <c r="I641" s="30" t="s">
        <v>145</v>
      </c>
      <c r="J641" s="30" t="s">
        <v>145</v>
      </c>
      <c r="K641" s="30" t="s">
        <v>145</v>
      </c>
      <c r="L641" s="30" t="s">
        <v>145</v>
      </c>
      <c r="M641" s="30" t="s">
        <v>145</v>
      </c>
      <c r="N641" s="30" t="s">
        <v>145</v>
      </c>
      <c r="O641" s="30" t="s">
        <v>145</v>
      </c>
      <c r="P641" s="30" t="s">
        <v>145</v>
      </c>
      <c r="Q641" s="30" t="s">
        <v>146</v>
      </c>
    </row>
    <row r="642" hidden="1">
      <c r="A642" s="33" t="str">
        <f>hyperlink("https://issues.sierrawireless.com/browse/OEMPRI-4279", "OEMPRI-4279")</f>
        <v>OEMPRI-4279</v>
      </c>
      <c r="B642" s="30" t="s">
        <v>139</v>
      </c>
      <c r="C642" s="30" t="s">
        <v>153</v>
      </c>
      <c r="D642" s="30" t="s">
        <v>140</v>
      </c>
      <c r="E642" s="35">
        <v>42943.0</v>
      </c>
      <c r="F642" s="37" t="s">
        <v>154</v>
      </c>
      <c r="G642" s="30" t="s">
        <v>223</v>
      </c>
      <c r="H642" s="30" t="s">
        <v>145</v>
      </c>
      <c r="I642" s="30" t="s">
        <v>145</v>
      </c>
      <c r="J642" s="30" t="s">
        <v>145</v>
      </c>
      <c r="K642" s="30" t="s">
        <v>145</v>
      </c>
      <c r="L642" s="30" t="s">
        <v>145</v>
      </c>
      <c r="M642" s="30" t="s">
        <v>145</v>
      </c>
      <c r="N642" s="30" t="s">
        <v>145</v>
      </c>
      <c r="O642" s="30" t="s">
        <v>145</v>
      </c>
      <c r="P642" s="30" t="s">
        <v>145</v>
      </c>
      <c r="Q642" s="30" t="s">
        <v>223</v>
      </c>
    </row>
    <row r="643" hidden="1">
      <c r="A643" s="33" t="str">
        <f>hyperlink("https://issues.sierrawireless.com/browse/OEMPRI-4278", "OEMPRI-4278")</f>
        <v>OEMPRI-4278</v>
      </c>
      <c r="B643" s="30" t="s">
        <v>139</v>
      </c>
      <c r="C643" s="30" t="s">
        <v>140</v>
      </c>
      <c r="D643" s="30" t="s">
        <v>140</v>
      </c>
      <c r="E643" s="35">
        <v>42943.0</v>
      </c>
      <c r="F643" s="37" t="s">
        <v>154</v>
      </c>
      <c r="G643" s="30" t="s">
        <v>146</v>
      </c>
      <c r="H643" s="30" t="s">
        <v>145</v>
      </c>
      <c r="I643" s="30" t="s">
        <v>145</v>
      </c>
      <c r="J643" s="30" t="s">
        <v>145</v>
      </c>
      <c r="K643" s="30" t="s">
        <v>145</v>
      </c>
      <c r="L643" s="30" t="s">
        <v>145</v>
      </c>
      <c r="M643" s="30" t="s">
        <v>145</v>
      </c>
      <c r="N643" s="30" t="s">
        <v>145</v>
      </c>
      <c r="O643" s="30" t="s">
        <v>145</v>
      </c>
      <c r="P643" s="30" t="s">
        <v>145</v>
      </c>
      <c r="Q643" s="30" t="s">
        <v>146</v>
      </c>
    </row>
    <row r="644" hidden="1">
      <c r="A644" s="33" t="str">
        <f>hyperlink("https://issues.sierrawireless.com/browse/OEMPRI-4284", "OEMPRI-4284")</f>
        <v>OEMPRI-4284</v>
      </c>
      <c r="B644" s="30" t="s">
        <v>139</v>
      </c>
      <c r="C644" s="30" t="s">
        <v>140</v>
      </c>
      <c r="D644" s="30" t="s">
        <v>283</v>
      </c>
      <c r="E644" s="35">
        <v>42943.0</v>
      </c>
      <c r="F644" s="37" t="s">
        <v>154</v>
      </c>
      <c r="G644" s="30" t="s">
        <v>146</v>
      </c>
      <c r="H644" s="30" t="s">
        <v>145</v>
      </c>
      <c r="I644" s="30" t="s">
        <v>145</v>
      </c>
      <c r="J644" s="30" t="s">
        <v>145</v>
      </c>
      <c r="K644" s="30" t="s">
        <v>145</v>
      </c>
      <c r="L644" s="30" t="s">
        <v>145</v>
      </c>
      <c r="M644" s="30" t="s">
        <v>145</v>
      </c>
      <c r="N644" s="30" t="s">
        <v>145</v>
      </c>
      <c r="O644" s="30" t="s">
        <v>145</v>
      </c>
      <c r="P644" s="30" t="s">
        <v>145</v>
      </c>
      <c r="Q644" s="30" t="s">
        <v>146</v>
      </c>
    </row>
    <row r="645" hidden="1">
      <c r="A645" s="33" t="str">
        <f>hyperlink("https://issues.sierrawireless.com/browse/OEMPRI-4281", "OEMPRI-4281")</f>
        <v>OEMPRI-4281</v>
      </c>
      <c r="B645" s="30" t="s">
        <v>139</v>
      </c>
      <c r="C645" s="30" t="s">
        <v>140</v>
      </c>
      <c r="D645" s="30" t="s">
        <v>283</v>
      </c>
      <c r="E645" s="35">
        <v>42943.0</v>
      </c>
      <c r="F645" s="37" t="s">
        <v>154</v>
      </c>
      <c r="G645" s="30" t="s">
        <v>146</v>
      </c>
      <c r="H645" s="30" t="s">
        <v>145</v>
      </c>
      <c r="I645" s="30" t="s">
        <v>145</v>
      </c>
      <c r="J645" s="30" t="s">
        <v>145</v>
      </c>
      <c r="K645" s="30" t="s">
        <v>145</v>
      </c>
      <c r="L645" s="30" t="s">
        <v>145</v>
      </c>
      <c r="M645" s="30" t="s">
        <v>145</v>
      </c>
      <c r="N645" s="30" t="s">
        <v>145</v>
      </c>
      <c r="O645" s="30" t="s">
        <v>145</v>
      </c>
      <c r="P645" s="30" t="s">
        <v>145</v>
      </c>
      <c r="Q645" s="30" t="s">
        <v>146</v>
      </c>
    </row>
    <row r="646" hidden="1">
      <c r="A646" s="33" t="str">
        <f>hyperlink("https://issues.sierrawireless.com/browse/OEMPRI-4283", "OEMPRI-4283")</f>
        <v>OEMPRI-4283</v>
      </c>
      <c r="B646" s="30" t="s">
        <v>139</v>
      </c>
      <c r="C646" s="30" t="s">
        <v>140</v>
      </c>
      <c r="D646" s="30" t="s">
        <v>283</v>
      </c>
      <c r="E646" s="35">
        <v>42943.0</v>
      </c>
      <c r="F646" s="37" t="s">
        <v>154</v>
      </c>
      <c r="G646" s="30" t="s">
        <v>146</v>
      </c>
      <c r="H646" s="30" t="s">
        <v>145</v>
      </c>
      <c r="I646" s="30" t="s">
        <v>145</v>
      </c>
      <c r="J646" s="30" t="s">
        <v>145</v>
      </c>
      <c r="K646" s="30" t="s">
        <v>145</v>
      </c>
      <c r="L646" s="30" t="s">
        <v>145</v>
      </c>
      <c r="M646" s="30" t="s">
        <v>145</v>
      </c>
      <c r="N646" s="30" t="s">
        <v>145</v>
      </c>
      <c r="O646" s="30" t="s">
        <v>145</v>
      </c>
      <c r="P646" s="30" t="s">
        <v>145</v>
      </c>
      <c r="Q646" s="30" t="s">
        <v>146</v>
      </c>
    </row>
    <row r="647" hidden="1">
      <c r="A647" s="33" t="s">
        <v>3712</v>
      </c>
      <c r="B647" s="30" t="s">
        <v>139</v>
      </c>
      <c r="C647" s="30" t="s">
        <v>148</v>
      </c>
      <c r="D647" s="30" t="s">
        <v>216</v>
      </c>
      <c r="E647" s="35">
        <v>42942.0</v>
      </c>
      <c r="F647" s="37" t="s">
        <v>184</v>
      </c>
      <c r="G647" s="30" t="s">
        <v>1000</v>
      </c>
      <c r="H647" s="30" t="s">
        <v>146</v>
      </c>
      <c r="I647" s="30" t="s">
        <v>146</v>
      </c>
      <c r="J647" s="30" t="s">
        <v>146</v>
      </c>
      <c r="K647" s="30" t="s">
        <v>1307</v>
      </c>
      <c r="L647" s="2" t="s">
        <v>152</v>
      </c>
      <c r="M647" s="30" t="s">
        <v>145</v>
      </c>
      <c r="N647" s="30" t="s">
        <v>145</v>
      </c>
      <c r="O647" s="30" t="s">
        <v>145</v>
      </c>
      <c r="P647" s="30" t="s">
        <v>145</v>
      </c>
      <c r="Q647" s="30" t="s">
        <v>152</v>
      </c>
    </row>
    <row r="648" hidden="1">
      <c r="A648" s="33" t="s">
        <v>3718</v>
      </c>
      <c r="B648" s="30" t="s">
        <v>139</v>
      </c>
      <c r="C648" s="30" t="s">
        <v>283</v>
      </c>
      <c r="D648" s="30" t="s">
        <v>3722</v>
      </c>
      <c r="E648" s="35">
        <v>42942.0</v>
      </c>
      <c r="F648" s="37" t="s">
        <v>184</v>
      </c>
      <c r="G648" s="30" t="s">
        <v>3723</v>
      </c>
      <c r="H648" s="30" t="s">
        <v>145</v>
      </c>
      <c r="I648" s="30" t="s">
        <v>145</v>
      </c>
      <c r="J648" s="30" t="s">
        <v>145</v>
      </c>
      <c r="K648" s="30" t="s">
        <v>145</v>
      </c>
      <c r="L648" s="30" t="s">
        <v>145</v>
      </c>
      <c r="M648" s="30" t="s">
        <v>145</v>
      </c>
      <c r="N648" s="30" t="s">
        <v>145</v>
      </c>
      <c r="O648" s="30" t="s">
        <v>145</v>
      </c>
      <c r="P648" s="30" t="s">
        <v>145</v>
      </c>
      <c r="Q648" s="30" t="s">
        <v>3723</v>
      </c>
    </row>
    <row r="649" hidden="1">
      <c r="A649" s="33" t="s">
        <v>3726</v>
      </c>
      <c r="B649" s="30" t="s">
        <v>139</v>
      </c>
      <c r="C649" s="30" t="s">
        <v>283</v>
      </c>
      <c r="D649" s="30" t="s">
        <v>283</v>
      </c>
      <c r="E649" s="35">
        <v>42942.0</v>
      </c>
      <c r="F649" s="37" t="s">
        <v>150</v>
      </c>
      <c r="G649" s="30" t="s">
        <v>618</v>
      </c>
      <c r="H649" s="30" t="s">
        <v>145</v>
      </c>
      <c r="I649" s="30" t="s">
        <v>145</v>
      </c>
      <c r="J649" s="30" t="s">
        <v>145</v>
      </c>
      <c r="K649" s="30" t="s">
        <v>145</v>
      </c>
      <c r="L649" s="30" t="s">
        <v>145</v>
      </c>
      <c r="M649" s="30" t="s">
        <v>145</v>
      </c>
      <c r="N649" s="30" t="s">
        <v>145</v>
      </c>
      <c r="O649" s="30" t="s">
        <v>145</v>
      </c>
      <c r="P649" s="30" t="s">
        <v>145</v>
      </c>
      <c r="Q649" s="30" t="s">
        <v>1898</v>
      </c>
    </row>
    <row r="650" hidden="1">
      <c r="A650" s="33" t="s">
        <v>3732</v>
      </c>
      <c r="B650" s="30" t="s">
        <v>139</v>
      </c>
      <c r="C650" s="30" t="s">
        <v>140</v>
      </c>
      <c r="D650" s="30" t="s">
        <v>283</v>
      </c>
      <c r="E650" s="35">
        <v>42940.0</v>
      </c>
      <c r="F650" s="37" t="s">
        <v>452</v>
      </c>
      <c r="G650" s="30" t="s">
        <v>140</v>
      </c>
      <c r="H650" s="30" t="s">
        <v>145</v>
      </c>
      <c r="I650" s="30" t="s">
        <v>146</v>
      </c>
      <c r="J650" s="30" t="s">
        <v>146</v>
      </c>
      <c r="K650" s="30" t="s">
        <v>146</v>
      </c>
      <c r="L650" s="30" t="s">
        <v>146</v>
      </c>
      <c r="M650" s="30" t="s">
        <v>145</v>
      </c>
      <c r="N650" s="30" t="s">
        <v>145</v>
      </c>
      <c r="O650" s="30" t="s">
        <v>145</v>
      </c>
      <c r="P650" s="30" t="s">
        <v>145</v>
      </c>
      <c r="Q650" s="30" t="s">
        <v>146</v>
      </c>
    </row>
    <row r="651" hidden="1">
      <c r="A651" s="33" t="s">
        <v>3739</v>
      </c>
      <c r="B651" s="30" t="s">
        <v>139</v>
      </c>
      <c r="C651" s="30" t="s">
        <v>141</v>
      </c>
      <c r="D651" s="30" t="s">
        <v>244</v>
      </c>
      <c r="E651" s="35">
        <v>42940.0</v>
      </c>
      <c r="F651" s="37" t="s">
        <v>154</v>
      </c>
      <c r="G651" s="30" t="s">
        <v>180</v>
      </c>
      <c r="H651" s="30" t="s">
        <v>145</v>
      </c>
      <c r="I651" s="30" t="s">
        <v>145</v>
      </c>
      <c r="J651" s="30" t="s">
        <v>145</v>
      </c>
      <c r="K651" s="30" t="s">
        <v>145</v>
      </c>
      <c r="L651" s="30" t="s">
        <v>145</v>
      </c>
      <c r="M651" s="30" t="s">
        <v>145</v>
      </c>
      <c r="N651" s="30" t="s">
        <v>145</v>
      </c>
      <c r="O651" s="30" t="s">
        <v>145</v>
      </c>
      <c r="P651" s="30" t="s">
        <v>145</v>
      </c>
      <c r="Q651" s="30" t="s">
        <v>180</v>
      </c>
    </row>
    <row r="652" hidden="1">
      <c r="A652" s="33" t="s">
        <v>3745</v>
      </c>
      <c r="B652" s="30" t="s">
        <v>139</v>
      </c>
      <c r="C652" s="30" t="s">
        <v>141</v>
      </c>
      <c r="D652" s="30" t="s">
        <v>244</v>
      </c>
      <c r="E652" s="35">
        <v>42940.0</v>
      </c>
      <c r="F652" s="37" t="s">
        <v>154</v>
      </c>
      <c r="G652" s="30" t="s">
        <v>180</v>
      </c>
      <c r="H652" s="30" t="s">
        <v>145</v>
      </c>
      <c r="I652" s="30" t="s">
        <v>145</v>
      </c>
      <c r="J652" s="30" t="s">
        <v>145</v>
      </c>
      <c r="K652" s="30" t="s">
        <v>145</v>
      </c>
      <c r="L652" s="30" t="s">
        <v>145</v>
      </c>
      <c r="M652" s="30" t="s">
        <v>145</v>
      </c>
      <c r="N652" s="30" t="s">
        <v>145</v>
      </c>
      <c r="O652" s="30" t="s">
        <v>145</v>
      </c>
      <c r="P652" s="30" t="s">
        <v>145</v>
      </c>
      <c r="Q652" s="30" t="s">
        <v>180</v>
      </c>
    </row>
    <row r="653" hidden="1">
      <c r="A653" s="33" t="s">
        <v>3752</v>
      </c>
      <c r="B653" s="30" t="s">
        <v>139</v>
      </c>
      <c r="C653" s="30" t="s">
        <v>453</v>
      </c>
      <c r="D653" s="30" t="s">
        <v>244</v>
      </c>
      <c r="E653" s="35">
        <v>42940.0</v>
      </c>
      <c r="F653" s="37" t="s">
        <v>154</v>
      </c>
      <c r="G653" s="30" t="s">
        <v>457</v>
      </c>
      <c r="H653" s="30" t="s">
        <v>145</v>
      </c>
      <c r="I653" s="30" t="s">
        <v>145</v>
      </c>
      <c r="J653" s="30" t="s">
        <v>145</v>
      </c>
      <c r="K653" s="30" t="s">
        <v>145</v>
      </c>
      <c r="L653" s="30" t="s">
        <v>145</v>
      </c>
      <c r="M653" s="30" t="s">
        <v>145</v>
      </c>
      <c r="N653" s="30" t="s">
        <v>145</v>
      </c>
      <c r="O653" s="30" t="s">
        <v>145</v>
      </c>
      <c r="P653" s="30" t="s">
        <v>145</v>
      </c>
      <c r="Q653" s="30" t="s">
        <v>457</v>
      </c>
    </row>
    <row r="654" hidden="1">
      <c r="A654" s="33" t="s">
        <v>3757</v>
      </c>
      <c r="B654" s="30" t="s">
        <v>139</v>
      </c>
      <c r="C654" s="30" t="s">
        <v>283</v>
      </c>
      <c r="D654" s="30" t="s">
        <v>244</v>
      </c>
      <c r="E654" s="35">
        <v>42940.0</v>
      </c>
      <c r="F654" s="37" t="s">
        <v>150</v>
      </c>
      <c r="G654" s="30" t="s">
        <v>1737</v>
      </c>
      <c r="H654" s="30" t="s">
        <v>407</v>
      </c>
      <c r="I654" s="30" t="s">
        <v>407</v>
      </c>
      <c r="J654" s="30" t="s">
        <v>189</v>
      </c>
      <c r="K654" s="30" t="s">
        <v>146</v>
      </c>
      <c r="L654" s="30" t="s">
        <v>146</v>
      </c>
      <c r="M654" s="30" t="s">
        <v>1052</v>
      </c>
      <c r="N654" s="30" t="s">
        <v>3761</v>
      </c>
      <c r="O654" s="30" t="s">
        <v>145</v>
      </c>
      <c r="P654" s="30" t="s">
        <v>145</v>
      </c>
      <c r="Q654" s="30" t="s">
        <v>407</v>
      </c>
    </row>
    <row r="655" hidden="1">
      <c r="A655" s="33" t="s">
        <v>3764</v>
      </c>
      <c r="B655" s="30" t="s">
        <v>139</v>
      </c>
      <c r="C655" s="30" t="s">
        <v>141</v>
      </c>
      <c r="D655" s="30" t="s">
        <v>244</v>
      </c>
      <c r="E655" s="35">
        <v>42940.0</v>
      </c>
      <c r="F655" s="37" t="s">
        <v>154</v>
      </c>
      <c r="G655" s="30" t="s">
        <v>180</v>
      </c>
      <c r="H655" s="30" t="s">
        <v>145</v>
      </c>
      <c r="I655" s="30" t="s">
        <v>145</v>
      </c>
      <c r="J655" s="30" t="s">
        <v>145</v>
      </c>
      <c r="K655" s="30" t="s">
        <v>145</v>
      </c>
      <c r="L655" s="30" t="s">
        <v>145</v>
      </c>
      <c r="M655" s="30" t="s">
        <v>145</v>
      </c>
      <c r="N655" s="30" t="s">
        <v>145</v>
      </c>
      <c r="O655" s="30" t="s">
        <v>145</v>
      </c>
      <c r="P655" s="30" t="s">
        <v>145</v>
      </c>
      <c r="Q655" s="30" t="s">
        <v>180</v>
      </c>
    </row>
    <row r="656" hidden="1">
      <c r="A656" s="33" t="s">
        <v>3768</v>
      </c>
      <c r="B656" s="30" t="s">
        <v>139</v>
      </c>
      <c r="C656" s="30" t="s">
        <v>141</v>
      </c>
      <c r="D656" s="30" t="s">
        <v>244</v>
      </c>
      <c r="E656" s="35">
        <v>42940.0</v>
      </c>
      <c r="F656" s="37" t="s">
        <v>154</v>
      </c>
      <c r="G656" s="30" t="s">
        <v>180</v>
      </c>
      <c r="H656" s="30" t="s">
        <v>145</v>
      </c>
      <c r="I656" s="30" t="s">
        <v>145</v>
      </c>
      <c r="J656" s="30" t="s">
        <v>145</v>
      </c>
      <c r="K656" s="30" t="s">
        <v>145</v>
      </c>
      <c r="L656" s="30" t="s">
        <v>145</v>
      </c>
      <c r="M656" s="30" t="s">
        <v>145</v>
      </c>
      <c r="N656" s="30" t="s">
        <v>145</v>
      </c>
      <c r="O656" s="30" t="s">
        <v>145</v>
      </c>
      <c r="P656" s="30" t="s">
        <v>145</v>
      </c>
      <c r="Q656" s="30" t="s">
        <v>180</v>
      </c>
    </row>
    <row r="657" hidden="1">
      <c r="A657" s="33" t="s">
        <v>3774</v>
      </c>
      <c r="B657" s="30" t="s">
        <v>139</v>
      </c>
      <c r="C657" s="30" t="s">
        <v>453</v>
      </c>
      <c r="D657" s="30" t="s">
        <v>244</v>
      </c>
      <c r="E657" s="35">
        <v>42940.0</v>
      </c>
      <c r="F657" s="37" t="s">
        <v>154</v>
      </c>
      <c r="G657" s="30" t="s">
        <v>457</v>
      </c>
      <c r="H657" s="30" t="s">
        <v>145</v>
      </c>
      <c r="I657" s="30" t="s">
        <v>145</v>
      </c>
      <c r="J657" s="30" t="s">
        <v>145</v>
      </c>
      <c r="K657" s="30" t="s">
        <v>145</v>
      </c>
      <c r="L657" s="30" t="s">
        <v>145</v>
      </c>
      <c r="M657" s="30" t="s">
        <v>145</v>
      </c>
      <c r="N657" s="30" t="s">
        <v>145</v>
      </c>
      <c r="O657" s="30" t="s">
        <v>145</v>
      </c>
      <c r="P657" s="30" t="s">
        <v>145</v>
      </c>
      <c r="Q657" s="30" t="s">
        <v>457</v>
      </c>
    </row>
    <row r="658" hidden="1">
      <c r="A658" s="33" t="s">
        <v>3779</v>
      </c>
      <c r="B658" s="30" t="s">
        <v>139</v>
      </c>
      <c r="C658" s="30" t="s">
        <v>283</v>
      </c>
      <c r="D658" s="30" t="s">
        <v>244</v>
      </c>
      <c r="E658" s="35">
        <v>42940.0</v>
      </c>
      <c r="F658" s="37" t="s">
        <v>150</v>
      </c>
      <c r="G658" s="30" t="s">
        <v>1737</v>
      </c>
      <c r="H658" s="30" t="s">
        <v>407</v>
      </c>
      <c r="I658" s="30" t="s">
        <v>407</v>
      </c>
      <c r="J658" s="30" t="s">
        <v>278</v>
      </c>
      <c r="K658" s="30" t="s">
        <v>146</v>
      </c>
      <c r="L658" s="30" t="s">
        <v>146</v>
      </c>
      <c r="M658" s="30" t="s">
        <v>504</v>
      </c>
      <c r="N658" s="30" t="s">
        <v>3783</v>
      </c>
      <c r="O658" s="30" t="s">
        <v>145</v>
      </c>
      <c r="P658" s="30" t="s">
        <v>145</v>
      </c>
      <c r="Q658" s="30" t="s">
        <v>407</v>
      </c>
    </row>
    <row r="659" hidden="1">
      <c r="A659" s="33" t="s">
        <v>3785</v>
      </c>
      <c r="B659" s="30" t="s">
        <v>139</v>
      </c>
      <c r="C659" s="30" t="s">
        <v>141</v>
      </c>
      <c r="D659" s="30" t="s">
        <v>244</v>
      </c>
      <c r="E659" s="35">
        <v>42940.0</v>
      </c>
      <c r="F659" s="37" t="s">
        <v>154</v>
      </c>
      <c r="G659" s="30" t="s">
        <v>180</v>
      </c>
      <c r="H659" s="30" t="s">
        <v>145</v>
      </c>
      <c r="I659" s="30" t="s">
        <v>145</v>
      </c>
      <c r="J659" s="30" t="s">
        <v>145</v>
      </c>
      <c r="K659" s="30" t="s">
        <v>145</v>
      </c>
      <c r="L659" s="30" t="s">
        <v>145</v>
      </c>
      <c r="M659" s="30" t="s">
        <v>145</v>
      </c>
      <c r="N659" s="30" t="s">
        <v>145</v>
      </c>
      <c r="O659" s="30" t="s">
        <v>145</v>
      </c>
      <c r="P659" s="30" t="s">
        <v>145</v>
      </c>
      <c r="Q659" s="30" t="s">
        <v>180</v>
      </c>
    </row>
    <row r="660" hidden="1">
      <c r="A660" s="33" t="s">
        <v>3793</v>
      </c>
      <c r="B660" s="30" t="s">
        <v>139</v>
      </c>
      <c r="C660" s="30" t="s">
        <v>141</v>
      </c>
      <c r="D660" s="30" t="s">
        <v>244</v>
      </c>
      <c r="E660" s="35">
        <v>42940.0</v>
      </c>
      <c r="F660" s="37" t="s">
        <v>154</v>
      </c>
      <c r="G660" s="30" t="s">
        <v>180</v>
      </c>
      <c r="H660" s="30" t="s">
        <v>145</v>
      </c>
      <c r="I660" s="30" t="s">
        <v>145</v>
      </c>
      <c r="J660" s="30" t="s">
        <v>145</v>
      </c>
      <c r="K660" s="30" t="s">
        <v>145</v>
      </c>
      <c r="L660" s="30" t="s">
        <v>145</v>
      </c>
      <c r="M660" s="30" t="s">
        <v>145</v>
      </c>
      <c r="N660" s="30" t="s">
        <v>145</v>
      </c>
      <c r="O660" s="30" t="s">
        <v>145</v>
      </c>
      <c r="P660" s="30" t="s">
        <v>145</v>
      </c>
      <c r="Q660" s="30" t="s">
        <v>180</v>
      </c>
    </row>
    <row r="661" hidden="1">
      <c r="A661" s="33" t="s">
        <v>3797</v>
      </c>
      <c r="B661" s="30" t="s">
        <v>139</v>
      </c>
      <c r="C661" s="30" t="s">
        <v>453</v>
      </c>
      <c r="D661" s="30" t="s">
        <v>244</v>
      </c>
      <c r="E661" s="35">
        <v>42940.0</v>
      </c>
      <c r="F661" s="37" t="s">
        <v>154</v>
      </c>
      <c r="G661" s="30" t="s">
        <v>457</v>
      </c>
      <c r="H661" s="30" t="s">
        <v>145</v>
      </c>
      <c r="I661" s="30" t="s">
        <v>145</v>
      </c>
      <c r="J661" s="30" t="s">
        <v>145</v>
      </c>
      <c r="K661" s="30" t="s">
        <v>145</v>
      </c>
      <c r="L661" s="30" t="s">
        <v>145</v>
      </c>
      <c r="M661" s="30" t="s">
        <v>145</v>
      </c>
      <c r="N661" s="30" t="s">
        <v>145</v>
      </c>
      <c r="O661" s="30" t="s">
        <v>145</v>
      </c>
      <c r="P661" s="30" t="s">
        <v>145</v>
      </c>
      <c r="Q661" s="30" t="s">
        <v>457</v>
      </c>
    </row>
    <row r="662" hidden="1">
      <c r="A662" s="33" t="s">
        <v>3806</v>
      </c>
      <c r="B662" s="30" t="s">
        <v>139</v>
      </c>
      <c r="C662" s="30" t="s">
        <v>283</v>
      </c>
      <c r="D662" s="30" t="s">
        <v>244</v>
      </c>
      <c r="E662" s="35">
        <v>42940.0</v>
      </c>
      <c r="F662" s="37" t="s">
        <v>150</v>
      </c>
      <c r="G662" s="30" t="s">
        <v>407</v>
      </c>
      <c r="H662" s="30" t="s">
        <v>407</v>
      </c>
      <c r="I662" s="30" t="s">
        <v>407</v>
      </c>
      <c r="J662" s="30" t="s">
        <v>531</v>
      </c>
      <c r="K662" s="30" t="s">
        <v>146</v>
      </c>
      <c r="L662" s="30" t="s">
        <v>146</v>
      </c>
      <c r="M662" s="30" t="s">
        <v>1052</v>
      </c>
      <c r="N662" s="30" t="s">
        <v>3761</v>
      </c>
      <c r="O662" s="30" t="s">
        <v>145</v>
      </c>
      <c r="P662" s="30" t="s">
        <v>145</v>
      </c>
      <c r="Q662" s="30" t="s">
        <v>407</v>
      </c>
    </row>
    <row r="663" hidden="1">
      <c r="A663" s="33" t="s">
        <v>3811</v>
      </c>
      <c r="B663" s="30" t="s">
        <v>139</v>
      </c>
      <c r="C663" s="30" t="s">
        <v>141</v>
      </c>
      <c r="D663" s="30" t="s">
        <v>244</v>
      </c>
      <c r="E663" s="35">
        <v>42940.0</v>
      </c>
      <c r="F663" s="37" t="s">
        <v>154</v>
      </c>
      <c r="G663" s="30" t="s">
        <v>180</v>
      </c>
      <c r="H663" s="30" t="s">
        <v>145</v>
      </c>
      <c r="I663" s="30" t="s">
        <v>145</v>
      </c>
      <c r="J663" s="30" t="s">
        <v>145</v>
      </c>
      <c r="K663" s="30" t="s">
        <v>145</v>
      </c>
      <c r="L663" s="30" t="s">
        <v>145</v>
      </c>
      <c r="M663" s="30" t="s">
        <v>145</v>
      </c>
      <c r="N663" s="30" t="s">
        <v>145</v>
      </c>
      <c r="O663" s="30" t="s">
        <v>145</v>
      </c>
      <c r="P663" s="30" t="s">
        <v>145</v>
      </c>
      <c r="Q663" s="30" t="s">
        <v>180</v>
      </c>
    </row>
    <row r="664" hidden="1">
      <c r="A664" s="33" t="s">
        <v>3816</v>
      </c>
      <c r="B664" s="30" t="s">
        <v>139</v>
      </c>
      <c r="C664" s="30" t="s">
        <v>141</v>
      </c>
      <c r="D664" s="30" t="s">
        <v>244</v>
      </c>
      <c r="E664" s="35">
        <v>42940.0</v>
      </c>
      <c r="F664" s="37" t="s">
        <v>154</v>
      </c>
      <c r="G664" s="30" t="s">
        <v>180</v>
      </c>
      <c r="H664" s="30" t="s">
        <v>145</v>
      </c>
      <c r="I664" s="30" t="s">
        <v>145</v>
      </c>
      <c r="J664" s="30" t="s">
        <v>145</v>
      </c>
      <c r="K664" s="30" t="s">
        <v>145</v>
      </c>
      <c r="L664" s="30" t="s">
        <v>145</v>
      </c>
      <c r="M664" s="30" t="s">
        <v>145</v>
      </c>
      <c r="N664" s="30" t="s">
        <v>145</v>
      </c>
      <c r="O664" s="30" t="s">
        <v>145</v>
      </c>
      <c r="P664" s="30" t="s">
        <v>145</v>
      </c>
      <c r="Q664" s="30" t="s">
        <v>180</v>
      </c>
    </row>
    <row r="665" hidden="1">
      <c r="A665" s="33" t="s">
        <v>3820</v>
      </c>
      <c r="B665" s="30" t="s">
        <v>139</v>
      </c>
      <c r="C665" s="30" t="s">
        <v>453</v>
      </c>
      <c r="D665" s="30" t="s">
        <v>244</v>
      </c>
      <c r="E665" s="35">
        <v>42940.0</v>
      </c>
      <c r="F665" s="37" t="s">
        <v>154</v>
      </c>
      <c r="G665" s="30" t="s">
        <v>457</v>
      </c>
      <c r="H665" s="30" t="s">
        <v>145</v>
      </c>
      <c r="I665" s="30" t="s">
        <v>145</v>
      </c>
      <c r="J665" s="30" t="s">
        <v>145</v>
      </c>
      <c r="K665" s="30" t="s">
        <v>145</v>
      </c>
      <c r="L665" s="30" t="s">
        <v>145</v>
      </c>
      <c r="M665" s="30" t="s">
        <v>145</v>
      </c>
      <c r="N665" s="30" t="s">
        <v>145</v>
      </c>
      <c r="O665" s="30" t="s">
        <v>145</v>
      </c>
      <c r="P665" s="30" t="s">
        <v>145</v>
      </c>
      <c r="Q665" s="30" t="s">
        <v>457</v>
      </c>
    </row>
    <row r="666" hidden="1">
      <c r="A666" s="33" t="s">
        <v>3824</v>
      </c>
      <c r="B666" s="30" t="s">
        <v>139</v>
      </c>
      <c r="C666" s="30" t="s">
        <v>148</v>
      </c>
      <c r="D666" s="30" t="s">
        <v>244</v>
      </c>
      <c r="E666" s="35">
        <v>42940.0</v>
      </c>
      <c r="F666" s="37" t="s">
        <v>150</v>
      </c>
      <c r="G666" s="30" t="s">
        <v>152</v>
      </c>
      <c r="H666" s="30" t="s">
        <v>152</v>
      </c>
      <c r="I666" s="30" t="s">
        <v>152</v>
      </c>
      <c r="J666" s="30" t="s">
        <v>531</v>
      </c>
      <c r="K666" s="30" t="s">
        <v>146</v>
      </c>
      <c r="L666" s="30" t="s">
        <v>146</v>
      </c>
      <c r="M666" s="30" t="s">
        <v>882</v>
      </c>
      <c r="N666" s="30" t="s">
        <v>3031</v>
      </c>
      <c r="O666" s="30" t="s">
        <v>145</v>
      </c>
      <c r="P666" s="30" t="s">
        <v>145</v>
      </c>
      <c r="Q666" s="30" t="s">
        <v>152</v>
      </c>
    </row>
    <row r="667" hidden="1">
      <c r="A667" s="33" t="s">
        <v>3829</v>
      </c>
      <c r="B667" s="30" t="s">
        <v>139</v>
      </c>
      <c r="C667" s="30" t="s">
        <v>283</v>
      </c>
      <c r="D667" s="30" t="s">
        <v>283</v>
      </c>
      <c r="E667" s="35">
        <v>42940.0</v>
      </c>
      <c r="F667" s="37" t="s">
        <v>150</v>
      </c>
      <c r="G667" s="30" t="s">
        <v>140</v>
      </c>
      <c r="H667" s="30" t="s">
        <v>171</v>
      </c>
      <c r="I667" s="30" t="s">
        <v>146</v>
      </c>
      <c r="J667" s="30" t="s">
        <v>239</v>
      </c>
      <c r="K667" s="30" t="s">
        <v>407</v>
      </c>
      <c r="L667" s="30" t="s">
        <v>407</v>
      </c>
      <c r="M667" s="30" t="s">
        <v>407</v>
      </c>
      <c r="N667" s="30" t="s">
        <v>145</v>
      </c>
      <c r="O667" s="30" t="s">
        <v>145</v>
      </c>
      <c r="P667" s="30" t="s">
        <v>145</v>
      </c>
      <c r="Q667" s="30" t="s">
        <v>1898</v>
      </c>
    </row>
    <row r="668" hidden="1">
      <c r="A668" s="33" t="str">
        <f>hyperlink("https://issues.sierrawireless.com/browse/OEMPRI-4208", "OEMPRI-4208")</f>
        <v>OEMPRI-4208</v>
      </c>
      <c r="B668" s="30" t="s">
        <v>139</v>
      </c>
      <c r="C668" s="30" t="s">
        <v>140</v>
      </c>
      <c r="D668" s="30" t="s">
        <v>283</v>
      </c>
      <c r="E668" s="35">
        <v>42940.0</v>
      </c>
      <c r="F668" s="37" t="s">
        <v>154</v>
      </c>
      <c r="G668" s="30" t="s">
        <v>146</v>
      </c>
      <c r="H668" s="30" t="s">
        <v>145</v>
      </c>
      <c r="I668" s="30" t="s">
        <v>145</v>
      </c>
      <c r="J668" s="30" t="s">
        <v>145</v>
      </c>
      <c r="K668" s="30" t="s">
        <v>145</v>
      </c>
      <c r="L668" s="30" t="s">
        <v>145</v>
      </c>
      <c r="M668" s="30" t="s">
        <v>145</v>
      </c>
      <c r="N668" s="30" t="s">
        <v>145</v>
      </c>
      <c r="O668" s="30" t="s">
        <v>145</v>
      </c>
      <c r="P668" s="30" t="s">
        <v>145</v>
      </c>
      <c r="Q668" s="30" t="s">
        <v>146</v>
      </c>
    </row>
    <row r="669" hidden="1">
      <c r="A669" s="33" t="s">
        <v>3841</v>
      </c>
      <c r="B669" s="30" t="s">
        <v>139</v>
      </c>
      <c r="C669" s="30" t="s">
        <v>155</v>
      </c>
      <c r="D669" s="30" t="s">
        <v>155</v>
      </c>
      <c r="E669" s="35">
        <v>42935.0</v>
      </c>
      <c r="F669" s="37" t="s">
        <v>150</v>
      </c>
      <c r="G669" s="30" t="s">
        <v>3843</v>
      </c>
      <c r="H669" s="30" t="s">
        <v>146</v>
      </c>
      <c r="I669" s="30" t="s">
        <v>358</v>
      </c>
      <c r="J669" s="30" t="s">
        <v>3845</v>
      </c>
      <c r="K669" s="30" t="s">
        <v>152</v>
      </c>
      <c r="L669" s="30" t="s">
        <v>152</v>
      </c>
      <c r="M669" s="30" t="s">
        <v>3846</v>
      </c>
      <c r="N669" s="30" t="s">
        <v>145</v>
      </c>
      <c r="O669" s="30" t="s">
        <v>145</v>
      </c>
      <c r="P669" s="30" t="s">
        <v>145</v>
      </c>
      <c r="Q669" s="30" t="s">
        <v>158</v>
      </c>
    </row>
    <row r="670" hidden="1">
      <c r="A670" s="33" t="s">
        <v>3849</v>
      </c>
      <c r="B670" s="30" t="s">
        <v>139</v>
      </c>
      <c r="C670" s="30" t="s">
        <v>148</v>
      </c>
      <c r="D670" s="30" t="s">
        <v>283</v>
      </c>
      <c r="E670" s="35">
        <v>42935.0</v>
      </c>
      <c r="F670" s="37" t="s">
        <v>150</v>
      </c>
      <c r="G670" s="30" t="s">
        <v>140</v>
      </c>
      <c r="H670" s="30" t="s">
        <v>185</v>
      </c>
      <c r="I670" s="30" t="s">
        <v>146</v>
      </c>
      <c r="J670" s="30" t="s">
        <v>146</v>
      </c>
      <c r="K670" s="30" t="s">
        <v>163</v>
      </c>
      <c r="L670" s="30" t="s">
        <v>171</v>
      </c>
      <c r="M670" s="30" t="s">
        <v>3851</v>
      </c>
      <c r="N670" s="2" t="s">
        <v>213</v>
      </c>
      <c r="O670" s="30" t="s">
        <v>152</v>
      </c>
      <c r="P670" s="30" t="s">
        <v>152</v>
      </c>
      <c r="Q670" s="30" t="s">
        <v>152</v>
      </c>
    </row>
    <row r="671" hidden="1">
      <c r="A671" s="33" t="str">
        <f>hyperlink("https://issues.sierrawireless.com/browse/OEMPRI-4167", "OEMPRI-4167")</f>
        <v>OEMPRI-4167</v>
      </c>
      <c r="B671" s="30" t="s">
        <v>139</v>
      </c>
      <c r="C671" s="30" t="s">
        <v>140</v>
      </c>
      <c r="D671" s="30" t="s">
        <v>140</v>
      </c>
      <c r="E671" s="35">
        <v>42935.0</v>
      </c>
      <c r="F671" s="37" t="s">
        <v>154</v>
      </c>
      <c r="G671" s="30" t="s">
        <v>146</v>
      </c>
      <c r="H671" s="30" t="s">
        <v>145</v>
      </c>
      <c r="I671" s="30" t="s">
        <v>145</v>
      </c>
      <c r="J671" s="30" t="s">
        <v>145</v>
      </c>
      <c r="K671" s="30" t="s">
        <v>145</v>
      </c>
      <c r="L671" s="30" t="s">
        <v>145</v>
      </c>
      <c r="M671" s="30" t="s">
        <v>145</v>
      </c>
      <c r="N671" s="30" t="s">
        <v>145</v>
      </c>
      <c r="O671" s="30" t="s">
        <v>145</v>
      </c>
      <c r="P671" s="30" t="s">
        <v>145</v>
      </c>
      <c r="Q671" s="30" t="s">
        <v>146</v>
      </c>
    </row>
    <row r="672" hidden="1">
      <c r="A672" s="33" t="s">
        <v>3858</v>
      </c>
      <c r="B672" s="30" t="s">
        <v>139</v>
      </c>
      <c r="C672" s="30" t="s">
        <v>140</v>
      </c>
      <c r="D672" s="30" t="s">
        <v>233</v>
      </c>
      <c r="E672" s="35">
        <v>42934.0</v>
      </c>
      <c r="F672" s="37" t="s">
        <v>269</v>
      </c>
      <c r="G672" s="30" t="s">
        <v>1536</v>
      </c>
      <c r="H672" s="30" t="s">
        <v>145</v>
      </c>
      <c r="I672" s="30" t="s">
        <v>145</v>
      </c>
      <c r="J672" s="30" t="s">
        <v>145</v>
      </c>
      <c r="K672" s="30" t="s">
        <v>145</v>
      </c>
      <c r="L672" s="30" t="s">
        <v>145</v>
      </c>
      <c r="M672" s="30" t="s">
        <v>145</v>
      </c>
      <c r="N672" s="30" t="s">
        <v>145</v>
      </c>
      <c r="O672" s="30" t="s">
        <v>145</v>
      </c>
      <c r="P672" s="30" t="s">
        <v>145</v>
      </c>
      <c r="Q672" s="30" t="s">
        <v>146</v>
      </c>
    </row>
    <row r="673" hidden="1">
      <c r="A673" s="33" t="s">
        <v>3863</v>
      </c>
      <c r="B673" s="30" t="s">
        <v>139</v>
      </c>
      <c r="C673" s="30" t="s">
        <v>155</v>
      </c>
      <c r="D673" s="30" t="s">
        <v>155</v>
      </c>
      <c r="E673" s="35">
        <v>42934.0</v>
      </c>
      <c r="F673" s="37" t="s">
        <v>184</v>
      </c>
      <c r="G673" s="30" t="s">
        <v>155</v>
      </c>
      <c r="H673" s="30" t="s">
        <v>146</v>
      </c>
      <c r="I673" s="30" t="s">
        <v>146</v>
      </c>
      <c r="J673" s="30" t="s">
        <v>375</v>
      </c>
      <c r="K673" s="30" t="s">
        <v>2578</v>
      </c>
      <c r="L673" s="30" t="s">
        <v>2579</v>
      </c>
      <c r="M673" s="30" t="s">
        <v>145</v>
      </c>
      <c r="N673" s="30" t="s">
        <v>145</v>
      </c>
      <c r="O673" s="30" t="s">
        <v>145</v>
      </c>
      <c r="P673" s="30" t="s">
        <v>145</v>
      </c>
      <c r="Q673" s="30" t="s">
        <v>158</v>
      </c>
    </row>
    <row r="674" hidden="1">
      <c r="A674" s="33" t="s">
        <v>3868</v>
      </c>
      <c r="B674" s="30" t="s">
        <v>139</v>
      </c>
      <c r="C674" s="30" t="s">
        <v>283</v>
      </c>
      <c r="D674" s="30" t="s">
        <v>283</v>
      </c>
      <c r="E674" s="35">
        <v>42934.0</v>
      </c>
      <c r="F674" s="37" t="s">
        <v>150</v>
      </c>
      <c r="G674" s="30" t="s">
        <v>407</v>
      </c>
      <c r="H674" s="30" t="s">
        <v>407</v>
      </c>
      <c r="I674" s="30" t="s">
        <v>407</v>
      </c>
      <c r="J674" s="30" t="s">
        <v>407</v>
      </c>
      <c r="K674" s="30" t="s">
        <v>407</v>
      </c>
      <c r="L674" s="30" t="s">
        <v>618</v>
      </c>
      <c r="M674" s="30" t="s">
        <v>3871</v>
      </c>
      <c r="N674" s="30" t="s">
        <v>145</v>
      </c>
      <c r="O674" s="30" t="s">
        <v>145</v>
      </c>
      <c r="P674" s="30" t="s">
        <v>145</v>
      </c>
      <c r="Q674" s="30" t="s">
        <v>1898</v>
      </c>
    </row>
    <row r="675" hidden="1">
      <c r="A675" s="33" t="s">
        <v>3875</v>
      </c>
      <c r="B675" s="30" t="s">
        <v>139</v>
      </c>
      <c r="C675" s="30" t="s">
        <v>233</v>
      </c>
      <c r="D675" s="30" t="s">
        <v>233</v>
      </c>
      <c r="E675" s="35">
        <v>42933.0</v>
      </c>
      <c r="F675" s="37" t="s">
        <v>269</v>
      </c>
      <c r="G675" s="30" t="s">
        <v>3876</v>
      </c>
      <c r="H675" s="30" t="s">
        <v>145</v>
      </c>
      <c r="I675" s="30" t="s">
        <v>145</v>
      </c>
      <c r="J675" s="30" t="s">
        <v>145</v>
      </c>
      <c r="K675" s="30" t="s">
        <v>145</v>
      </c>
      <c r="L675" s="30" t="s">
        <v>145</v>
      </c>
      <c r="M675" s="30" t="s">
        <v>145</v>
      </c>
      <c r="N675" s="30" t="s">
        <v>145</v>
      </c>
      <c r="O675" s="30" t="s">
        <v>145</v>
      </c>
      <c r="P675" s="30" t="s">
        <v>145</v>
      </c>
      <c r="Q675" s="30" t="s">
        <v>3880</v>
      </c>
    </row>
    <row r="676" hidden="1">
      <c r="A676" s="33" t="s">
        <v>3881</v>
      </c>
      <c r="B676" s="30" t="s">
        <v>139</v>
      </c>
      <c r="C676" s="30" t="s">
        <v>283</v>
      </c>
      <c r="D676" s="30" t="s">
        <v>140</v>
      </c>
      <c r="E676" s="35">
        <v>42933.0</v>
      </c>
      <c r="F676" s="37" t="s">
        <v>154</v>
      </c>
      <c r="G676" s="30" t="s">
        <v>407</v>
      </c>
      <c r="H676" s="30" t="s">
        <v>145</v>
      </c>
      <c r="I676" s="30" t="s">
        <v>145</v>
      </c>
      <c r="J676" s="30" t="s">
        <v>145</v>
      </c>
      <c r="K676" s="30" t="s">
        <v>145</v>
      </c>
      <c r="L676" s="30" t="s">
        <v>145</v>
      </c>
      <c r="M676" s="30" t="s">
        <v>145</v>
      </c>
      <c r="N676" s="30" t="s">
        <v>145</v>
      </c>
      <c r="O676" s="30" t="s">
        <v>145</v>
      </c>
      <c r="P676" s="30" t="s">
        <v>145</v>
      </c>
      <c r="Q676" s="30" t="s">
        <v>407</v>
      </c>
    </row>
    <row r="677" hidden="1">
      <c r="A677" s="33" t="s">
        <v>3883</v>
      </c>
      <c r="B677" s="30" t="s">
        <v>139</v>
      </c>
      <c r="C677" s="30" t="s">
        <v>170</v>
      </c>
      <c r="D677" s="30" t="s">
        <v>170</v>
      </c>
      <c r="E677" s="35">
        <v>42930.0</v>
      </c>
      <c r="F677" s="37" t="s">
        <v>143</v>
      </c>
      <c r="G677" s="30" t="s">
        <v>3887</v>
      </c>
      <c r="H677" s="30" t="s">
        <v>145</v>
      </c>
      <c r="I677" s="30" t="s">
        <v>145</v>
      </c>
      <c r="J677" s="30" t="s">
        <v>145</v>
      </c>
      <c r="K677" s="30" t="s">
        <v>145</v>
      </c>
      <c r="L677" s="30" t="s">
        <v>145</v>
      </c>
      <c r="M677" s="30" t="s">
        <v>145</v>
      </c>
      <c r="N677" s="30" t="s">
        <v>145</v>
      </c>
      <c r="O677" s="30" t="s">
        <v>145</v>
      </c>
      <c r="P677" s="30" t="s">
        <v>145</v>
      </c>
      <c r="Q677" s="30" t="s">
        <v>743</v>
      </c>
    </row>
    <row r="678" hidden="1">
      <c r="A678" s="33" t="s">
        <v>3891</v>
      </c>
      <c r="B678" s="30" t="s">
        <v>139</v>
      </c>
      <c r="C678" s="30" t="s">
        <v>141</v>
      </c>
      <c r="D678" s="30" t="s">
        <v>141</v>
      </c>
      <c r="E678" s="35">
        <v>42930.0</v>
      </c>
      <c r="F678" s="37" t="s">
        <v>154</v>
      </c>
      <c r="G678" s="30" t="s">
        <v>180</v>
      </c>
      <c r="H678" s="30" t="s">
        <v>145</v>
      </c>
      <c r="I678" s="30" t="s">
        <v>145</v>
      </c>
      <c r="J678" s="30" t="s">
        <v>145</v>
      </c>
      <c r="K678" s="30" t="s">
        <v>145</v>
      </c>
      <c r="L678" s="30" t="s">
        <v>145</v>
      </c>
      <c r="M678" s="30" t="s">
        <v>145</v>
      </c>
      <c r="N678" s="30" t="s">
        <v>145</v>
      </c>
      <c r="O678" s="30" t="s">
        <v>145</v>
      </c>
      <c r="P678" s="30" t="s">
        <v>145</v>
      </c>
      <c r="Q678" s="30" t="s">
        <v>180</v>
      </c>
    </row>
    <row r="679" hidden="1">
      <c r="A679" s="33" t="s">
        <v>3896</v>
      </c>
      <c r="B679" s="30" t="s">
        <v>139</v>
      </c>
      <c r="C679" s="30" t="s">
        <v>141</v>
      </c>
      <c r="D679" s="30" t="s">
        <v>141</v>
      </c>
      <c r="E679" s="35">
        <v>42930.0</v>
      </c>
      <c r="F679" s="37" t="s">
        <v>154</v>
      </c>
      <c r="G679" s="30" t="s">
        <v>180</v>
      </c>
      <c r="H679" s="30" t="s">
        <v>145</v>
      </c>
      <c r="I679" s="30" t="s">
        <v>145</v>
      </c>
      <c r="J679" s="30" t="s">
        <v>145</v>
      </c>
      <c r="K679" s="30" t="s">
        <v>145</v>
      </c>
      <c r="L679" s="30" t="s">
        <v>145</v>
      </c>
      <c r="M679" s="30" t="s">
        <v>145</v>
      </c>
      <c r="N679" s="30" t="s">
        <v>145</v>
      </c>
      <c r="O679" s="30" t="s">
        <v>145</v>
      </c>
      <c r="P679" s="30" t="s">
        <v>145</v>
      </c>
      <c r="Q679" s="30" t="s">
        <v>180</v>
      </c>
    </row>
    <row r="680" hidden="1">
      <c r="A680" s="33" t="s">
        <v>3902</v>
      </c>
      <c r="B680" s="30" t="s">
        <v>139</v>
      </c>
      <c r="C680" s="30" t="s">
        <v>141</v>
      </c>
      <c r="D680" s="30" t="s">
        <v>141</v>
      </c>
      <c r="E680" s="35">
        <v>42930.0</v>
      </c>
      <c r="F680" s="37" t="s">
        <v>154</v>
      </c>
      <c r="G680" s="30" t="s">
        <v>2142</v>
      </c>
      <c r="H680" s="30" t="s">
        <v>145</v>
      </c>
      <c r="I680" s="30" t="s">
        <v>145</v>
      </c>
      <c r="J680" s="30" t="s">
        <v>145</v>
      </c>
      <c r="K680" s="30" t="s">
        <v>145</v>
      </c>
      <c r="L680" s="30" t="s">
        <v>145</v>
      </c>
      <c r="M680" s="30" t="s">
        <v>145</v>
      </c>
      <c r="N680" s="30" t="s">
        <v>145</v>
      </c>
      <c r="O680" s="30" t="s">
        <v>145</v>
      </c>
      <c r="P680" s="30" t="s">
        <v>145</v>
      </c>
      <c r="Q680" s="30" t="s">
        <v>180</v>
      </c>
    </row>
    <row r="681" hidden="1">
      <c r="A681" s="33" t="s">
        <v>3907</v>
      </c>
      <c r="B681" s="30" t="s">
        <v>139</v>
      </c>
      <c r="C681" s="30" t="s">
        <v>141</v>
      </c>
      <c r="D681" s="30" t="s">
        <v>141</v>
      </c>
      <c r="E681" s="35">
        <v>42930.0</v>
      </c>
      <c r="F681" s="37" t="s">
        <v>154</v>
      </c>
      <c r="G681" s="30" t="s">
        <v>180</v>
      </c>
      <c r="H681" s="30" t="s">
        <v>145</v>
      </c>
      <c r="I681" s="30" t="s">
        <v>145</v>
      </c>
      <c r="J681" s="30" t="s">
        <v>145</v>
      </c>
      <c r="K681" s="30" t="s">
        <v>145</v>
      </c>
      <c r="L681" s="30" t="s">
        <v>145</v>
      </c>
      <c r="M681" s="30" t="s">
        <v>145</v>
      </c>
      <c r="N681" s="30" t="s">
        <v>145</v>
      </c>
      <c r="O681" s="30" t="s">
        <v>145</v>
      </c>
      <c r="P681" s="30" t="s">
        <v>145</v>
      </c>
      <c r="Q681" s="30" t="s">
        <v>180</v>
      </c>
    </row>
    <row r="682" hidden="1">
      <c r="A682" s="33" t="s">
        <v>3911</v>
      </c>
      <c r="B682" s="30" t="s">
        <v>139</v>
      </c>
      <c r="C682" s="30" t="s">
        <v>141</v>
      </c>
      <c r="D682" s="30" t="s">
        <v>141</v>
      </c>
      <c r="E682" s="35">
        <v>42930.0</v>
      </c>
      <c r="F682" s="37" t="s">
        <v>154</v>
      </c>
      <c r="G682" s="30" t="s">
        <v>180</v>
      </c>
      <c r="H682" s="30" t="s">
        <v>145</v>
      </c>
      <c r="I682" s="30" t="s">
        <v>145</v>
      </c>
      <c r="J682" s="30" t="s">
        <v>145</v>
      </c>
      <c r="K682" s="30" t="s">
        <v>145</v>
      </c>
      <c r="L682" s="30" t="s">
        <v>145</v>
      </c>
      <c r="M682" s="30" t="s">
        <v>145</v>
      </c>
      <c r="N682" s="30" t="s">
        <v>145</v>
      </c>
      <c r="O682" s="30" t="s">
        <v>145</v>
      </c>
      <c r="P682" s="30" t="s">
        <v>145</v>
      </c>
      <c r="Q682" s="30" t="s">
        <v>180</v>
      </c>
    </row>
    <row r="683" hidden="1">
      <c r="A683" s="33" t="s">
        <v>3919</v>
      </c>
      <c r="B683" s="30" t="s">
        <v>139</v>
      </c>
      <c r="C683" s="30" t="s">
        <v>141</v>
      </c>
      <c r="D683" s="30" t="s">
        <v>141</v>
      </c>
      <c r="E683" s="35">
        <v>42930.0</v>
      </c>
      <c r="F683" s="37" t="s">
        <v>154</v>
      </c>
      <c r="G683" s="30" t="s">
        <v>2142</v>
      </c>
      <c r="H683" s="30" t="s">
        <v>145</v>
      </c>
      <c r="I683" s="30" t="s">
        <v>145</v>
      </c>
      <c r="J683" s="30" t="s">
        <v>145</v>
      </c>
      <c r="K683" s="30" t="s">
        <v>145</v>
      </c>
      <c r="L683" s="30" t="s">
        <v>145</v>
      </c>
      <c r="M683" s="30" t="s">
        <v>145</v>
      </c>
      <c r="N683" s="30" t="s">
        <v>145</v>
      </c>
      <c r="O683" s="30" t="s">
        <v>145</v>
      </c>
      <c r="P683" s="30" t="s">
        <v>145</v>
      </c>
      <c r="Q683" s="30" t="s">
        <v>180</v>
      </c>
    </row>
    <row r="684" hidden="1">
      <c r="A684" s="33" t="s">
        <v>3924</v>
      </c>
      <c r="B684" s="30" t="s">
        <v>139</v>
      </c>
      <c r="C684" s="30" t="s">
        <v>141</v>
      </c>
      <c r="D684" s="30" t="s">
        <v>141</v>
      </c>
      <c r="E684" s="35">
        <v>42930.0</v>
      </c>
      <c r="F684" s="37" t="s">
        <v>154</v>
      </c>
      <c r="G684" s="30" t="s">
        <v>180</v>
      </c>
      <c r="H684" s="30" t="s">
        <v>145</v>
      </c>
      <c r="I684" s="30" t="s">
        <v>145</v>
      </c>
      <c r="J684" s="30" t="s">
        <v>145</v>
      </c>
      <c r="K684" s="30" t="s">
        <v>145</v>
      </c>
      <c r="L684" s="30" t="s">
        <v>145</v>
      </c>
      <c r="M684" s="30" t="s">
        <v>145</v>
      </c>
      <c r="N684" s="30" t="s">
        <v>145</v>
      </c>
      <c r="O684" s="30" t="s">
        <v>145</v>
      </c>
      <c r="P684" s="30" t="s">
        <v>145</v>
      </c>
      <c r="Q684" s="30" t="s">
        <v>180</v>
      </c>
    </row>
    <row r="685" hidden="1">
      <c r="A685" s="33" t="s">
        <v>3930</v>
      </c>
      <c r="B685" s="30" t="s">
        <v>139</v>
      </c>
      <c r="C685" s="30" t="s">
        <v>141</v>
      </c>
      <c r="D685" s="30" t="s">
        <v>141</v>
      </c>
      <c r="E685" s="35">
        <v>42930.0</v>
      </c>
      <c r="F685" s="37" t="s">
        <v>154</v>
      </c>
      <c r="G685" s="30" t="s">
        <v>2142</v>
      </c>
      <c r="H685" s="30" t="s">
        <v>145</v>
      </c>
      <c r="I685" s="30" t="s">
        <v>145</v>
      </c>
      <c r="J685" s="30" t="s">
        <v>145</v>
      </c>
      <c r="K685" s="30" t="s">
        <v>145</v>
      </c>
      <c r="L685" s="30" t="s">
        <v>145</v>
      </c>
      <c r="M685" s="30" t="s">
        <v>145</v>
      </c>
      <c r="N685" s="30" t="s">
        <v>145</v>
      </c>
      <c r="O685" s="30" t="s">
        <v>145</v>
      </c>
      <c r="P685" s="30" t="s">
        <v>145</v>
      </c>
      <c r="Q685" s="30" t="s">
        <v>180</v>
      </c>
    </row>
    <row r="686" hidden="1">
      <c r="A686" s="33" t="s">
        <v>3935</v>
      </c>
      <c r="B686" s="30" t="s">
        <v>139</v>
      </c>
      <c r="C686" s="30" t="s">
        <v>141</v>
      </c>
      <c r="D686" s="30" t="s">
        <v>141</v>
      </c>
      <c r="E686" s="35">
        <v>42930.0</v>
      </c>
      <c r="F686" s="37" t="s">
        <v>150</v>
      </c>
      <c r="G686" s="30" t="s">
        <v>3939</v>
      </c>
      <c r="H686" s="30" t="s">
        <v>152</v>
      </c>
      <c r="I686" s="30" t="s">
        <v>152</v>
      </c>
      <c r="J686" s="30" t="s">
        <v>531</v>
      </c>
      <c r="K686" s="30" t="s">
        <v>152</v>
      </c>
      <c r="L686" s="30" t="s">
        <v>146</v>
      </c>
      <c r="M686" s="30" t="s">
        <v>3940</v>
      </c>
      <c r="N686" s="30" t="s">
        <v>145</v>
      </c>
      <c r="O686" s="30" t="s">
        <v>145</v>
      </c>
      <c r="P686" s="30" t="s">
        <v>145</v>
      </c>
      <c r="Q686" s="30" t="s">
        <v>2140</v>
      </c>
    </row>
    <row r="687" hidden="1">
      <c r="A687" s="33" t="s">
        <v>3941</v>
      </c>
      <c r="B687" s="30" t="s">
        <v>139</v>
      </c>
      <c r="C687" s="30" t="s">
        <v>148</v>
      </c>
      <c r="D687" s="30" t="s">
        <v>141</v>
      </c>
      <c r="E687" s="35">
        <v>42930.0</v>
      </c>
      <c r="F687" s="37" t="s">
        <v>150</v>
      </c>
      <c r="G687" s="30" t="s">
        <v>3943</v>
      </c>
      <c r="H687" s="30" t="s">
        <v>223</v>
      </c>
      <c r="I687" s="30" t="s">
        <v>223</v>
      </c>
      <c r="J687" s="30" t="s">
        <v>618</v>
      </c>
      <c r="K687" s="30" t="s">
        <v>146</v>
      </c>
      <c r="L687" s="30" t="s">
        <v>146</v>
      </c>
      <c r="M687" s="30" t="s">
        <v>1798</v>
      </c>
      <c r="N687" s="30" t="s">
        <v>145</v>
      </c>
      <c r="O687" s="30" t="s">
        <v>145</v>
      </c>
      <c r="P687" s="30" t="s">
        <v>145</v>
      </c>
      <c r="Q687" s="30" t="s">
        <v>199</v>
      </c>
    </row>
    <row r="688" hidden="1">
      <c r="A688" s="33" t="s">
        <v>3947</v>
      </c>
      <c r="B688" s="30" t="s">
        <v>139</v>
      </c>
      <c r="C688" s="30" t="s">
        <v>283</v>
      </c>
      <c r="D688" s="30" t="s">
        <v>177</v>
      </c>
      <c r="E688" s="35">
        <v>42930.0</v>
      </c>
      <c r="F688" s="37" t="s">
        <v>150</v>
      </c>
      <c r="G688" s="30" t="s">
        <v>3185</v>
      </c>
      <c r="H688" s="30" t="s">
        <v>407</v>
      </c>
      <c r="I688" s="30" t="s">
        <v>407</v>
      </c>
      <c r="J688" s="30" t="s">
        <v>407</v>
      </c>
      <c r="K688" s="30" t="s">
        <v>1318</v>
      </c>
      <c r="L688" s="30" t="s">
        <v>324</v>
      </c>
      <c r="M688" s="30" t="s">
        <v>2361</v>
      </c>
      <c r="N688" s="30" t="s">
        <v>145</v>
      </c>
      <c r="O688" s="30" t="s">
        <v>145</v>
      </c>
      <c r="P688" s="30" t="s">
        <v>152</v>
      </c>
      <c r="Q688" s="30" t="s">
        <v>3952</v>
      </c>
    </row>
    <row r="689" hidden="1">
      <c r="A689" s="33" t="s">
        <v>3953</v>
      </c>
      <c r="B689" s="30" t="s">
        <v>139</v>
      </c>
      <c r="C689" s="30" t="s">
        <v>170</v>
      </c>
      <c r="D689" s="30" t="s">
        <v>177</v>
      </c>
      <c r="E689" s="35">
        <v>42930.0</v>
      </c>
      <c r="F689" s="37" t="s">
        <v>150</v>
      </c>
      <c r="G689" s="30" t="s">
        <v>743</v>
      </c>
      <c r="H689" s="30" t="s">
        <v>145</v>
      </c>
      <c r="I689" s="30" t="s">
        <v>145</v>
      </c>
      <c r="J689" s="30" t="s">
        <v>145</v>
      </c>
      <c r="K689" s="30" t="s">
        <v>145</v>
      </c>
      <c r="L689" s="30" t="s">
        <v>145</v>
      </c>
      <c r="M689" s="30" t="s">
        <v>145</v>
      </c>
      <c r="N689" s="30" t="s">
        <v>145</v>
      </c>
      <c r="O689" s="30" t="s">
        <v>145</v>
      </c>
      <c r="P689" s="30" t="s">
        <v>145</v>
      </c>
      <c r="Q689" s="30" t="s">
        <v>743</v>
      </c>
    </row>
    <row r="690" hidden="1">
      <c r="A690" s="33" t="s">
        <v>3959</v>
      </c>
      <c r="B690" s="30" t="s">
        <v>139</v>
      </c>
      <c r="C690" s="30" t="s">
        <v>141</v>
      </c>
      <c r="D690" s="30" t="s">
        <v>141</v>
      </c>
      <c r="E690" s="35">
        <v>42930.0</v>
      </c>
      <c r="F690" s="37" t="s">
        <v>150</v>
      </c>
      <c r="G690" s="30" t="s">
        <v>986</v>
      </c>
      <c r="H690" s="30" t="s">
        <v>180</v>
      </c>
      <c r="I690" s="30" t="s">
        <v>180</v>
      </c>
      <c r="J690" s="30" t="s">
        <v>278</v>
      </c>
      <c r="K690" s="30" t="s">
        <v>146</v>
      </c>
      <c r="L690" s="30" t="s">
        <v>146</v>
      </c>
      <c r="M690" s="30" t="s">
        <v>2602</v>
      </c>
      <c r="N690" s="30" t="s">
        <v>145</v>
      </c>
      <c r="O690" s="30" t="s">
        <v>145</v>
      </c>
      <c r="P690" s="30" t="s">
        <v>145</v>
      </c>
      <c r="Q690" s="30" t="s">
        <v>1898</v>
      </c>
    </row>
    <row r="691" hidden="1">
      <c r="A691" s="33" t="s">
        <v>3963</v>
      </c>
      <c r="B691" s="30" t="s">
        <v>139</v>
      </c>
      <c r="C691" s="30" t="s">
        <v>141</v>
      </c>
      <c r="D691" s="30" t="s">
        <v>141</v>
      </c>
      <c r="E691" s="35">
        <v>42930.0</v>
      </c>
      <c r="F691" s="37" t="s">
        <v>150</v>
      </c>
      <c r="G691" s="30" t="s">
        <v>986</v>
      </c>
      <c r="H691" s="30" t="s">
        <v>180</v>
      </c>
      <c r="I691" s="30" t="s">
        <v>180</v>
      </c>
      <c r="J691" s="30" t="s">
        <v>278</v>
      </c>
      <c r="K691" s="30" t="s">
        <v>146</v>
      </c>
      <c r="L691" s="30" t="s">
        <v>146</v>
      </c>
      <c r="M691" s="30" t="s">
        <v>2602</v>
      </c>
      <c r="N691" s="30" t="s">
        <v>145</v>
      </c>
      <c r="O691" s="30" t="s">
        <v>145</v>
      </c>
      <c r="P691" s="30" t="s">
        <v>145</v>
      </c>
      <c r="Q691" s="30" t="s">
        <v>1898</v>
      </c>
    </row>
    <row r="692" hidden="1">
      <c r="A692" s="33" t="s">
        <v>3967</v>
      </c>
      <c r="B692" s="30" t="s">
        <v>139</v>
      </c>
      <c r="C692" s="30" t="s">
        <v>177</v>
      </c>
      <c r="D692" s="30" t="s">
        <v>177</v>
      </c>
      <c r="E692" s="35">
        <v>42930.0</v>
      </c>
      <c r="F692" s="37" t="s">
        <v>150</v>
      </c>
      <c r="G692" s="30" t="s">
        <v>3185</v>
      </c>
      <c r="H692" s="30" t="s">
        <v>407</v>
      </c>
      <c r="I692" s="30" t="s">
        <v>407</v>
      </c>
      <c r="J692" s="30" t="s">
        <v>407</v>
      </c>
      <c r="K692" s="30" t="s">
        <v>323</v>
      </c>
      <c r="L692" s="30" t="s">
        <v>324</v>
      </c>
      <c r="M692" s="30" t="s">
        <v>1093</v>
      </c>
      <c r="N692" s="30" t="s">
        <v>145</v>
      </c>
      <c r="O692" s="30" t="s">
        <v>145</v>
      </c>
      <c r="P692" s="30" t="s">
        <v>145</v>
      </c>
      <c r="Q692" s="30" t="s">
        <v>1898</v>
      </c>
    </row>
    <row r="693" hidden="1">
      <c r="A693" s="33" t="s">
        <v>3974</v>
      </c>
      <c r="B693" s="30" t="s">
        <v>139</v>
      </c>
      <c r="C693" s="30" t="s">
        <v>140</v>
      </c>
      <c r="D693" s="30" t="s">
        <v>177</v>
      </c>
      <c r="E693" s="35">
        <v>42930.0</v>
      </c>
      <c r="F693" s="37" t="s">
        <v>154</v>
      </c>
      <c r="G693" s="30" t="s">
        <v>654</v>
      </c>
      <c r="H693" s="30" t="s">
        <v>145</v>
      </c>
      <c r="I693" s="30" t="s">
        <v>145</v>
      </c>
      <c r="J693" s="30" t="s">
        <v>145</v>
      </c>
      <c r="K693" s="30" t="s">
        <v>145</v>
      </c>
      <c r="L693" s="30" t="s">
        <v>145</v>
      </c>
      <c r="M693" s="30" t="s">
        <v>145</v>
      </c>
      <c r="N693" s="30" t="s">
        <v>145</v>
      </c>
      <c r="O693" s="30" t="s">
        <v>145</v>
      </c>
      <c r="P693" s="30" t="s">
        <v>145</v>
      </c>
      <c r="Q693" s="30" t="s">
        <v>146</v>
      </c>
    </row>
    <row r="694" hidden="1">
      <c r="A694" s="33" t="s">
        <v>3977</v>
      </c>
      <c r="B694" s="30" t="s">
        <v>139</v>
      </c>
      <c r="C694" s="30" t="s">
        <v>153</v>
      </c>
      <c r="D694" s="30" t="s">
        <v>140</v>
      </c>
      <c r="E694" s="35">
        <v>42930.0</v>
      </c>
      <c r="F694" s="37" t="s">
        <v>154</v>
      </c>
      <c r="G694" s="30" t="s">
        <v>3943</v>
      </c>
      <c r="H694" s="30" t="s">
        <v>145</v>
      </c>
      <c r="I694" s="30" t="s">
        <v>145</v>
      </c>
      <c r="J694" s="30" t="s">
        <v>145</v>
      </c>
      <c r="K694" s="30" t="s">
        <v>145</v>
      </c>
      <c r="L694" s="30" t="s">
        <v>145</v>
      </c>
      <c r="M694" s="30" t="s">
        <v>145</v>
      </c>
      <c r="N694" s="30" t="s">
        <v>145</v>
      </c>
      <c r="O694" s="30" t="s">
        <v>145</v>
      </c>
      <c r="P694" s="30" t="s">
        <v>145</v>
      </c>
      <c r="Q694" s="30" t="s">
        <v>223</v>
      </c>
    </row>
    <row r="695" hidden="1">
      <c r="A695" s="33" t="s">
        <v>3980</v>
      </c>
      <c r="B695" s="30" t="s">
        <v>139</v>
      </c>
      <c r="C695" s="30" t="s">
        <v>140</v>
      </c>
      <c r="D695" s="30" t="s">
        <v>141</v>
      </c>
      <c r="E695" s="35">
        <v>42930.0</v>
      </c>
      <c r="F695" s="37" t="s">
        <v>154</v>
      </c>
      <c r="G695" s="30" t="s">
        <v>1636</v>
      </c>
      <c r="H695" s="30" t="s">
        <v>145</v>
      </c>
      <c r="I695" s="30" t="s">
        <v>145</v>
      </c>
      <c r="J695" s="30" t="s">
        <v>145</v>
      </c>
      <c r="K695" s="30" t="s">
        <v>145</v>
      </c>
      <c r="L695" s="30" t="s">
        <v>145</v>
      </c>
      <c r="M695" s="30" t="s">
        <v>145</v>
      </c>
      <c r="N695" s="30" t="s">
        <v>145</v>
      </c>
      <c r="O695" s="30" t="s">
        <v>145</v>
      </c>
      <c r="P695" s="30" t="s">
        <v>145</v>
      </c>
      <c r="Q695" s="30" t="s">
        <v>146</v>
      </c>
    </row>
    <row r="696" hidden="1">
      <c r="A696" s="33" t="str">
        <f>hyperlink("https://issues.sierrawireless.com/browse/OEMPRI-4100", "OEMPRI-4100")</f>
        <v>OEMPRI-4100</v>
      </c>
      <c r="B696" s="30" t="s">
        <v>139</v>
      </c>
      <c r="C696" s="30" t="s">
        <v>140</v>
      </c>
      <c r="D696" s="30" t="s">
        <v>140</v>
      </c>
      <c r="E696" s="35">
        <v>42930.0</v>
      </c>
      <c r="F696" s="37" t="s">
        <v>154</v>
      </c>
      <c r="G696" s="30" t="s">
        <v>352</v>
      </c>
      <c r="H696" s="30" t="s">
        <v>145</v>
      </c>
      <c r="I696" s="30" t="s">
        <v>145</v>
      </c>
      <c r="J696" s="30" t="s">
        <v>145</v>
      </c>
      <c r="K696" s="30" t="s">
        <v>145</v>
      </c>
      <c r="L696" s="30" t="s">
        <v>145</v>
      </c>
      <c r="M696" s="30" t="s">
        <v>145</v>
      </c>
      <c r="N696" s="30" t="s">
        <v>145</v>
      </c>
      <c r="O696" s="30" t="s">
        <v>145</v>
      </c>
      <c r="P696" s="30" t="s">
        <v>145</v>
      </c>
      <c r="Q696" s="30" t="s">
        <v>146</v>
      </c>
    </row>
    <row r="697" hidden="1">
      <c r="A697" s="33" t="str">
        <f>hyperlink("https://issues.sierrawireless.com/browse/OEMPRI-4089", "OEMPRI-4089")</f>
        <v>OEMPRI-4089</v>
      </c>
      <c r="B697" s="30" t="s">
        <v>139</v>
      </c>
      <c r="C697" s="30" t="s">
        <v>140</v>
      </c>
      <c r="D697" s="30" t="s">
        <v>177</v>
      </c>
      <c r="E697" s="35">
        <v>42930.0</v>
      </c>
      <c r="F697" s="37" t="s">
        <v>154</v>
      </c>
      <c r="G697" s="30" t="s">
        <v>432</v>
      </c>
      <c r="H697" s="30" t="s">
        <v>145</v>
      </c>
      <c r="I697" s="30" t="s">
        <v>145</v>
      </c>
      <c r="J697" s="30" t="s">
        <v>145</v>
      </c>
      <c r="K697" s="30" t="s">
        <v>145</v>
      </c>
      <c r="L697" s="30" t="s">
        <v>145</v>
      </c>
      <c r="M697" s="30" t="s">
        <v>145</v>
      </c>
      <c r="N697" s="30" t="s">
        <v>145</v>
      </c>
      <c r="O697" s="30" t="s">
        <v>145</v>
      </c>
      <c r="P697" s="30" t="s">
        <v>145</v>
      </c>
      <c r="Q697" s="30" t="s">
        <v>146</v>
      </c>
    </row>
    <row r="698" hidden="1">
      <c r="A698" s="33" t="s">
        <v>3993</v>
      </c>
      <c r="B698" s="30" t="s">
        <v>139</v>
      </c>
      <c r="C698" s="30" t="s">
        <v>148</v>
      </c>
      <c r="D698" s="30" t="s">
        <v>283</v>
      </c>
      <c r="E698" s="35">
        <v>42929.0</v>
      </c>
      <c r="F698" s="37" t="s">
        <v>150</v>
      </c>
      <c r="G698" s="30" t="s">
        <v>1636</v>
      </c>
      <c r="H698" s="30" t="s">
        <v>146</v>
      </c>
      <c r="I698" s="30" t="s">
        <v>146</v>
      </c>
      <c r="J698" s="30" t="s">
        <v>1737</v>
      </c>
      <c r="K698" s="30" t="s">
        <v>152</v>
      </c>
      <c r="L698" s="30" t="s">
        <v>152</v>
      </c>
      <c r="M698" s="30" t="s">
        <v>4000</v>
      </c>
      <c r="N698" s="2" t="s">
        <v>146</v>
      </c>
      <c r="O698" s="30" t="s">
        <v>152</v>
      </c>
      <c r="P698" s="30" t="s">
        <v>152</v>
      </c>
      <c r="Q698" s="30" t="s">
        <v>152</v>
      </c>
    </row>
    <row r="699" hidden="1">
      <c r="A699" s="33" t="str">
        <f>hyperlink("https://issues.sierrawireless.com/browse/OEMPRI-4067", "OEMPRI-4067")</f>
        <v>OEMPRI-4067</v>
      </c>
      <c r="B699" s="30" t="s">
        <v>139</v>
      </c>
      <c r="C699" s="30" t="s">
        <v>140</v>
      </c>
      <c r="D699" s="30" t="s">
        <v>140</v>
      </c>
      <c r="E699" s="35">
        <v>42929.0</v>
      </c>
      <c r="F699" s="37" t="s">
        <v>154</v>
      </c>
      <c r="G699" s="30" t="s">
        <v>146</v>
      </c>
      <c r="H699" s="30" t="s">
        <v>145</v>
      </c>
      <c r="I699" s="30" t="s">
        <v>145</v>
      </c>
      <c r="J699" s="30" t="s">
        <v>145</v>
      </c>
      <c r="K699" s="30" t="s">
        <v>145</v>
      </c>
      <c r="L699" s="30" t="s">
        <v>145</v>
      </c>
      <c r="M699" s="30" t="s">
        <v>145</v>
      </c>
      <c r="N699" s="30" t="s">
        <v>145</v>
      </c>
      <c r="O699" s="30" t="s">
        <v>145</v>
      </c>
      <c r="P699" s="30" t="s">
        <v>145</v>
      </c>
      <c r="Q699" s="30" t="s">
        <v>146</v>
      </c>
    </row>
    <row r="700" hidden="1">
      <c r="A700" s="33" t="str">
        <f>hyperlink("https://issues.sierrawireless.com/browse/OEMPRI-4068", "OEMPRI-4068")</f>
        <v>OEMPRI-4068</v>
      </c>
      <c r="B700" s="30" t="s">
        <v>139</v>
      </c>
      <c r="C700" s="30" t="s">
        <v>140</v>
      </c>
      <c r="D700" s="30" t="s">
        <v>140</v>
      </c>
      <c r="E700" s="35">
        <v>42929.0</v>
      </c>
      <c r="F700" s="37" t="s">
        <v>154</v>
      </c>
      <c r="G700" s="30" t="s">
        <v>146</v>
      </c>
      <c r="H700" s="30" t="s">
        <v>145</v>
      </c>
      <c r="I700" s="30" t="s">
        <v>145</v>
      </c>
      <c r="J700" s="30" t="s">
        <v>145</v>
      </c>
      <c r="K700" s="30" t="s">
        <v>145</v>
      </c>
      <c r="L700" s="30" t="s">
        <v>145</v>
      </c>
      <c r="M700" s="30" t="s">
        <v>145</v>
      </c>
      <c r="N700" s="30" t="s">
        <v>145</v>
      </c>
      <c r="O700" s="30" t="s">
        <v>145</v>
      </c>
      <c r="P700" s="30" t="s">
        <v>145</v>
      </c>
      <c r="Q700" s="30" t="s">
        <v>146</v>
      </c>
    </row>
    <row r="701" hidden="1">
      <c r="A701" s="33" t="s">
        <v>4014</v>
      </c>
      <c r="B701" s="30" t="s">
        <v>139</v>
      </c>
      <c r="C701" s="30" t="s">
        <v>155</v>
      </c>
      <c r="D701" s="30" t="s">
        <v>155</v>
      </c>
      <c r="E701" s="35">
        <v>42927.0</v>
      </c>
      <c r="F701" s="37" t="s">
        <v>150</v>
      </c>
      <c r="G701" s="30" t="s">
        <v>1737</v>
      </c>
      <c r="H701" s="30" t="s">
        <v>407</v>
      </c>
      <c r="I701" s="30" t="s">
        <v>407</v>
      </c>
      <c r="J701" s="30" t="s">
        <v>239</v>
      </c>
      <c r="K701" s="30" t="s">
        <v>407</v>
      </c>
      <c r="L701" s="30" t="s">
        <v>158</v>
      </c>
      <c r="M701" s="30" t="s">
        <v>4018</v>
      </c>
      <c r="N701" s="30" t="s">
        <v>145</v>
      </c>
      <c r="O701" s="30" t="s">
        <v>145</v>
      </c>
      <c r="P701" s="30" t="s">
        <v>145</v>
      </c>
      <c r="Q701" s="30" t="s">
        <v>158</v>
      </c>
    </row>
    <row r="702" hidden="1">
      <c r="A702" s="33" t="s">
        <v>4022</v>
      </c>
      <c r="B702" s="30" t="s">
        <v>139</v>
      </c>
      <c r="C702" s="30" t="s">
        <v>140</v>
      </c>
      <c r="D702" s="30" t="s">
        <v>140</v>
      </c>
      <c r="E702" s="35">
        <v>42927.0</v>
      </c>
      <c r="F702" s="37" t="s">
        <v>184</v>
      </c>
      <c r="G702" s="30" t="s">
        <v>185</v>
      </c>
      <c r="H702" s="30" t="s">
        <v>145</v>
      </c>
      <c r="I702" s="30" t="s">
        <v>146</v>
      </c>
      <c r="J702" s="30" t="s">
        <v>264</v>
      </c>
      <c r="K702" s="30" t="s">
        <v>146</v>
      </c>
      <c r="L702" s="30" t="s">
        <v>146</v>
      </c>
      <c r="M702" s="30" t="s">
        <v>145</v>
      </c>
      <c r="N702" s="30" t="s">
        <v>145</v>
      </c>
      <c r="O702" s="30" t="s">
        <v>145</v>
      </c>
      <c r="P702" s="30" t="s">
        <v>145</v>
      </c>
      <c r="Q702" s="30" t="s">
        <v>146</v>
      </c>
    </row>
    <row r="703" hidden="1">
      <c r="A703" s="33" t="s">
        <v>4023</v>
      </c>
      <c r="B703" s="30" t="s">
        <v>139</v>
      </c>
      <c r="C703" s="30" t="s">
        <v>726</v>
      </c>
      <c r="D703" s="30" t="s">
        <v>726</v>
      </c>
      <c r="E703" s="35">
        <v>42927.0</v>
      </c>
      <c r="F703" s="37" t="s">
        <v>150</v>
      </c>
      <c r="G703" s="30" t="s">
        <v>514</v>
      </c>
      <c r="H703" s="30" t="s">
        <v>145</v>
      </c>
      <c r="I703" s="30" t="s">
        <v>152</v>
      </c>
      <c r="J703" s="30" t="s">
        <v>152</v>
      </c>
      <c r="K703" s="30" t="s">
        <v>4028</v>
      </c>
      <c r="L703" s="30" t="s">
        <v>145</v>
      </c>
      <c r="M703" s="30" t="s">
        <v>145</v>
      </c>
      <c r="N703" s="30" t="s">
        <v>145</v>
      </c>
      <c r="O703" s="30" t="s">
        <v>145</v>
      </c>
      <c r="P703" s="30" t="s">
        <v>145</v>
      </c>
      <c r="Q703" s="30" t="s">
        <v>1898</v>
      </c>
    </row>
    <row r="704" hidden="1">
      <c r="A704" s="33" t="s">
        <v>4030</v>
      </c>
      <c r="B704" s="30" t="s">
        <v>139</v>
      </c>
      <c r="C704" s="30" t="s">
        <v>122</v>
      </c>
      <c r="D704" s="30" t="s">
        <v>122</v>
      </c>
      <c r="E704" s="35">
        <v>42927.0</v>
      </c>
      <c r="F704" s="37" t="s">
        <v>150</v>
      </c>
      <c r="G704" s="30" t="s">
        <v>1093</v>
      </c>
      <c r="H704" s="30" t="s">
        <v>145</v>
      </c>
      <c r="I704" s="30" t="s">
        <v>407</v>
      </c>
      <c r="J704" s="30" t="s">
        <v>1773</v>
      </c>
      <c r="K704" s="30" t="s">
        <v>1773</v>
      </c>
      <c r="L704" s="30" t="s">
        <v>146</v>
      </c>
      <c r="M704" s="30" t="s">
        <v>146</v>
      </c>
      <c r="N704" s="30" t="s">
        <v>145</v>
      </c>
      <c r="O704" s="30" t="s">
        <v>145</v>
      </c>
      <c r="P704" s="30" t="s">
        <v>145</v>
      </c>
      <c r="Q704" s="30" t="s">
        <v>1898</v>
      </c>
    </row>
    <row r="705" hidden="1">
      <c r="A705" s="33" t="s">
        <v>4036</v>
      </c>
      <c r="B705" s="30" t="s">
        <v>139</v>
      </c>
      <c r="C705" s="30" t="s">
        <v>283</v>
      </c>
      <c r="D705" s="30" t="s">
        <v>283</v>
      </c>
      <c r="E705" s="35">
        <v>42927.0</v>
      </c>
      <c r="F705" s="37" t="s">
        <v>150</v>
      </c>
      <c r="G705" s="30" t="s">
        <v>407</v>
      </c>
      <c r="H705" s="30" t="s">
        <v>407</v>
      </c>
      <c r="I705" s="30" t="s">
        <v>407</v>
      </c>
      <c r="J705" s="30" t="s">
        <v>4040</v>
      </c>
      <c r="K705" s="30" t="s">
        <v>146</v>
      </c>
      <c r="L705" s="30" t="s">
        <v>146</v>
      </c>
      <c r="M705" s="30" t="s">
        <v>2361</v>
      </c>
      <c r="N705" s="30" t="s">
        <v>145</v>
      </c>
      <c r="O705" s="30" t="s">
        <v>145</v>
      </c>
      <c r="P705" s="30" t="s">
        <v>145</v>
      </c>
      <c r="Q705" s="30" t="s">
        <v>1898</v>
      </c>
    </row>
    <row r="706" hidden="1">
      <c r="A706" s="33" t="s">
        <v>4042</v>
      </c>
      <c r="B706" s="30" t="s">
        <v>139</v>
      </c>
      <c r="C706" s="30" t="s">
        <v>140</v>
      </c>
      <c r="D706" s="30" t="s">
        <v>283</v>
      </c>
      <c r="E706" s="35">
        <v>42926.0</v>
      </c>
      <c r="F706" s="37" t="s">
        <v>269</v>
      </c>
      <c r="G706" s="30" t="s">
        <v>1000</v>
      </c>
      <c r="H706" s="30" t="s">
        <v>145</v>
      </c>
      <c r="I706" s="30" t="s">
        <v>145</v>
      </c>
      <c r="J706" s="30" t="s">
        <v>145</v>
      </c>
      <c r="K706" s="30" t="s">
        <v>145</v>
      </c>
      <c r="L706" s="30" t="s">
        <v>145</v>
      </c>
      <c r="M706" s="30" t="s">
        <v>145</v>
      </c>
      <c r="N706" s="30" t="s">
        <v>145</v>
      </c>
      <c r="O706" s="30" t="s">
        <v>145</v>
      </c>
      <c r="P706" s="30" t="s">
        <v>145</v>
      </c>
      <c r="Q706" s="30" t="s">
        <v>146</v>
      </c>
    </row>
    <row r="707" hidden="1">
      <c r="A707" s="33" t="s">
        <v>4049</v>
      </c>
      <c r="B707" s="30" t="s">
        <v>139</v>
      </c>
      <c r="C707" s="30" t="s">
        <v>155</v>
      </c>
      <c r="D707" s="30" t="s">
        <v>155</v>
      </c>
      <c r="E707" s="35">
        <v>42926.0</v>
      </c>
      <c r="F707" s="37" t="s">
        <v>184</v>
      </c>
      <c r="G707" s="30" t="s">
        <v>4050</v>
      </c>
      <c r="H707" s="30" t="s">
        <v>145</v>
      </c>
      <c r="I707" s="30" t="s">
        <v>145</v>
      </c>
      <c r="J707" s="30" t="s">
        <v>145</v>
      </c>
      <c r="K707" s="30" t="s">
        <v>145</v>
      </c>
      <c r="L707" s="30" t="s">
        <v>145</v>
      </c>
      <c r="M707" s="30" t="s">
        <v>145</v>
      </c>
      <c r="N707" s="30" t="s">
        <v>145</v>
      </c>
      <c r="O707" s="30" t="s">
        <v>145</v>
      </c>
      <c r="P707" s="30" t="s">
        <v>145</v>
      </c>
      <c r="Q707" s="30" t="s">
        <v>158</v>
      </c>
    </row>
    <row r="708" hidden="1">
      <c r="A708" s="33" t="str">
        <f>hyperlink("https://issues.sierrawireless.com/browse/QTI9X28-1599", "QTI9X28-1599")</f>
        <v>QTI9X28-1599</v>
      </c>
      <c r="B708" s="30" t="s">
        <v>139</v>
      </c>
      <c r="C708" s="30" t="s">
        <v>1191</v>
      </c>
      <c r="D708" s="30" t="s">
        <v>1191</v>
      </c>
      <c r="E708" s="35">
        <v>42880.0</v>
      </c>
      <c r="F708" s="37" t="s">
        <v>207</v>
      </c>
      <c r="G708" s="30" t="s">
        <v>4055</v>
      </c>
      <c r="H708" s="30" t="s">
        <v>145</v>
      </c>
      <c r="I708" s="30" t="s">
        <v>145</v>
      </c>
      <c r="J708" s="30" t="s">
        <v>145</v>
      </c>
      <c r="K708" s="30" t="s">
        <v>145</v>
      </c>
      <c r="L708" s="30" t="s">
        <v>4058</v>
      </c>
      <c r="M708" s="2" t="s">
        <v>209</v>
      </c>
      <c r="N708" s="30" t="s">
        <v>145</v>
      </c>
      <c r="O708" s="30" t="s">
        <v>145</v>
      </c>
      <c r="P708" s="30" t="s">
        <v>145</v>
      </c>
      <c r="Q708" s="30" t="s">
        <v>209</v>
      </c>
    </row>
    <row r="709" hidden="1">
      <c r="A709" s="33" t="s">
        <v>4054</v>
      </c>
      <c r="B709" s="30" t="s">
        <v>139</v>
      </c>
      <c r="C709" s="30" t="s">
        <v>140</v>
      </c>
      <c r="D709" s="30" t="s">
        <v>140</v>
      </c>
      <c r="E709" s="35">
        <v>42926.0</v>
      </c>
      <c r="F709" s="37" t="s">
        <v>184</v>
      </c>
      <c r="G709" s="30" t="s">
        <v>146</v>
      </c>
      <c r="H709" s="30" t="s">
        <v>145</v>
      </c>
      <c r="I709" s="30" t="s">
        <v>145</v>
      </c>
      <c r="J709" s="30" t="s">
        <v>145</v>
      </c>
      <c r="K709" s="30" t="s">
        <v>145</v>
      </c>
      <c r="L709" s="30" t="s">
        <v>145</v>
      </c>
      <c r="M709" s="30" t="s">
        <v>145</v>
      </c>
      <c r="N709" s="30" t="s">
        <v>145</v>
      </c>
      <c r="O709" s="30" t="s">
        <v>145</v>
      </c>
      <c r="P709" s="30" t="s">
        <v>145</v>
      </c>
      <c r="Q709" s="30" t="s">
        <v>146</v>
      </c>
    </row>
    <row r="710" hidden="1">
      <c r="A710" s="33" t="str">
        <f>hyperlink("https://issues.sierrawireless.com/browse/OEMPRI-6923", "OEMPRI-6923")</f>
        <v>OEMPRI-6923</v>
      </c>
      <c r="B710" s="30" t="s">
        <v>139</v>
      </c>
      <c r="C710" s="30" t="s">
        <v>148</v>
      </c>
      <c r="D710" s="30" t="s">
        <v>170</v>
      </c>
      <c r="E710" s="35">
        <v>43216.0</v>
      </c>
      <c r="F710" s="37" t="s">
        <v>150</v>
      </c>
      <c r="G710" s="30" t="s">
        <v>1441</v>
      </c>
      <c r="H710" s="30" t="s">
        <v>146</v>
      </c>
      <c r="I710" s="30" t="s">
        <v>163</v>
      </c>
      <c r="J710" s="30" t="s">
        <v>163</v>
      </c>
      <c r="K710" s="30" t="s">
        <v>156</v>
      </c>
      <c r="L710" s="30" t="s">
        <v>145</v>
      </c>
      <c r="M710" s="30" t="s">
        <v>145</v>
      </c>
      <c r="N710" s="30" t="s">
        <v>145</v>
      </c>
      <c r="O710" s="30" t="s">
        <v>145</v>
      </c>
      <c r="P710" s="30" t="s">
        <v>145</v>
      </c>
      <c r="Q710" s="30" t="s">
        <v>152</v>
      </c>
    </row>
    <row r="711" hidden="1">
      <c r="A711" s="33" t="s">
        <v>4060</v>
      </c>
      <c r="B711" s="30" t="s">
        <v>139</v>
      </c>
      <c r="C711" s="30" t="s">
        <v>140</v>
      </c>
      <c r="D711" s="30" t="s">
        <v>233</v>
      </c>
      <c r="E711" s="35">
        <v>42924.0</v>
      </c>
      <c r="F711" s="37" t="s">
        <v>269</v>
      </c>
      <c r="G711" s="30" t="s">
        <v>970</v>
      </c>
      <c r="H711" s="30" t="s">
        <v>145</v>
      </c>
      <c r="I711" s="30" t="s">
        <v>145</v>
      </c>
      <c r="J711" s="30" t="s">
        <v>145</v>
      </c>
      <c r="K711" s="30" t="s">
        <v>145</v>
      </c>
      <c r="L711" s="30" t="s">
        <v>145</v>
      </c>
      <c r="M711" s="30" t="s">
        <v>145</v>
      </c>
      <c r="N711" s="30" t="s">
        <v>145</v>
      </c>
      <c r="O711" s="30" t="s">
        <v>145</v>
      </c>
      <c r="P711" s="30" t="s">
        <v>145</v>
      </c>
      <c r="Q711" s="30" t="s">
        <v>146</v>
      </c>
    </row>
    <row r="712" hidden="1">
      <c r="A712" s="33" t="s">
        <v>4064</v>
      </c>
      <c r="B712" s="30" t="s">
        <v>139</v>
      </c>
      <c r="C712" s="30" t="s">
        <v>140</v>
      </c>
      <c r="D712" s="30" t="s">
        <v>140</v>
      </c>
      <c r="E712" s="35">
        <v>42924.0</v>
      </c>
      <c r="F712" s="37" t="s">
        <v>452</v>
      </c>
      <c r="G712" s="30" t="s">
        <v>1441</v>
      </c>
      <c r="H712" s="30" t="s">
        <v>145</v>
      </c>
      <c r="I712" s="30" t="s">
        <v>146</v>
      </c>
      <c r="J712" s="30" t="s">
        <v>146</v>
      </c>
      <c r="K712" s="30" t="s">
        <v>146</v>
      </c>
      <c r="L712" s="30" t="s">
        <v>146</v>
      </c>
      <c r="M712" s="30" t="s">
        <v>145</v>
      </c>
      <c r="N712" s="30" t="s">
        <v>145</v>
      </c>
      <c r="O712" s="30" t="s">
        <v>145</v>
      </c>
      <c r="P712" s="30" t="s">
        <v>145</v>
      </c>
      <c r="Q712" s="30" t="s">
        <v>146</v>
      </c>
    </row>
    <row r="713" hidden="1">
      <c r="A713" s="33" t="s">
        <v>4068</v>
      </c>
      <c r="B713" s="30" t="s">
        <v>139</v>
      </c>
      <c r="C713" s="30" t="s">
        <v>140</v>
      </c>
      <c r="D713" s="30" t="s">
        <v>140</v>
      </c>
      <c r="E713" s="35">
        <v>42924.0</v>
      </c>
      <c r="F713" s="37" t="s">
        <v>452</v>
      </c>
      <c r="G713" s="30" t="s">
        <v>1441</v>
      </c>
      <c r="H713" s="30" t="s">
        <v>145</v>
      </c>
      <c r="I713" s="30" t="s">
        <v>146</v>
      </c>
      <c r="J713" s="30" t="s">
        <v>146</v>
      </c>
      <c r="K713" s="30" t="s">
        <v>146</v>
      </c>
      <c r="L713" s="30" t="s">
        <v>146</v>
      </c>
      <c r="M713" s="30" t="s">
        <v>145</v>
      </c>
      <c r="N713" s="30" t="s">
        <v>145</v>
      </c>
      <c r="O713" s="30" t="s">
        <v>145</v>
      </c>
      <c r="P713" s="30" t="s">
        <v>145</v>
      </c>
      <c r="Q713" s="30" t="s">
        <v>146</v>
      </c>
    </row>
    <row r="714" hidden="1">
      <c r="A714" s="33" t="s">
        <v>4071</v>
      </c>
      <c r="B714" s="30" t="s">
        <v>139</v>
      </c>
      <c r="C714" s="30" t="s">
        <v>141</v>
      </c>
      <c r="D714" s="30" t="s">
        <v>244</v>
      </c>
      <c r="E714" s="35">
        <v>42923.0</v>
      </c>
      <c r="F714" s="37" t="s">
        <v>154</v>
      </c>
      <c r="G714" s="30" t="s">
        <v>2140</v>
      </c>
      <c r="H714" s="30" t="s">
        <v>145</v>
      </c>
      <c r="I714" s="30" t="s">
        <v>145</v>
      </c>
      <c r="J714" s="30" t="s">
        <v>145</v>
      </c>
      <c r="K714" s="30" t="s">
        <v>145</v>
      </c>
      <c r="L714" s="30" t="s">
        <v>145</v>
      </c>
      <c r="M714" s="30" t="s">
        <v>145</v>
      </c>
      <c r="N714" s="30" t="s">
        <v>145</v>
      </c>
      <c r="O714" s="30" t="s">
        <v>145</v>
      </c>
      <c r="P714" s="30" t="s">
        <v>145</v>
      </c>
      <c r="Q714" s="30" t="s">
        <v>180</v>
      </c>
    </row>
    <row r="715" hidden="1">
      <c r="A715" s="33" t="s">
        <v>4075</v>
      </c>
      <c r="B715" s="30" t="s">
        <v>139</v>
      </c>
      <c r="C715" s="30" t="s">
        <v>140</v>
      </c>
      <c r="D715" s="30" t="s">
        <v>140</v>
      </c>
      <c r="E715" s="35">
        <v>42923.0</v>
      </c>
      <c r="F715" s="37" t="s">
        <v>184</v>
      </c>
      <c r="G715" s="30" t="s">
        <v>146</v>
      </c>
      <c r="H715" s="30" t="s">
        <v>145</v>
      </c>
      <c r="I715" s="30" t="s">
        <v>146</v>
      </c>
      <c r="J715" s="30" t="s">
        <v>146</v>
      </c>
      <c r="K715" s="30" t="s">
        <v>146</v>
      </c>
      <c r="L715" s="30" t="s">
        <v>145</v>
      </c>
      <c r="M715" s="30" t="s">
        <v>145</v>
      </c>
      <c r="N715" s="30" t="s">
        <v>145</v>
      </c>
      <c r="O715" s="30" t="s">
        <v>145</v>
      </c>
      <c r="P715" s="30" t="s">
        <v>145</v>
      </c>
      <c r="Q715" s="30" t="s">
        <v>146</v>
      </c>
    </row>
    <row r="716" hidden="1">
      <c r="A716" s="33" t="s">
        <v>4079</v>
      </c>
      <c r="B716" s="30" t="s">
        <v>139</v>
      </c>
      <c r="C716" s="30" t="s">
        <v>453</v>
      </c>
      <c r="D716" s="30" t="s">
        <v>244</v>
      </c>
      <c r="E716" s="35">
        <v>42923.0</v>
      </c>
      <c r="F716" s="37" t="s">
        <v>154</v>
      </c>
      <c r="G716" s="30" t="s">
        <v>2544</v>
      </c>
      <c r="H716" s="30" t="s">
        <v>145</v>
      </c>
      <c r="I716" s="30" t="s">
        <v>145</v>
      </c>
      <c r="J716" s="30" t="s">
        <v>145</v>
      </c>
      <c r="K716" s="30" t="s">
        <v>145</v>
      </c>
      <c r="L716" s="30" t="s">
        <v>145</v>
      </c>
      <c r="M716" s="30" t="s">
        <v>145</v>
      </c>
      <c r="N716" s="30" t="s">
        <v>145</v>
      </c>
      <c r="O716" s="30" t="s">
        <v>145</v>
      </c>
      <c r="P716" s="30" t="s">
        <v>145</v>
      </c>
      <c r="Q716" s="30" t="s">
        <v>2544</v>
      </c>
    </row>
    <row r="717" hidden="1">
      <c r="A717" s="33" t="s">
        <v>4082</v>
      </c>
      <c r="B717" s="30" t="s">
        <v>139</v>
      </c>
      <c r="C717" s="30" t="s">
        <v>1367</v>
      </c>
      <c r="D717" s="30" t="s">
        <v>244</v>
      </c>
      <c r="E717" s="35">
        <v>42923.0</v>
      </c>
      <c r="F717" s="37" t="s">
        <v>154</v>
      </c>
      <c r="G717" s="30" t="s">
        <v>4095</v>
      </c>
      <c r="H717" s="30" t="s">
        <v>145</v>
      </c>
      <c r="I717" s="30" t="s">
        <v>145</v>
      </c>
      <c r="J717" s="30" t="s">
        <v>145</v>
      </c>
      <c r="K717" s="30" t="s">
        <v>145</v>
      </c>
      <c r="L717" s="30" t="s">
        <v>145</v>
      </c>
      <c r="M717" s="30" t="s">
        <v>145</v>
      </c>
      <c r="N717" s="30" t="s">
        <v>145</v>
      </c>
      <c r="O717" s="30" t="s">
        <v>145</v>
      </c>
      <c r="P717" s="30" t="s">
        <v>145</v>
      </c>
      <c r="Q717" s="30" t="s">
        <v>2544</v>
      </c>
    </row>
    <row r="718" hidden="1">
      <c r="A718" s="33" t="s">
        <v>4086</v>
      </c>
      <c r="B718" s="30" t="s">
        <v>139</v>
      </c>
      <c r="C718" s="30" t="s">
        <v>244</v>
      </c>
      <c r="D718" s="30" t="s">
        <v>244</v>
      </c>
      <c r="E718" s="35">
        <v>42923.0</v>
      </c>
      <c r="F718" s="37" t="s">
        <v>150</v>
      </c>
      <c r="G718" s="30" t="s">
        <v>171</v>
      </c>
      <c r="H718" s="30" t="s">
        <v>146</v>
      </c>
      <c r="I718" s="30" t="s">
        <v>146</v>
      </c>
      <c r="J718" s="30" t="s">
        <v>531</v>
      </c>
      <c r="K718" s="30" t="s">
        <v>407</v>
      </c>
      <c r="L718" s="30" t="s">
        <v>163</v>
      </c>
      <c r="M718" s="30" t="s">
        <v>1798</v>
      </c>
      <c r="N718" s="30" t="s">
        <v>145</v>
      </c>
      <c r="O718" s="30" t="s">
        <v>145</v>
      </c>
      <c r="P718" s="30" t="s">
        <v>145</v>
      </c>
      <c r="Q718" s="30" t="s">
        <v>1898</v>
      </c>
    </row>
    <row r="719" hidden="1">
      <c r="A719" s="33" t="s">
        <v>4090</v>
      </c>
      <c r="B719" s="30" t="s">
        <v>139</v>
      </c>
      <c r="C719" s="30" t="s">
        <v>244</v>
      </c>
      <c r="D719" s="30" t="s">
        <v>244</v>
      </c>
      <c r="E719" s="35">
        <v>42923.0</v>
      </c>
      <c r="F719" s="37" t="s">
        <v>150</v>
      </c>
      <c r="G719" s="30" t="s">
        <v>140</v>
      </c>
      <c r="H719" s="30" t="s">
        <v>185</v>
      </c>
      <c r="I719" s="30" t="s">
        <v>146</v>
      </c>
      <c r="J719" s="30" t="s">
        <v>146</v>
      </c>
      <c r="K719" s="30" t="s">
        <v>618</v>
      </c>
      <c r="L719" s="30" t="s">
        <v>171</v>
      </c>
      <c r="M719" s="30" t="s">
        <v>1749</v>
      </c>
      <c r="N719" s="30" t="s">
        <v>145</v>
      </c>
      <c r="O719" s="30" t="s">
        <v>145</v>
      </c>
      <c r="P719" s="30" t="s">
        <v>145</v>
      </c>
      <c r="Q719" s="30" t="s">
        <v>1898</v>
      </c>
    </row>
    <row r="720" hidden="1">
      <c r="A720" s="33" t="s">
        <v>4094</v>
      </c>
      <c r="B720" s="30" t="s">
        <v>139</v>
      </c>
      <c r="C720" s="30" t="s">
        <v>141</v>
      </c>
      <c r="D720" s="30" t="s">
        <v>141</v>
      </c>
      <c r="E720" s="35">
        <v>42922.0</v>
      </c>
      <c r="F720" s="37" t="s">
        <v>154</v>
      </c>
      <c r="G720" s="30" t="s">
        <v>180</v>
      </c>
      <c r="H720" s="30" t="s">
        <v>145</v>
      </c>
      <c r="I720" s="30" t="s">
        <v>145</v>
      </c>
      <c r="J720" s="30" t="s">
        <v>145</v>
      </c>
      <c r="K720" s="30" t="s">
        <v>145</v>
      </c>
      <c r="L720" s="30" t="s">
        <v>145</v>
      </c>
      <c r="M720" s="30" t="s">
        <v>145</v>
      </c>
      <c r="N720" s="30" t="s">
        <v>145</v>
      </c>
      <c r="O720" s="30" t="s">
        <v>145</v>
      </c>
      <c r="P720" s="30" t="s">
        <v>145</v>
      </c>
      <c r="Q720" s="30" t="s">
        <v>180</v>
      </c>
    </row>
    <row r="721" hidden="1">
      <c r="A721" s="33" t="s">
        <v>4099</v>
      </c>
      <c r="B721" s="30" t="s">
        <v>139</v>
      </c>
      <c r="C721" s="30" t="s">
        <v>283</v>
      </c>
      <c r="D721" s="30" t="s">
        <v>153</v>
      </c>
      <c r="E721" s="35">
        <v>42922.0</v>
      </c>
      <c r="F721" s="37" t="s">
        <v>154</v>
      </c>
      <c r="G721" s="30" t="s">
        <v>4112</v>
      </c>
      <c r="H721" s="30" t="s">
        <v>145</v>
      </c>
      <c r="I721" s="30" t="s">
        <v>145</v>
      </c>
      <c r="J721" s="30" t="s">
        <v>145</v>
      </c>
      <c r="K721" s="30" t="s">
        <v>145</v>
      </c>
      <c r="L721" s="30" t="s">
        <v>145</v>
      </c>
      <c r="M721" s="30" t="s">
        <v>145</v>
      </c>
      <c r="N721" s="30" t="s">
        <v>145</v>
      </c>
      <c r="O721" s="30" t="s">
        <v>145</v>
      </c>
      <c r="P721" s="30" t="s">
        <v>145</v>
      </c>
      <c r="Q721" s="30" t="s">
        <v>407</v>
      </c>
    </row>
    <row r="722" hidden="1">
      <c r="A722" s="33" t="s">
        <v>4103</v>
      </c>
      <c r="B722" s="30" t="s">
        <v>139</v>
      </c>
      <c r="C722" s="30" t="s">
        <v>141</v>
      </c>
      <c r="D722" s="30" t="s">
        <v>141</v>
      </c>
      <c r="E722" s="35">
        <v>42922.0</v>
      </c>
      <c r="F722" s="37" t="s">
        <v>154</v>
      </c>
      <c r="G722" s="30" t="s">
        <v>180</v>
      </c>
      <c r="H722" s="30" t="s">
        <v>145</v>
      </c>
      <c r="I722" s="30" t="s">
        <v>145</v>
      </c>
      <c r="J722" s="30" t="s">
        <v>145</v>
      </c>
      <c r="K722" s="30" t="s">
        <v>145</v>
      </c>
      <c r="L722" s="30" t="s">
        <v>145</v>
      </c>
      <c r="M722" s="30" t="s">
        <v>145</v>
      </c>
      <c r="N722" s="30" t="s">
        <v>145</v>
      </c>
      <c r="O722" s="30" t="s">
        <v>145</v>
      </c>
      <c r="P722" s="30" t="s">
        <v>145</v>
      </c>
      <c r="Q722" s="30" t="s">
        <v>180</v>
      </c>
    </row>
    <row r="723" hidden="1">
      <c r="A723" s="33" t="s">
        <v>4107</v>
      </c>
      <c r="B723" s="30" t="s">
        <v>139</v>
      </c>
      <c r="C723" s="30" t="s">
        <v>141</v>
      </c>
      <c r="D723" s="30" t="s">
        <v>141</v>
      </c>
      <c r="E723" s="35">
        <v>42922.0</v>
      </c>
      <c r="F723" s="37" t="s">
        <v>154</v>
      </c>
      <c r="G723" s="30" t="s">
        <v>180</v>
      </c>
      <c r="H723" s="30" t="s">
        <v>145</v>
      </c>
      <c r="I723" s="30" t="s">
        <v>145</v>
      </c>
      <c r="J723" s="30" t="s">
        <v>145</v>
      </c>
      <c r="K723" s="30" t="s">
        <v>145</v>
      </c>
      <c r="L723" s="30" t="s">
        <v>145</v>
      </c>
      <c r="M723" s="30" t="s">
        <v>145</v>
      </c>
      <c r="N723" s="30" t="s">
        <v>145</v>
      </c>
      <c r="O723" s="30" t="s">
        <v>145</v>
      </c>
      <c r="P723" s="30" t="s">
        <v>145</v>
      </c>
      <c r="Q723" s="30" t="s">
        <v>986</v>
      </c>
    </row>
    <row r="724" hidden="1">
      <c r="A724" s="33" t="s">
        <v>4111</v>
      </c>
      <c r="B724" s="30" t="s">
        <v>139</v>
      </c>
      <c r="C724" s="30" t="s">
        <v>453</v>
      </c>
      <c r="D724" s="30" t="s">
        <v>141</v>
      </c>
      <c r="E724" s="35">
        <v>42922.0</v>
      </c>
      <c r="F724" s="37" t="s">
        <v>154</v>
      </c>
      <c r="G724" s="30" t="s">
        <v>2587</v>
      </c>
      <c r="H724" s="30" t="s">
        <v>145</v>
      </c>
      <c r="I724" s="30" t="s">
        <v>145</v>
      </c>
      <c r="J724" s="30" t="s">
        <v>145</v>
      </c>
      <c r="K724" s="30" t="s">
        <v>145</v>
      </c>
      <c r="L724" s="30" t="s">
        <v>145</v>
      </c>
      <c r="M724" s="30" t="s">
        <v>145</v>
      </c>
      <c r="N724" s="30" t="s">
        <v>145</v>
      </c>
      <c r="O724" s="30" t="s">
        <v>145</v>
      </c>
      <c r="P724" s="30" t="s">
        <v>145</v>
      </c>
      <c r="Q724" s="30" t="s">
        <v>180</v>
      </c>
    </row>
    <row r="725" hidden="1">
      <c r="A725" s="33" t="s">
        <v>4116</v>
      </c>
      <c r="B725" s="30" t="s">
        <v>139</v>
      </c>
      <c r="C725" s="30" t="s">
        <v>453</v>
      </c>
      <c r="D725" s="30" t="s">
        <v>141</v>
      </c>
      <c r="E725" s="35">
        <v>42922.0</v>
      </c>
      <c r="F725" s="37" t="s">
        <v>154</v>
      </c>
      <c r="G725" s="30" t="s">
        <v>2587</v>
      </c>
      <c r="H725" s="30" t="s">
        <v>145</v>
      </c>
      <c r="I725" s="30" t="s">
        <v>145</v>
      </c>
      <c r="J725" s="30" t="s">
        <v>145</v>
      </c>
      <c r="K725" s="30" t="s">
        <v>145</v>
      </c>
      <c r="L725" s="30" t="s">
        <v>145</v>
      </c>
      <c r="M725" s="30" t="s">
        <v>145</v>
      </c>
      <c r="N725" s="30" t="s">
        <v>145</v>
      </c>
      <c r="O725" s="30" t="s">
        <v>145</v>
      </c>
      <c r="P725" s="30" t="s">
        <v>145</v>
      </c>
      <c r="Q725" s="30" t="s">
        <v>180</v>
      </c>
    </row>
    <row r="726" hidden="1">
      <c r="A726" s="33" t="s">
        <v>4120</v>
      </c>
      <c r="B726" s="30" t="s">
        <v>139</v>
      </c>
      <c r="C726" s="30" t="s">
        <v>148</v>
      </c>
      <c r="D726" s="30" t="s">
        <v>141</v>
      </c>
      <c r="E726" s="35">
        <v>42922.0</v>
      </c>
      <c r="F726" s="37" t="s">
        <v>154</v>
      </c>
      <c r="G726" s="30" t="s">
        <v>4137</v>
      </c>
      <c r="H726" s="30" t="s">
        <v>145</v>
      </c>
      <c r="I726" s="30" t="s">
        <v>145</v>
      </c>
      <c r="J726" s="30" t="s">
        <v>145</v>
      </c>
      <c r="K726" s="30" t="s">
        <v>145</v>
      </c>
      <c r="L726" s="30" t="s">
        <v>145</v>
      </c>
      <c r="M726" s="30" t="s">
        <v>145</v>
      </c>
      <c r="N726" s="30" t="s">
        <v>145</v>
      </c>
      <c r="O726" s="30" t="s">
        <v>145</v>
      </c>
      <c r="P726" s="30" t="s">
        <v>145</v>
      </c>
      <c r="Q726" s="30" t="s">
        <v>213</v>
      </c>
    </row>
    <row r="727" hidden="1">
      <c r="A727" s="33" t="s">
        <v>4124</v>
      </c>
      <c r="B727" s="30" t="s">
        <v>139</v>
      </c>
      <c r="C727" s="30" t="s">
        <v>1587</v>
      </c>
      <c r="D727" s="30" t="s">
        <v>283</v>
      </c>
      <c r="E727" s="35">
        <v>42922.0</v>
      </c>
      <c r="F727" s="37" t="s">
        <v>154</v>
      </c>
      <c r="G727" s="30" t="s">
        <v>4142</v>
      </c>
      <c r="H727" s="30" t="s">
        <v>145</v>
      </c>
      <c r="I727" s="30" t="s">
        <v>145</v>
      </c>
      <c r="J727" s="30" t="s">
        <v>145</v>
      </c>
      <c r="K727" s="30" t="s">
        <v>145</v>
      </c>
      <c r="L727" s="30" t="s">
        <v>145</v>
      </c>
      <c r="M727" s="30" t="s">
        <v>145</v>
      </c>
      <c r="N727" s="30" t="s">
        <v>145</v>
      </c>
      <c r="O727" s="30" t="s">
        <v>145</v>
      </c>
      <c r="P727" s="30" t="s">
        <v>145</v>
      </c>
      <c r="Q727" s="30" t="s">
        <v>2527</v>
      </c>
    </row>
    <row r="728" hidden="1">
      <c r="A728" s="33" t="s">
        <v>4128</v>
      </c>
      <c r="B728" s="30" t="s">
        <v>139</v>
      </c>
      <c r="C728" s="30" t="s">
        <v>141</v>
      </c>
      <c r="D728" s="30" t="s">
        <v>141</v>
      </c>
      <c r="E728" s="35">
        <v>42922.0</v>
      </c>
      <c r="F728" s="37" t="s">
        <v>154</v>
      </c>
      <c r="G728" s="30" t="s">
        <v>180</v>
      </c>
      <c r="H728" s="30" t="s">
        <v>145</v>
      </c>
      <c r="I728" s="30" t="s">
        <v>145</v>
      </c>
      <c r="J728" s="30" t="s">
        <v>145</v>
      </c>
      <c r="K728" s="30" t="s">
        <v>145</v>
      </c>
      <c r="L728" s="30" t="s">
        <v>145</v>
      </c>
      <c r="M728" s="30" t="s">
        <v>145</v>
      </c>
      <c r="N728" s="30" t="s">
        <v>145</v>
      </c>
      <c r="O728" s="30" t="s">
        <v>145</v>
      </c>
      <c r="P728" s="30" t="s">
        <v>145</v>
      </c>
      <c r="Q728" s="30" t="s">
        <v>180</v>
      </c>
    </row>
    <row r="729" hidden="1">
      <c r="A729" s="33" t="s">
        <v>4132</v>
      </c>
      <c r="B729" s="30" t="s">
        <v>139</v>
      </c>
      <c r="C729" s="30" t="s">
        <v>453</v>
      </c>
      <c r="D729" s="30" t="s">
        <v>141</v>
      </c>
      <c r="E729" s="35">
        <v>42922.0</v>
      </c>
      <c r="F729" s="37" t="s">
        <v>154</v>
      </c>
      <c r="G729" s="30" t="s">
        <v>2587</v>
      </c>
      <c r="H729" s="30" t="s">
        <v>145</v>
      </c>
      <c r="I729" s="30" t="s">
        <v>145</v>
      </c>
      <c r="J729" s="30" t="s">
        <v>145</v>
      </c>
      <c r="K729" s="30" t="s">
        <v>145</v>
      </c>
      <c r="L729" s="30" t="s">
        <v>145</v>
      </c>
      <c r="M729" s="30" t="s">
        <v>145</v>
      </c>
      <c r="N729" s="30" t="s">
        <v>145</v>
      </c>
      <c r="O729" s="30" t="s">
        <v>145</v>
      </c>
      <c r="P729" s="30" t="s">
        <v>145</v>
      </c>
      <c r="Q729" s="30" t="s">
        <v>180</v>
      </c>
    </row>
    <row r="730" hidden="1">
      <c r="A730" s="33" t="str">
        <f>hyperlink("https://issues.sierrawireless.com/browse/COUGAR-2481", "COUGAR-2481")</f>
        <v>COUGAR-2481</v>
      </c>
      <c r="B730" s="30" t="s">
        <v>139</v>
      </c>
      <c r="C730" s="30" t="s">
        <v>4160</v>
      </c>
      <c r="D730" s="30" t="s">
        <v>285</v>
      </c>
      <c r="E730" s="43">
        <v>43068.0</v>
      </c>
      <c r="F730" s="44" t="s">
        <v>165</v>
      </c>
      <c r="G730" s="2" t="s">
        <v>1667</v>
      </c>
      <c r="H730" s="30" t="s">
        <v>145</v>
      </c>
      <c r="I730" s="30" t="s">
        <v>145</v>
      </c>
      <c r="J730" s="30" t="s">
        <v>145</v>
      </c>
      <c r="K730" s="30" t="s">
        <v>145</v>
      </c>
      <c r="L730" s="30" t="s">
        <v>146</v>
      </c>
      <c r="M730" s="30" t="s">
        <v>4165</v>
      </c>
      <c r="N730" s="30" t="s">
        <v>145</v>
      </c>
      <c r="O730" s="30" t="s">
        <v>145</v>
      </c>
      <c r="P730" s="30" t="s">
        <v>145</v>
      </c>
      <c r="Q730" s="30" t="s">
        <v>4167</v>
      </c>
    </row>
    <row r="731" hidden="1">
      <c r="A731" s="33" t="s">
        <v>4136</v>
      </c>
      <c r="B731" s="30" t="s">
        <v>139</v>
      </c>
      <c r="C731" s="30" t="s">
        <v>141</v>
      </c>
      <c r="D731" s="30" t="s">
        <v>141</v>
      </c>
      <c r="E731" s="35">
        <v>42922.0</v>
      </c>
      <c r="F731" s="37" t="s">
        <v>154</v>
      </c>
      <c r="G731" s="30" t="s">
        <v>180</v>
      </c>
      <c r="H731" s="30" t="s">
        <v>145</v>
      </c>
      <c r="I731" s="30" t="s">
        <v>145</v>
      </c>
      <c r="J731" s="30" t="s">
        <v>145</v>
      </c>
      <c r="K731" s="30" t="s">
        <v>145</v>
      </c>
      <c r="L731" s="30" t="s">
        <v>145</v>
      </c>
      <c r="M731" s="30" t="s">
        <v>145</v>
      </c>
      <c r="N731" s="30" t="s">
        <v>145</v>
      </c>
      <c r="O731" s="30" t="s">
        <v>145</v>
      </c>
      <c r="P731" s="30" t="s">
        <v>145</v>
      </c>
      <c r="Q731" s="30" t="s">
        <v>180</v>
      </c>
    </row>
    <row r="732" hidden="1">
      <c r="A732" s="33" t="s">
        <v>4141</v>
      </c>
      <c r="B732" s="30" t="s">
        <v>139</v>
      </c>
      <c r="C732" s="30" t="s">
        <v>453</v>
      </c>
      <c r="D732" s="30" t="s">
        <v>141</v>
      </c>
      <c r="E732" s="35">
        <v>42922.0</v>
      </c>
      <c r="F732" s="37" t="s">
        <v>154</v>
      </c>
      <c r="G732" s="30" t="s">
        <v>2587</v>
      </c>
      <c r="H732" s="30" t="s">
        <v>145</v>
      </c>
      <c r="I732" s="30" t="s">
        <v>145</v>
      </c>
      <c r="J732" s="30" t="s">
        <v>145</v>
      </c>
      <c r="K732" s="30" t="s">
        <v>145</v>
      </c>
      <c r="L732" s="30" t="s">
        <v>145</v>
      </c>
      <c r="M732" s="30" t="s">
        <v>145</v>
      </c>
      <c r="N732" s="30" t="s">
        <v>145</v>
      </c>
      <c r="O732" s="30" t="s">
        <v>145</v>
      </c>
      <c r="P732" s="30" t="s">
        <v>145</v>
      </c>
      <c r="Q732" s="30" t="s">
        <v>180</v>
      </c>
    </row>
    <row r="733" hidden="1">
      <c r="A733" s="33" t="s">
        <v>4145</v>
      </c>
      <c r="B733" s="30" t="s">
        <v>139</v>
      </c>
      <c r="C733" s="30" t="s">
        <v>141</v>
      </c>
      <c r="D733" s="30" t="s">
        <v>141</v>
      </c>
      <c r="E733" s="35">
        <v>42922.0</v>
      </c>
      <c r="F733" s="37" t="s">
        <v>154</v>
      </c>
      <c r="G733" s="30" t="s">
        <v>180</v>
      </c>
      <c r="H733" s="30" t="s">
        <v>145</v>
      </c>
      <c r="I733" s="30" t="s">
        <v>145</v>
      </c>
      <c r="J733" s="30" t="s">
        <v>145</v>
      </c>
      <c r="K733" s="30" t="s">
        <v>145</v>
      </c>
      <c r="L733" s="30" t="s">
        <v>145</v>
      </c>
      <c r="M733" s="30" t="s">
        <v>145</v>
      </c>
      <c r="N733" s="30" t="s">
        <v>145</v>
      </c>
      <c r="O733" s="30" t="s">
        <v>145</v>
      </c>
      <c r="P733" s="30" t="s">
        <v>145</v>
      </c>
      <c r="Q733" s="30" t="s">
        <v>180</v>
      </c>
    </row>
    <row r="734" hidden="1">
      <c r="A734" s="33" t="s">
        <v>4149</v>
      </c>
      <c r="B734" s="30" t="s">
        <v>139</v>
      </c>
      <c r="C734" s="30" t="s">
        <v>141</v>
      </c>
      <c r="D734" s="30" t="s">
        <v>141</v>
      </c>
      <c r="E734" s="35">
        <v>42922.0</v>
      </c>
      <c r="F734" s="37" t="s">
        <v>154</v>
      </c>
      <c r="G734" s="30" t="s">
        <v>180</v>
      </c>
      <c r="H734" s="30" t="s">
        <v>145</v>
      </c>
      <c r="I734" s="30" t="s">
        <v>145</v>
      </c>
      <c r="J734" s="30" t="s">
        <v>145</v>
      </c>
      <c r="K734" s="30" t="s">
        <v>145</v>
      </c>
      <c r="L734" s="30" t="s">
        <v>145</v>
      </c>
      <c r="M734" s="30" t="s">
        <v>145</v>
      </c>
      <c r="N734" s="30" t="s">
        <v>145</v>
      </c>
      <c r="O734" s="30" t="s">
        <v>145</v>
      </c>
      <c r="P734" s="30" t="s">
        <v>145</v>
      </c>
      <c r="Q734" s="30" t="s">
        <v>180</v>
      </c>
    </row>
    <row r="735" hidden="1">
      <c r="A735" s="33" t="s">
        <v>4152</v>
      </c>
      <c r="B735" s="30" t="s">
        <v>139</v>
      </c>
      <c r="C735" s="30" t="s">
        <v>453</v>
      </c>
      <c r="D735" s="30" t="s">
        <v>141</v>
      </c>
      <c r="E735" s="35">
        <v>42922.0</v>
      </c>
      <c r="F735" s="37" t="s">
        <v>154</v>
      </c>
      <c r="G735" s="30" t="s">
        <v>2587</v>
      </c>
      <c r="H735" s="30" t="s">
        <v>145</v>
      </c>
      <c r="I735" s="30" t="s">
        <v>145</v>
      </c>
      <c r="J735" s="30" t="s">
        <v>145</v>
      </c>
      <c r="K735" s="30" t="s">
        <v>145</v>
      </c>
      <c r="L735" s="30" t="s">
        <v>145</v>
      </c>
      <c r="M735" s="30" t="s">
        <v>145</v>
      </c>
      <c r="N735" s="30" t="s">
        <v>145</v>
      </c>
      <c r="O735" s="30" t="s">
        <v>145</v>
      </c>
      <c r="P735" s="30" t="s">
        <v>145</v>
      </c>
      <c r="Q735" s="30" t="s">
        <v>180</v>
      </c>
    </row>
    <row r="736" hidden="1">
      <c r="A736" s="33" t="s">
        <v>4156</v>
      </c>
      <c r="B736" s="30" t="s">
        <v>139</v>
      </c>
      <c r="C736" s="30" t="s">
        <v>141</v>
      </c>
      <c r="D736" s="30" t="s">
        <v>141</v>
      </c>
      <c r="E736" s="35">
        <v>42922.0</v>
      </c>
      <c r="F736" s="37" t="s">
        <v>154</v>
      </c>
      <c r="G736" s="30" t="s">
        <v>180</v>
      </c>
      <c r="H736" s="30" t="s">
        <v>145</v>
      </c>
      <c r="I736" s="30" t="s">
        <v>145</v>
      </c>
      <c r="J736" s="30" t="s">
        <v>145</v>
      </c>
      <c r="K736" s="30" t="s">
        <v>145</v>
      </c>
      <c r="L736" s="30" t="s">
        <v>145</v>
      </c>
      <c r="M736" s="30" t="s">
        <v>145</v>
      </c>
      <c r="N736" s="30" t="s">
        <v>145</v>
      </c>
      <c r="O736" s="30" t="s">
        <v>145</v>
      </c>
      <c r="P736" s="30" t="s">
        <v>145</v>
      </c>
      <c r="Q736" s="30" t="s">
        <v>180</v>
      </c>
    </row>
    <row r="737" hidden="1">
      <c r="A737" s="33" t="s">
        <v>4161</v>
      </c>
      <c r="B737" s="30" t="s">
        <v>139</v>
      </c>
      <c r="C737" s="30" t="s">
        <v>141</v>
      </c>
      <c r="D737" s="30" t="s">
        <v>141</v>
      </c>
      <c r="E737" s="35">
        <v>42922.0</v>
      </c>
      <c r="F737" s="37" t="s">
        <v>154</v>
      </c>
      <c r="G737" s="30" t="s">
        <v>180</v>
      </c>
      <c r="H737" s="30" t="s">
        <v>145</v>
      </c>
      <c r="I737" s="30" t="s">
        <v>145</v>
      </c>
      <c r="J737" s="30" t="s">
        <v>145</v>
      </c>
      <c r="K737" s="30" t="s">
        <v>145</v>
      </c>
      <c r="L737" s="30" t="s">
        <v>145</v>
      </c>
      <c r="M737" s="30" t="s">
        <v>145</v>
      </c>
      <c r="N737" s="30" t="s">
        <v>145</v>
      </c>
      <c r="O737" s="30" t="s">
        <v>145</v>
      </c>
      <c r="P737" s="30" t="s">
        <v>145</v>
      </c>
      <c r="Q737" s="30" t="s">
        <v>180</v>
      </c>
    </row>
    <row r="738" hidden="1">
      <c r="A738" s="33" t="s">
        <v>4166</v>
      </c>
      <c r="B738" s="30" t="s">
        <v>139</v>
      </c>
      <c r="C738" s="30" t="s">
        <v>141</v>
      </c>
      <c r="D738" s="30" t="s">
        <v>141</v>
      </c>
      <c r="E738" s="35">
        <v>42922.0</v>
      </c>
      <c r="F738" s="37" t="s">
        <v>154</v>
      </c>
      <c r="G738" s="30" t="s">
        <v>180</v>
      </c>
      <c r="H738" s="30" t="s">
        <v>145</v>
      </c>
      <c r="I738" s="30" t="s">
        <v>145</v>
      </c>
      <c r="J738" s="30" t="s">
        <v>145</v>
      </c>
      <c r="K738" s="30" t="s">
        <v>145</v>
      </c>
      <c r="L738" s="30" t="s">
        <v>145</v>
      </c>
      <c r="M738" s="30" t="s">
        <v>145</v>
      </c>
      <c r="N738" s="30" t="s">
        <v>145</v>
      </c>
      <c r="O738" s="30" t="s">
        <v>145</v>
      </c>
      <c r="P738" s="30" t="s">
        <v>145</v>
      </c>
      <c r="Q738" s="30" t="s">
        <v>180</v>
      </c>
    </row>
    <row r="739" hidden="1">
      <c r="A739" s="33" t="s">
        <v>4171</v>
      </c>
      <c r="B739" s="30" t="s">
        <v>139</v>
      </c>
      <c r="C739" s="30" t="s">
        <v>141</v>
      </c>
      <c r="D739" s="30" t="s">
        <v>141</v>
      </c>
      <c r="E739" s="35">
        <v>42922.0</v>
      </c>
      <c r="F739" s="37" t="s">
        <v>154</v>
      </c>
      <c r="G739" s="30" t="s">
        <v>180</v>
      </c>
      <c r="H739" s="30" t="s">
        <v>145</v>
      </c>
      <c r="I739" s="30" t="s">
        <v>145</v>
      </c>
      <c r="J739" s="30" t="s">
        <v>145</v>
      </c>
      <c r="K739" s="30" t="s">
        <v>145</v>
      </c>
      <c r="L739" s="30" t="s">
        <v>145</v>
      </c>
      <c r="M739" s="30" t="s">
        <v>145</v>
      </c>
      <c r="N739" s="30" t="s">
        <v>145</v>
      </c>
      <c r="O739" s="30" t="s">
        <v>145</v>
      </c>
      <c r="P739" s="30" t="s">
        <v>145</v>
      </c>
      <c r="Q739" s="30" t="s">
        <v>180</v>
      </c>
    </row>
    <row r="740" hidden="1">
      <c r="A740" s="33" t="s">
        <v>4175</v>
      </c>
      <c r="B740" s="30" t="s">
        <v>139</v>
      </c>
      <c r="C740" s="30" t="s">
        <v>141</v>
      </c>
      <c r="D740" s="30" t="s">
        <v>283</v>
      </c>
      <c r="E740" s="35">
        <v>42922.0</v>
      </c>
      <c r="F740" s="37" t="s">
        <v>154</v>
      </c>
      <c r="G740" s="30" t="s">
        <v>986</v>
      </c>
      <c r="H740" s="30" t="s">
        <v>145</v>
      </c>
      <c r="I740" s="30" t="s">
        <v>145</v>
      </c>
      <c r="J740" s="30" t="s">
        <v>145</v>
      </c>
      <c r="K740" s="30" t="s">
        <v>145</v>
      </c>
      <c r="L740" s="30" t="s">
        <v>145</v>
      </c>
      <c r="M740" s="30" t="s">
        <v>145</v>
      </c>
      <c r="N740" s="30" t="s">
        <v>145</v>
      </c>
      <c r="O740" s="30" t="s">
        <v>145</v>
      </c>
      <c r="P740" s="30" t="s">
        <v>145</v>
      </c>
      <c r="Q740" s="30" t="s">
        <v>180</v>
      </c>
    </row>
    <row r="741" hidden="1">
      <c r="A741" s="33" t="s">
        <v>4179</v>
      </c>
      <c r="B741" s="30" t="s">
        <v>139</v>
      </c>
      <c r="C741" s="30" t="s">
        <v>453</v>
      </c>
      <c r="D741" s="30" t="s">
        <v>141</v>
      </c>
      <c r="E741" s="35">
        <v>42922.0</v>
      </c>
      <c r="F741" s="37" t="s">
        <v>154</v>
      </c>
      <c r="G741" s="30" t="s">
        <v>2587</v>
      </c>
      <c r="H741" s="30" t="s">
        <v>145</v>
      </c>
      <c r="I741" s="30" t="s">
        <v>145</v>
      </c>
      <c r="J741" s="30" t="s">
        <v>145</v>
      </c>
      <c r="K741" s="30" t="s">
        <v>145</v>
      </c>
      <c r="L741" s="30" t="s">
        <v>145</v>
      </c>
      <c r="M741" s="30" t="s">
        <v>145</v>
      </c>
      <c r="N741" s="30" t="s">
        <v>145</v>
      </c>
      <c r="O741" s="30" t="s">
        <v>145</v>
      </c>
      <c r="P741" s="30" t="s">
        <v>145</v>
      </c>
      <c r="Q741" s="30" t="s">
        <v>180</v>
      </c>
    </row>
    <row r="742" hidden="1">
      <c r="A742" s="33" t="s">
        <v>4183</v>
      </c>
      <c r="B742" s="30" t="s">
        <v>139</v>
      </c>
      <c r="C742" s="30" t="s">
        <v>141</v>
      </c>
      <c r="D742" s="30" t="s">
        <v>141</v>
      </c>
      <c r="E742" s="35">
        <v>42922.0</v>
      </c>
      <c r="F742" s="37" t="s">
        <v>154</v>
      </c>
      <c r="G742" s="30" t="s">
        <v>180</v>
      </c>
      <c r="H742" s="30" t="s">
        <v>145</v>
      </c>
      <c r="I742" s="30" t="s">
        <v>145</v>
      </c>
      <c r="J742" s="30" t="s">
        <v>145</v>
      </c>
      <c r="K742" s="30" t="s">
        <v>145</v>
      </c>
      <c r="L742" s="30" t="s">
        <v>145</v>
      </c>
      <c r="M742" s="30" t="s">
        <v>145</v>
      </c>
      <c r="N742" s="30" t="s">
        <v>145</v>
      </c>
      <c r="O742" s="30" t="s">
        <v>145</v>
      </c>
      <c r="P742" s="30" t="s">
        <v>145</v>
      </c>
      <c r="Q742" s="30" t="s">
        <v>180</v>
      </c>
    </row>
    <row r="743" hidden="1">
      <c r="A743" s="33" t="s">
        <v>4187</v>
      </c>
      <c r="B743" s="30" t="s">
        <v>139</v>
      </c>
      <c r="C743" s="30" t="s">
        <v>141</v>
      </c>
      <c r="D743" s="30" t="s">
        <v>141</v>
      </c>
      <c r="E743" s="35">
        <v>42922.0</v>
      </c>
      <c r="F743" s="37" t="s">
        <v>154</v>
      </c>
      <c r="G743" s="30" t="s">
        <v>180</v>
      </c>
      <c r="H743" s="30" t="s">
        <v>145</v>
      </c>
      <c r="I743" s="30" t="s">
        <v>145</v>
      </c>
      <c r="J743" s="30" t="s">
        <v>145</v>
      </c>
      <c r="K743" s="30" t="s">
        <v>145</v>
      </c>
      <c r="L743" s="30" t="s">
        <v>145</v>
      </c>
      <c r="M743" s="30" t="s">
        <v>145</v>
      </c>
      <c r="N743" s="30" t="s">
        <v>145</v>
      </c>
      <c r="O743" s="30" t="s">
        <v>145</v>
      </c>
      <c r="P743" s="30" t="s">
        <v>145</v>
      </c>
      <c r="Q743" s="30" t="s">
        <v>180</v>
      </c>
    </row>
    <row r="744" hidden="1">
      <c r="A744" s="33" t="s">
        <v>4191</v>
      </c>
      <c r="B744" s="30" t="s">
        <v>139</v>
      </c>
      <c r="C744" s="30" t="s">
        <v>141</v>
      </c>
      <c r="D744" s="30" t="s">
        <v>141</v>
      </c>
      <c r="E744" s="35">
        <v>42922.0</v>
      </c>
      <c r="F744" s="37" t="s">
        <v>154</v>
      </c>
      <c r="G744" s="30" t="s">
        <v>180</v>
      </c>
      <c r="H744" s="30" t="s">
        <v>145</v>
      </c>
      <c r="I744" s="30" t="s">
        <v>145</v>
      </c>
      <c r="J744" s="30" t="s">
        <v>145</v>
      </c>
      <c r="K744" s="30" t="s">
        <v>145</v>
      </c>
      <c r="L744" s="30" t="s">
        <v>145</v>
      </c>
      <c r="M744" s="30" t="s">
        <v>145</v>
      </c>
      <c r="N744" s="30" t="s">
        <v>145</v>
      </c>
      <c r="O744" s="30" t="s">
        <v>145</v>
      </c>
      <c r="P744" s="30" t="s">
        <v>145</v>
      </c>
      <c r="Q744" s="30" t="s">
        <v>180</v>
      </c>
    </row>
    <row r="745" hidden="1">
      <c r="A745" s="33" t="s">
        <v>4195</v>
      </c>
      <c r="B745" s="30" t="s">
        <v>139</v>
      </c>
      <c r="C745" s="30" t="s">
        <v>453</v>
      </c>
      <c r="D745" s="30" t="s">
        <v>141</v>
      </c>
      <c r="E745" s="35">
        <v>42922.0</v>
      </c>
      <c r="F745" s="37" t="s">
        <v>154</v>
      </c>
      <c r="G745" s="30" t="s">
        <v>2587</v>
      </c>
      <c r="H745" s="30" t="s">
        <v>145</v>
      </c>
      <c r="I745" s="30" t="s">
        <v>145</v>
      </c>
      <c r="J745" s="30" t="s">
        <v>145</v>
      </c>
      <c r="K745" s="30" t="s">
        <v>145</v>
      </c>
      <c r="L745" s="30" t="s">
        <v>145</v>
      </c>
      <c r="M745" s="30" t="s">
        <v>145</v>
      </c>
      <c r="N745" s="30" t="s">
        <v>145</v>
      </c>
      <c r="O745" s="30" t="s">
        <v>145</v>
      </c>
      <c r="P745" s="30" t="s">
        <v>145</v>
      </c>
      <c r="Q745" s="30" t="s">
        <v>180</v>
      </c>
    </row>
    <row r="746" hidden="1">
      <c r="A746" s="33" t="s">
        <v>4199</v>
      </c>
      <c r="B746" s="30" t="s">
        <v>139</v>
      </c>
      <c r="C746" s="30" t="s">
        <v>141</v>
      </c>
      <c r="D746" s="30" t="s">
        <v>141</v>
      </c>
      <c r="E746" s="35">
        <v>42922.0</v>
      </c>
      <c r="F746" s="37" t="s">
        <v>154</v>
      </c>
      <c r="G746" s="30" t="s">
        <v>180</v>
      </c>
      <c r="H746" s="30" t="s">
        <v>145</v>
      </c>
      <c r="I746" s="30" t="s">
        <v>145</v>
      </c>
      <c r="J746" s="30" t="s">
        <v>145</v>
      </c>
      <c r="K746" s="30" t="s">
        <v>145</v>
      </c>
      <c r="L746" s="30" t="s">
        <v>145</v>
      </c>
      <c r="M746" s="30" t="s">
        <v>145</v>
      </c>
      <c r="N746" s="30" t="s">
        <v>145</v>
      </c>
      <c r="O746" s="30" t="s">
        <v>145</v>
      </c>
      <c r="P746" s="30" t="s">
        <v>145</v>
      </c>
      <c r="Q746" s="30" t="s">
        <v>180</v>
      </c>
    </row>
    <row r="747" hidden="1">
      <c r="A747" s="33" t="s">
        <v>4201</v>
      </c>
      <c r="B747" s="30" t="s">
        <v>139</v>
      </c>
      <c r="C747" s="30" t="s">
        <v>141</v>
      </c>
      <c r="D747" s="30" t="s">
        <v>141</v>
      </c>
      <c r="E747" s="35">
        <v>42922.0</v>
      </c>
      <c r="F747" s="37" t="s">
        <v>154</v>
      </c>
      <c r="G747" s="30" t="s">
        <v>180</v>
      </c>
      <c r="H747" s="30" t="s">
        <v>145</v>
      </c>
      <c r="I747" s="30" t="s">
        <v>145</v>
      </c>
      <c r="J747" s="30" t="s">
        <v>145</v>
      </c>
      <c r="K747" s="30" t="s">
        <v>145</v>
      </c>
      <c r="L747" s="30" t="s">
        <v>145</v>
      </c>
      <c r="M747" s="30" t="s">
        <v>145</v>
      </c>
      <c r="N747" s="30" t="s">
        <v>145</v>
      </c>
      <c r="O747" s="30" t="s">
        <v>145</v>
      </c>
      <c r="P747" s="30" t="s">
        <v>145</v>
      </c>
      <c r="Q747" s="30" t="s">
        <v>180</v>
      </c>
    </row>
    <row r="748" hidden="1">
      <c r="A748" s="33" t="s">
        <v>4204</v>
      </c>
      <c r="B748" s="30" t="s">
        <v>139</v>
      </c>
      <c r="C748" s="30" t="s">
        <v>141</v>
      </c>
      <c r="D748" s="30" t="s">
        <v>141</v>
      </c>
      <c r="E748" s="35">
        <v>42922.0</v>
      </c>
      <c r="F748" s="37" t="s">
        <v>150</v>
      </c>
      <c r="G748" s="30" t="s">
        <v>180</v>
      </c>
      <c r="H748" s="30" t="s">
        <v>145</v>
      </c>
      <c r="I748" s="30" t="s">
        <v>145</v>
      </c>
      <c r="J748" s="30" t="s">
        <v>145</v>
      </c>
      <c r="K748" s="30" t="s">
        <v>145</v>
      </c>
      <c r="L748" s="30" t="s">
        <v>145</v>
      </c>
      <c r="M748" s="30" t="s">
        <v>145</v>
      </c>
      <c r="N748" s="30" t="s">
        <v>145</v>
      </c>
      <c r="O748" s="30" t="s">
        <v>145</v>
      </c>
      <c r="P748" s="30" t="s">
        <v>145</v>
      </c>
      <c r="Q748" s="30" t="s">
        <v>180</v>
      </c>
    </row>
    <row r="749" hidden="1">
      <c r="A749" s="33" t="s">
        <v>4208</v>
      </c>
      <c r="B749" s="30" t="s">
        <v>139</v>
      </c>
      <c r="C749" s="30" t="s">
        <v>283</v>
      </c>
      <c r="D749" s="30" t="s">
        <v>141</v>
      </c>
      <c r="E749" s="35">
        <v>42922.0</v>
      </c>
      <c r="F749" s="37" t="s">
        <v>150</v>
      </c>
      <c r="G749" s="30" t="s">
        <v>4249</v>
      </c>
      <c r="H749" s="30" t="s">
        <v>180</v>
      </c>
      <c r="I749" s="30" t="s">
        <v>180</v>
      </c>
      <c r="J749" s="30" t="s">
        <v>1476</v>
      </c>
      <c r="K749" s="30" t="s">
        <v>407</v>
      </c>
      <c r="L749" s="30" t="s">
        <v>163</v>
      </c>
      <c r="M749" s="30" t="s">
        <v>1052</v>
      </c>
      <c r="N749" s="30" t="s">
        <v>145</v>
      </c>
      <c r="O749" s="30" t="s">
        <v>145</v>
      </c>
      <c r="P749" s="30" t="s">
        <v>145</v>
      </c>
      <c r="Q749" s="30" t="s">
        <v>407</v>
      </c>
    </row>
    <row r="750" hidden="1">
      <c r="A750" s="33" t="s">
        <v>4212</v>
      </c>
      <c r="B750" s="30" t="s">
        <v>139</v>
      </c>
      <c r="C750" s="30" t="s">
        <v>283</v>
      </c>
      <c r="D750" s="30" t="s">
        <v>141</v>
      </c>
      <c r="E750" s="35">
        <v>42922.0</v>
      </c>
      <c r="F750" s="37" t="s">
        <v>150</v>
      </c>
      <c r="G750" s="30" t="s">
        <v>4256</v>
      </c>
      <c r="H750" s="30" t="s">
        <v>145</v>
      </c>
      <c r="I750" s="30" t="s">
        <v>145</v>
      </c>
      <c r="J750" s="30" t="s">
        <v>145</v>
      </c>
      <c r="K750" s="30" t="s">
        <v>145</v>
      </c>
      <c r="L750" s="30" t="s">
        <v>145</v>
      </c>
      <c r="M750" s="30" t="s">
        <v>145</v>
      </c>
      <c r="N750" s="30" t="s">
        <v>145</v>
      </c>
      <c r="O750" s="30" t="s">
        <v>145</v>
      </c>
      <c r="P750" s="30" t="s">
        <v>145</v>
      </c>
      <c r="Q750" s="30" t="s">
        <v>407</v>
      </c>
    </row>
    <row r="751" hidden="1">
      <c r="A751" s="33" t="s">
        <v>4216</v>
      </c>
      <c r="B751" s="30" t="s">
        <v>139</v>
      </c>
      <c r="C751" s="30" t="s">
        <v>141</v>
      </c>
      <c r="D751" s="30" t="s">
        <v>141</v>
      </c>
      <c r="E751" s="35">
        <v>42922.0</v>
      </c>
      <c r="F751" s="37" t="s">
        <v>150</v>
      </c>
      <c r="G751" s="30" t="s">
        <v>3321</v>
      </c>
      <c r="H751" s="30" t="s">
        <v>180</v>
      </c>
      <c r="I751" s="30" t="s">
        <v>180</v>
      </c>
      <c r="J751" s="30" t="s">
        <v>1476</v>
      </c>
      <c r="K751" s="30" t="s">
        <v>146</v>
      </c>
      <c r="L751" s="30" t="s">
        <v>618</v>
      </c>
      <c r="M751" s="30" t="s">
        <v>504</v>
      </c>
      <c r="N751" s="30" t="s">
        <v>145</v>
      </c>
      <c r="O751" s="30" t="s">
        <v>145</v>
      </c>
      <c r="P751" s="30" t="s">
        <v>145</v>
      </c>
      <c r="Q751" s="30" t="s">
        <v>1898</v>
      </c>
    </row>
    <row r="752" hidden="1">
      <c r="A752" s="33" t="s">
        <v>4220</v>
      </c>
      <c r="B752" s="30" t="s">
        <v>139</v>
      </c>
      <c r="C752" s="30" t="s">
        <v>141</v>
      </c>
      <c r="D752" s="30" t="s">
        <v>141</v>
      </c>
      <c r="E752" s="35">
        <v>42922.0</v>
      </c>
      <c r="F752" s="37" t="s">
        <v>150</v>
      </c>
      <c r="G752" s="30" t="s">
        <v>1737</v>
      </c>
      <c r="H752" s="30" t="s">
        <v>407</v>
      </c>
      <c r="I752" s="30" t="s">
        <v>407</v>
      </c>
      <c r="J752" s="30" t="s">
        <v>4270</v>
      </c>
      <c r="K752" s="30" t="s">
        <v>407</v>
      </c>
      <c r="L752" s="30" t="s">
        <v>163</v>
      </c>
      <c r="M752" s="30" t="s">
        <v>1052</v>
      </c>
      <c r="N752" s="30" t="s">
        <v>145</v>
      </c>
      <c r="O752" s="30" t="s">
        <v>145</v>
      </c>
      <c r="P752" s="30" t="s">
        <v>145</v>
      </c>
      <c r="Q752" s="30" t="s">
        <v>1898</v>
      </c>
    </row>
    <row r="753" hidden="1">
      <c r="A753" s="33" t="s">
        <v>4224</v>
      </c>
      <c r="B753" s="30" t="s">
        <v>139</v>
      </c>
      <c r="C753" s="30" t="s">
        <v>141</v>
      </c>
      <c r="D753" s="30" t="s">
        <v>141</v>
      </c>
      <c r="E753" s="35">
        <v>42922.0</v>
      </c>
      <c r="F753" s="37" t="s">
        <v>150</v>
      </c>
      <c r="G753" s="30" t="s">
        <v>2361</v>
      </c>
      <c r="H753" s="30" t="s">
        <v>407</v>
      </c>
      <c r="I753" s="30" t="s">
        <v>407</v>
      </c>
      <c r="J753" s="30" t="s">
        <v>1476</v>
      </c>
      <c r="K753" s="30" t="s">
        <v>407</v>
      </c>
      <c r="L753" s="30" t="s">
        <v>146</v>
      </c>
      <c r="M753" s="30" t="s">
        <v>882</v>
      </c>
      <c r="N753" s="30" t="s">
        <v>145</v>
      </c>
      <c r="O753" s="30" t="s">
        <v>145</v>
      </c>
      <c r="P753" s="30" t="s">
        <v>145</v>
      </c>
      <c r="Q753" s="30" t="s">
        <v>1898</v>
      </c>
    </row>
    <row r="754" hidden="1">
      <c r="A754" s="33" t="s">
        <v>4228</v>
      </c>
      <c r="B754" s="30" t="s">
        <v>139</v>
      </c>
      <c r="C754" s="30" t="s">
        <v>141</v>
      </c>
      <c r="D754" s="30" t="s">
        <v>141</v>
      </c>
      <c r="E754" s="35">
        <v>42922.0</v>
      </c>
      <c r="F754" s="37" t="s">
        <v>150</v>
      </c>
      <c r="G754" s="30" t="s">
        <v>3185</v>
      </c>
      <c r="H754" s="30" t="s">
        <v>407</v>
      </c>
      <c r="I754" s="30" t="s">
        <v>407</v>
      </c>
      <c r="J754" s="30" t="s">
        <v>2130</v>
      </c>
      <c r="K754" s="30" t="s">
        <v>407</v>
      </c>
      <c r="L754" s="30" t="s">
        <v>146</v>
      </c>
      <c r="M754" s="30" t="s">
        <v>367</v>
      </c>
      <c r="N754" s="30" t="s">
        <v>145</v>
      </c>
      <c r="O754" s="30" t="s">
        <v>145</v>
      </c>
      <c r="P754" s="30" t="s">
        <v>145</v>
      </c>
      <c r="Q754" s="30" t="s">
        <v>1898</v>
      </c>
    </row>
    <row r="755" hidden="1">
      <c r="A755" s="33" t="s">
        <v>4232</v>
      </c>
      <c r="B755" s="30" t="s">
        <v>139</v>
      </c>
      <c r="C755" s="30" t="s">
        <v>141</v>
      </c>
      <c r="D755" s="30" t="s">
        <v>141</v>
      </c>
      <c r="E755" s="35">
        <v>42922.0</v>
      </c>
      <c r="F755" s="37" t="s">
        <v>150</v>
      </c>
      <c r="G755" s="30" t="s">
        <v>1411</v>
      </c>
      <c r="H755" s="30" t="s">
        <v>407</v>
      </c>
      <c r="I755" s="30" t="s">
        <v>407</v>
      </c>
      <c r="J755" s="30" t="s">
        <v>278</v>
      </c>
      <c r="K755" s="30" t="s">
        <v>407</v>
      </c>
      <c r="L755" s="30" t="s">
        <v>146</v>
      </c>
      <c r="M755" s="30" t="s">
        <v>1052</v>
      </c>
      <c r="N755" s="30" t="s">
        <v>145</v>
      </c>
      <c r="O755" s="30" t="s">
        <v>145</v>
      </c>
      <c r="P755" s="30" t="s">
        <v>145</v>
      </c>
      <c r="Q755" s="30" t="s">
        <v>1898</v>
      </c>
    </row>
    <row r="756" hidden="1">
      <c r="A756" s="33" t="s">
        <v>4236</v>
      </c>
      <c r="B756" s="30" t="s">
        <v>139</v>
      </c>
      <c r="C756" s="30" t="s">
        <v>141</v>
      </c>
      <c r="D756" s="30" t="s">
        <v>141</v>
      </c>
      <c r="E756" s="35">
        <v>42922.0</v>
      </c>
      <c r="F756" s="37" t="s">
        <v>150</v>
      </c>
      <c r="G756" s="30" t="s">
        <v>2361</v>
      </c>
      <c r="H756" s="30" t="s">
        <v>407</v>
      </c>
      <c r="I756" s="30" t="s">
        <v>407</v>
      </c>
      <c r="J756" s="30" t="s">
        <v>1476</v>
      </c>
      <c r="K756" s="30" t="s">
        <v>407</v>
      </c>
      <c r="L756" s="30" t="s">
        <v>146</v>
      </c>
      <c r="M756" s="30" t="s">
        <v>882</v>
      </c>
      <c r="N756" s="30" t="s">
        <v>145</v>
      </c>
      <c r="O756" s="30" t="s">
        <v>145</v>
      </c>
      <c r="P756" s="30" t="s">
        <v>145</v>
      </c>
      <c r="Q756" s="30" t="s">
        <v>1898</v>
      </c>
    </row>
    <row r="757" hidden="1">
      <c r="A757" s="33" t="s">
        <v>4240</v>
      </c>
      <c r="B757" s="30" t="s">
        <v>139</v>
      </c>
      <c r="C757" s="30" t="s">
        <v>141</v>
      </c>
      <c r="D757" s="30" t="s">
        <v>141</v>
      </c>
      <c r="E757" s="35">
        <v>42922.0</v>
      </c>
      <c r="F757" s="37" t="s">
        <v>150</v>
      </c>
      <c r="G757" s="30" t="s">
        <v>141</v>
      </c>
      <c r="H757" s="30" t="s">
        <v>180</v>
      </c>
      <c r="I757" s="30" t="s">
        <v>180</v>
      </c>
      <c r="J757" s="30" t="s">
        <v>4297</v>
      </c>
      <c r="K757" s="30" t="s">
        <v>407</v>
      </c>
      <c r="L757" s="30" t="s">
        <v>146</v>
      </c>
      <c r="M757" s="30" t="s">
        <v>367</v>
      </c>
      <c r="N757" s="30" t="s">
        <v>145</v>
      </c>
      <c r="O757" s="30" t="s">
        <v>145</v>
      </c>
      <c r="P757" s="30" t="s">
        <v>145</v>
      </c>
      <c r="Q757" s="30" t="s">
        <v>1898</v>
      </c>
    </row>
    <row r="758" hidden="1">
      <c r="A758" s="33" t="s">
        <v>4244</v>
      </c>
      <c r="B758" s="30" t="s">
        <v>139</v>
      </c>
      <c r="C758" s="30" t="s">
        <v>141</v>
      </c>
      <c r="D758" s="30" t="s">
        <v>141</v>
      </c>
      <c r="E758" s="35">
        <v>42922.0</v>
      </c>
      <c r="F758" s="37" t="s">
        <v>150</v>
      </c>
      <c r="G758" s="30" t="s">
        <v>2361</v>
      </c>
      <c r="H758" s="30" t="s">
        <v>407</v>
      </c>
      <c r="I758" s="30" t="s">
        <v>407</v>
      </c>
      <c r="J758" s="30" t="s">
        <v>2130</v>
      </c>
      <c r="K758" s="30" t="s">
        <v>407</v>
      </c>
      <c r="L758" s="30" t="s">
        <v>407</v>
      </c>
      <c r="M758" s="30" t="s">
        <v>1071</v>
      </c>
      <c r="N758" s="30" t="s">
        <v>145</v>
      </c>
      <c r="O758" s="30" t="s">
        <v>145</v>
      </c>
      <c r="P758" s="30" t="s">
        <v>145</v>
      </c>
      <c r="Q758" s="30" t="s">
        <v>1898</v>
      </c>
    </row>
    <row r="759" hidden="1">
      <c r="A759" s="33" t="s">
        <v>4248</v>
      </c>
      <c r="B759" s="30" t="s">
        <v>139</v>
      </c>
      <c r="C759" s="30" t="s">
        <v>141</v>
      </c>
      <c r="D759" s="30" t="s">
        <v>141</v>
      </c>
      <c r="E759" s="35">
        <v>42922.0</v>
      </c>
      <c r="F759" s="37" t="s">
        <v>150</v>
      </c>
      <c r="G759" s="30" t="s">
        <v>3185</v>
      </c>
      <c r="H759" s="30" t="s">
        <v>407</v>
      </c>
      <c r="I759" s="30" t="s">
        <v>407</v>
      </c>
      <c r="J759" s="30" t="s">
        <v>278</v>
      </c>
      <c r="K759" s="30" t="s">
        <v>228</v>
      </c>
      <c r="L759" s="30" t="s">
        <v>146</v>
      </c>
      <c r="M759" s="30" t="s">
        <v>504</v>
      </c>
      <c r="N759" s="30" t="s">
        <v>145</v>
      </c>
      <c r="O759" s="30" t="s">
        <v>145</v>
      </c>
      <c r="P759" s="30" t="s">
        <v>145</v>
      </c>
      <c r="Q759" s="30" t="s">
        <v>1898</v>
      </c>
    </row>
    <row r="760" hidden="1">
      <c r="A760" s="33" t="s">
        <v>4253</v>
      </c>
      <c r="B760" s="30" t="s">
        <v>139</v>
      </c>
      <c r="C760" s="30" t="s">
        <v>141</v>
      </c>
      <c r="D760" s="30" t="s">
        <v>141</v>
      </c>
      <c r="E760" s="35">
        <v>42921.0</v>
      </c>
      <c r="F760" s="37" t="s">
        <v>154</v>
      </c>
      <c r="G760" s="30" t="s">
        <v>2587</v>
      </c>
      <c r="H760" s="30" t="s">
        <v>145</v>
      </c>
      <c r="I760" s="30" t="s">
        <v>145</v>
      </c>
      <c r="J760" s="30" t="s">
        <v>145</v>
      </c>
      <c r="K760" s="30" t="s">
        <v>145</v>
      </c>
      <c r="L760" s="30" t="s">
        <v>145</v>
      </c>
      <c r="M760" s="30" t="s">
        <v>145</v>
      </c>
      <c r="N760" s="30" t="s">
        <v>145</v>
      </c>
      <c r="O760" s="30" t="s">
        <v>145</v>
      </c>
      <c r="P760" s="30" t="s">
        <v>145</v>
      </c>
      <c r="Q760" s="30" t="s">
        <v>180</v>
      </c>
    </row>
    <row r="761" hidden="1">
      <c r="A761" s="33" t="s">
        <v>4258</v>
      </c>
      <c r="B761" s="30" t="s">
        <v>139</v>
      </c>
      <c r="C761" s="30" t="s">
        <v>141</v>
      </c>
      <c r="D761" s="30" t="s">
        <v>141</v>
      </c>
      <c r="E761" s="35">
        <v>42921.0</v>
      </c>
      <c r="F761" s="37" t="s">
        <v>154</v>
      </c>
      <c r="G761" s="30" t="s">
        <v>180</v>
      </c>
      <c r="H761" s="30" t="s">
        <v>145</v>
      </c>
      <c r="I761" s="30" t="s">
        <v>145</v>
      </c>
      <c r="J761" s="30" t="s">
        <v>145</v>
      </c>
      <c r="K761" s="30" t="s">
        <v>145</v>
      </c>
      <c r="L761" s="30" t="s">
        <v>145</v>
      </c>
      <c r="M761" s="30" t="s">
        <v>145</v>
      </c>
      <c r="N761" s="30" t="s">
        <v>145</v>
      </c>
      <c r="O761" s="30" t="s">
        <v>145</v>
      </c>
      <c r="P761" s="30" t="s">
        <v>145</v>
      </c>
      <c r="Q761" s="30" t="s">
        <v>180</v>
      </c>
    </row>
    <row r="762" hidden="1">
      <c r="A762" s="33" t="s">
        <v>4261</v>
      </c>
      <c r="B762" s="30" t="s">
        <v>139</v>
      </c>
      <c r="C762" s="30" t="s">
        <v>453</v>
      </c>
      <c r="D762" s="30" t="s">
        <v>141</v>
      </c>
      <c r="E762" s="35">
        <v>42921.0</v>
      </c>
      <c r="F762" s="37" t="s">
        <v>154</v>
      </c>
      <c r="G762" s="30" t="s">
        <v>2587</v>
      </c>
      <c r="H762" s="30" t="s">
        <v>145</v>
      </c>
      <c r="I762" s="30" t="s">
        <v>145</v>
      </c>
      <c r="J762" s="30" t="s">
        <v>145</v>
      </c>
      <c r="K762" s="30" t="s">
        <v>145</v>
      </c>
      <c r="L762" s="30" t="s">
        <v>145</v>
      </c>
      <c r="M762" s="30" t="s">
        <v>145</v>
      </c>
      <c r="N762" s="30" t="s">
        <v>145</v>
      </c>
      <c r="O762" s="30" t="s">
        <v>145</v>
      </c>
      <c r="P762" s="30" t="s">
        <v>145</v>
      </c>
      <c r="Q762" s="30" t="s">
        <v>180</v>
      </c>
    </row>
    <row r="763" hidden="1">
      <c r="A763" s="33" t="s">
        <v>4264</v>
      </c>
      <c r="B763" s="30" t="s">
        <v>139</v>
      </c>
      <c r="C763" s="30" t="s">
        <v>453</v>
      </c>
      <c r="D763" s="30" t="s">
        <v>141</v>
      </c>
      <c r="E763" s="35">
        <v>42921.0</v>
      </c>
      <c r="F763" s="37" t="s">
        <v>154</v>
      </c>
      <c r="G763" s="30" t="s">
        <v>180</v>
      </c>
      <c r="H763" s="30" t="s">
        <v>145</v>
      </c>
      <c r="I763" s="30" t="s">
        <v>145</v>
      </c>
      <c r="J763" s="30" t="s">
        <v>145</v>
      </c>
      <c r="K763" s="30" t="s">
        <v>145</v>
      </c>
      <c r="L763" s="30" t="s">
        <v>145</v>
      </c>
      <c r="M763" s="30" t="s">
        <v>145</v>
      </c>
      <c r="N763" s="30" t="s">
        <v>145</v>
      </c>
      <c r="O763" s="30" t="s">
        <v>145</v>
      </c>
      <c r="P763" s="30" t="s">
        <v>145</v>
      </c>
      <c r="Q763" s="30" t="s">
        <v>180</v>
      </c>
    </row>
    <row r="764" hidden="1">
      <c r="A764" s="33" t="s">
        <v>4268</v>
      </c>
      <c r="B764" s="30" t="s">
        <v>139</v>
      </c>
      <c r="C764" s="30" t="s">
        <v>141</v>
      </c>
      <c r="D764" s="30" t="s">
        <v>141</v>
      </c>
      <c r="E764" s="35">
        <v>42921.0</v>
      </c>
      <c r="F764" s="37" t="s">
        <v>154</v>
      </c>
      <c r="G764" s="30" t="s">
        <v>2587</v>
      </c>
      <c r="H764" s="30" t="s">
        <v>145</v>
      </c>
      <c r="I764" s="30" t="s">
        <v>145</v>
      </c>
      <c r="J764" s="30" t="s">
        <v>145</v>
      </c>
      <c r="K764" s="30" t="s">
        <v>145</v>
      </c>
      <c r="L764" s="30" t="s">
        <v>145</v>
      </c>
      <c r="M764" s="30" t="s">
        <v>145</v>
      </c>
      <c r="N764" s="30" t="s">
        <v>145</v>
      </c>
      <c r="O764" s="30" t="s">
        <v>145</v>
      </c>
      <c r="P764" s="30" t="s">
        <v>145</v>
      </c>
      <c r="Q764" s="30" t="s">
        <v>2186</v>
      </c>
    </row>
    <row r="765" hidden="1">
      <c r="A765" s="33" t="s">
        <v>4273</v>
      </c>
      <c r="B765" s="30" t="s">
        <v>139</v>
      </c>
      <c r="C765" s="30" t="s">
        <v>141</v>
      </c>
      <c r="D765" s="30" t="s">
        <v>141</v>
      </c>
      <c r="E765" s="35">
        <v>42921.0</v>
      </c>
      <c r="F765" s="37" t="s">
        <v>154</v>
      </c>
      <c r="G765" s="30" t="s">
        <v>180</v>
      </c>
      <c r="H765" s="30" t="s">
        <v>145</v>
      </c>
      <c r="I765" s="30" t="s">
        <v>145</v>
      </c>
      <c r="J765" s="30" t="s">
        <v>145</v>
      </c>
      <c r="K765" s="30" t="s">
        <v>145</v>
      </c>
      <c r="L765" s="30" t="s">
        <v>145</v>
      </c>
      <c r="M765" s="30" t="s">
        <v>145</v>
      </c>
      <c r="N765" s="30" t="s">
        <v>145</v>
      </c>
      <c r="O765" s="30" t="s">
        <v>145</v>
      </c>
      <c r="P765" s="30" t="s">
        <v>145</v>
      </c>
      <c r="Q765" s="30" t="s">
        <v>2629</v>
      </c>
    </row>
    <row r="766" hidden="1">
      <c r="A766" s="33" t="s">
        <v>4277</v>
      </c>
      <c r="B766" s="30" t="s">
        <v>139</v>
      </c>
      <c r="C766" s="30" t="s">
        <v>141</v>
      </c>
      <c r="D766" s="30" t="s">
        <v>141</v>
      </c>
      <c r="E766" s="35">
        <v>42921.0</v>
      </c>
      <c r="F766" s="37" t="s">
        <v>150</v>
      </c>
      <c r="G766" s="30" t="s">
        <v>407</v>
      </c>
      <c r="H766" s="30" t="s">
        <v>407</v>
      </c>
      <c r="I766" s="30" t="s">
        <v>407</v>
      </c>
      <c r="J766" s="30" t="s">
        <v>618</v>
      </c>
      <c r="K766" s="30" t="s">
        <v>180</v>
      </c>
      <c r="L766" s="30" t="s">
        <v>180</v>
      </c>
      <c r="M766" s="30" t="s">
        <v>1052</v>
      </c>
      <c r="N766" s="30" t="s">
        <v>145</v>
      </c>
      <c r="O766" s="30" t="s">
        <v>145</v>
      </c>
      <c r="P766" s="30" t="s">
        <v>145</v>
      </c>
      <c r="Q766" s="30" t="s">
        <v>1898</v>
      </c>
    </row>
    <row r="767" hidden="1">
      <c r="A767" s="33" t="s">
        <v>4281</v>
      </c>
      <c r="B767" s="30" t="s">
        <v>139</v>
      </c>
      <c r="C767" s="30" t="s">
        <v>141</v>
      </c>
      <c r="D767" s="30" t="s">
        <v>141</v>
      </c>
      <c r="E767" s="35">
        <v>42921.0</v>
      </c>
      <c r="F767" s="37" t="s">
        <v>150</v>
      </c>
      <c r="G767" s="30" t="s">
        <v>3185</v>
      </c>
      <c r="H767" s="30" t="s">
        <v>407</v>
      </c>
      <c r="I767" s="30" t="s">
        <v>407</v>
      </c>
      <c r="J767" s="30" t="s">
        <v>278</v>
      </c>
      <c r="K767" s="30" t="s">
        <v>407</v>
      </c>
      <c r="L767" s="30" t="s">
        <v>146</v>
      </c>
      <c r="M767" s="30" t="s">
        <v>1052</v>
      </c>
      <c r="N767" s="30" t="s">
        <v>145</v>
      </c>
      <c r="O767" s="30" t="s">
        <v>145</v>
      </c>
      <c r="P767" s="30" t="s">
        <v>145</v>
      </c>
      <c r="Q767" s="30" t="s">
        <v>1898</v>
      </c>
    </row>
    <row r="768" hidden="1">
      <c r="A768" s="33" t="s">
        <v>4285</v>
      </c>
      <c r="B768" s="30" t="s">
        <v>139</v>
      </c>
      <c r="C768" s="30" t="s">
        <v>141</v>
      </c>
      <c r="D768" s="30" t="s">
        <v>141</v>
      </c>
      <c r="E768" s="35">
        <v>42921.0</v>
      </c>
      <c r="F768" s="37" t="s">
        <v>150</v>
      </c>
      <c r="G768" s="30" t="s">
        <v>140</v>
      </c>
      <c r="H768" s="30" t="s">
        <v>163</v>
      </c>
      <c r="I768" s="30" t="s">
        <v>146</v>
      </c>
      <c r="J768" s="30" t="s">
        <v>146</v>
      </c>
      <c r="K768" s="30" t="s">
        <v>146</v>
      </c>
      <c r="L768" s="30" t="s">
        <v>146</v>
      </c>
      <c r="M768" s="30" t="s">
        <v>1798</v>
      </c>
      <c r="N768" s="30" t="s">
        <v>145</v>
      </c>
      <c r="O768" s="30" t="s">
        <v>145</v>
      </c>
      <c r="P768" s="30" t="s">
        <v>145</v>
      </c>
      <c r="Q768" s="30" t="s">
        <v>1898</v>
      </c>
    </row>
    <row r="769" hidden="1">
      <c r="A769" s="33" t="s">
        <v>4289</v>
      </c>
      <c r="B769" s="30" t="s">
        <v>139</v>
      </c>
      <c r="C769" s="30" t="s">
        <v>141</v>
      </c>
      <c r="D769" s="30" t="s">
        <v>141</v>
      </c>
      <c r="E769" s="35">
        <v>42921.0</v>
      </c>
      <c r="F769" s="37" t="s">
        <v>150</v>
      </c>
      <c r="G769" s="30" t="s">
        <v>618</v>
      </c>
      <c r="H769" s="30" t="s">
        <v>145</v>
      </c>
      <c r="I769" s="30" t="s">
        <v>407</v>
      </c>
      <c r="J769" s="30" t="s">
        <v>407</v>
      </c>
      <c r="K769" s="30" t="s">
        <v>407</v>
      </c>
      <c r="L769" s="30" t="s">
        <v>189</v>
      </c>
      <c r="M769" s="30" t="s">
        <v>2602</v>
      </c>
      <c r="N769" s="30" t="s">
        <v>145</v>
      </c>
      <c r="O769" s="30" t="s">
        <v>145</v>
      </c>
      <c r="P769" s="30" t="s">
        <v>145</v>
      </c>
      <c r="Q769" s="30" t="s">
        <v>1898</v>
      </c>
    </row>
    <row r="770" hidden="1">
      <c r="A770" s="33" t="s">
        <v>4292</v>
      </c>
      <c r="B770" s="30" t="s">
        <v>139</v>
      </c>
      <c r="C770" s="30" t="s">
        <v>453</v>
      </c>
      <c r="D770" s="30" t="s">
        <v>141</v>
      </c>
      <c r="E770" s="35">
        <v>42919.0</v>
      </c>
      <c r="F770" s="37" t="s">
        <v>154</v>
      </c>
      <c r="G770" s="30" t="s">
        <v>2587</v>
      </c>
      <c r="H770" s="30" t="s">
        <v>145</v>
      </c>
      <c r="I770" s="30" t="s">
        <v>145</v>
      </c>
      <c r="J770" s="30" t="s">
        <v>145</v>
      </c>
      <c r="K770" s="30" t="s">
        <v>145</v>
      </c>
      <c r="L770" s="30" t="s">
        <v>145</v>
      </c>
      <c r="M770" s="30" t="s">
        <v>145</v>
      </c>
      <c r="N770" s="30" t="s">
        <v>145</v>
      </c>
      <c r="O770" s="30" t="s">
        <v>145</v>
      </c>
      <c r="P770" s="30" t="s">
        <v>145</v>
      </c>
      <c r="Q770" s="30" t="s">
        <v>180</v>
      </c>
    </row>
    <row r="771" hidden="1">
      <c r="A771" s="33" t="s">
        <v>4294</v>
      </c>
      <c r="B771" s="30" t="s">
        <v>139</v>
      </c>
      <c r="C771" s="30" t="s">
        <v>141</v>
      </c>
      <c r="D771" s="30" t="s">
        <v>141</v>
      </c>
      <c r="E771" s="35">
        <v>42919.0</v>
      </c>
      <c r="F771" s="37" t="s">
        <v>154</v>
      </c>
      <c r="G771" s="30" t="s">
        <v>664</v>
      </c>
      <c r="H771" s="30" t="s">
        <v>145</v>
      </c>
      <c r="I771" s="30" t="s">
        <v>145</v>
      </c>
      <c r="J771" s="30" t="s">
        <v>145</v>
      </c>
      <c r="K771" s="30" t="s">
        <v>145</v>
      </c>
      <c r="L771" s="30" t="s">
        <v>145</v>
      </c>
      <c r="M771" s="30" t="s">
        <v>145</v>
      </c>
      <c r="N771" s="30" t="s">
        <v>145</v>
      </c>
      <c r="O771" s="30" t="s">
        <v>145</v>
      </c>
      <c r="P771" s="30" t="s">
        <v>145</v>
      </c>
      <c r="Q771" s="30" t="s">
        <v>180</v>
      </c>
    </row>
    <row r="772" hidden="1">
      <c r="A772" s="33" t="s">
        <v>4299</v>
      </c>
      <c r="B772" s="30" t="s">
        <v>139</v>
      </c>
      <c r="C772" s="30" t="s">
        <v>148</v>
      </c>
      <c r="D772" s="30" t="s">
        <v>141</v>
      </c>
      <c r="E772" s="35">
        <v>42919.0</v>
      </c>
      <c r="F772" s="37" t="s">
        <v>154</v>
      </c>
      <c r="G772" s="30" t="s">
        <v>152</v>
      </c>
      <c r="H772" s="30" t="s">
        <v>145</v>
      </c>
      <c r="I772" s="30" t="s">
        <v>145</v>
      </c>
      <c r="J772" s="30" t="s">
        <v>145</v>
      </c>
      <c r="K772" s="30" t="s">
        <v>145</v>
      </c>
      <c r="L772" s="30" t="s">
        <v>145</v>
      </c>
      <c r="M772" s="30" t="s">
        <v>145</v>
      </c>
      <c r="N772" s="30" t="s">
        <v>145</v>
      </c>
      <c r="O772" s="30" t="s">
        <v>145</v>
      </c>
      <c r="P772" s="30" t="s">
        <v>145</v>
      </c>
      <c r="Q772" s="30" t="s">
        <v>3612</v>
      </c>
    </row>
    <row r="773" hidden="1">
      <c r="A773" s="33" t="s">
        <v>4303</v>
      </c>
      <c r="B773" s="30" t="s">
        <v>139</v>
      </c>
      <c r="C773" s="30" t="s">
        <v>283</v>
      </c>
      <c r="D773" s="30" t="s">
        <v>141</v>
      </c>
      <c r="E773" s="35">
        <v>42919.0</v>
      </c>
      <c r="F773" s="37" t="s">
        <v>150</v>
      </c>
      <c r="G773" s="30" t="s">
        <v>4374</v>
      </c>
      <c r="H773" s="30" t="s">
        <v>145</v>
      </c>
      <c r="I773" s="30" t="s">
        <v>145</v>
      </c>
      <c r="J773" s="30" t="s">
        <v>145</v>
      </c>
      <c r="K773" s="30" t="s">
        <v>145</v>
      </c>
      <c r="L773" s="30" t="s">
        <v>145</v>
      </c>
      <c r="M773" s="30" t="s">
        <v>145</v>
      </c>
      <c r="N773" s="30" t="s">
        <v>145</v>
      </c>
      <c r="O773" s="30" t="s">
        <v>145</v>
      </c>
      <c r="P773" s="30" t="s">
        <v>145</v>
      </c>
      <c r="Q773" s="30" t="s">
        <v>407</v>
      </c>
    </row>
    <row r="774" hidden="1">
      <c r="A774" s="33" t="s">
        <v>4307</v>
      </c>
      <c r="B774" s="30" t="s">
        <v>139</v>
      </c>
      <c r="C774" s="30" t="s">
        <v>141</v>
      </c>
      <c r="D774" s="30" t="s">
        <v>141</v>
      </c>
      <c r="E774" s="35">
        <v>42919.0</v>
      </c>
      <c r="F774" s="37" t="s">
        <v>154</v>
      </c>
      <c r="G774" s="30" t="s">
        <v>1544</v>
      </c>
      <c r="H774" s="30" t="s">
        <v>145</v>
      </c>
      <c r="I774" s="30" t="s">
        <v>145</v>
      </c>
      <c r="J774" s="30" t="s">
        <v>145</v>
      </c>
      <c r="K774" s="30" t="s">
        <v>145</v>
      </c>
      <c r="L774" s="30" t="s">
        <v>145</v>
      </c>
      <c r="M774" s="30" t="s">
        <v>145</v>
      </c>
      <c r="N774" s="30" t="s">
        <v>145</v>
      </c>
      <c r="O774" s="30" t="s">
        <v>145</v>
      </c>
      <c r="P774" s="30" t="s">
        <v>145</v>
      </c>
      <c r="Q774" s="30" t="s">
        <v>180</v>
      </c>
    </row>
    <row r="775" hidden="1">
      <c r="A775" s="33" t="s">
        <v>4311</v>
      </c>
      <c r="B775" s="30" t="s">
        <v>139</v>
      </c>
      <c r="C775" s="30" t="s">
        <v>148</v>
      </c>
      <c r="D775" s="30" t="s">
        <v>141</v>
      </c>
      <c r="E775" s="35">
        <v>42919.0</v>
      </c>
      <c r="F775" s="37" t="s">
        <v>154</v>
      </c>
      <c r="G775" s="30" t="s">
        <v>3612</v>
      </c>
      <c r="H775" s="30" t="s">
        <v>145</v>
      </c>
      <c r="I775" s="30" t="s">
        <v>145</v>
      </c>
      <c r="J775" s="30" t="s">
        <v>145</v>
      </c>
      <c r="K775" s="30" t="s">
        <v>145</v>
      </c>
      <c r="L775" s="30" t="s">
        <v>145</v>
      </c>
      <c r="M775" s="30" t="s">
        <v>145</v>
      </c>
      <c r="N775" s="30" t="s">
        <v>145</v>
      </c>
      <c r="O775" s="30" t="s">
        <v>145</v>
      </c>
      <c r="P775" s="30" t="s">
        <v>145</v>
      </c>
      <c r="Q775" s="30" t="s">
        <v>152</v>
      </c>
    </row>
    <row r="776" hidden="1">
      <c r="A776" s="33" t="s">
        <v>4313</v>
      </c>
      <c r="B776" s="30" t="s">
        <v>139</v>
      </c>
      <c r="C776" s="30" t="s">
        <v>453</v>
      </c>
      <c r="D776" s="30" t="s">
        <v>141</v>
      </c>
      <c r="E776" s="35">
        <v>42919.0</v>
      </c>
      <c r="F776" s="37" t="s">
        <v>154</v>
      </c>
      <c r="G776" s="30" t="s">
        <v>2587</v>
      </c>
      <c r="H776" s="30" t="s">
        <v>145</v>
      </c>
      <c r="I776" s="30" t="s">
        <v>145</v>
      </c>
      <c r="J776" s="30" t="s">
        <v>145</v>
      </c>
      <c r="K776" s="30" t="s">
        <v>145</v>
      </c>
      <c r="L776" s="30" t="s">
        <v>145</v>
      </c>
      <c r="M776" s="30" t="s">
        <v>145</v>
      </c>
      <c r="N776" s="30" t="s">
        <v>145</v>
      </c>
      <c r="O776" s="30" t="s">
        <v>145</v>
      </c>
      <c r="P776" s="30" t="s">
        <v>145</v>
      </c>
      <c r="Q776" s="30" t="s">
        <v>180</v>
      </c>
    </row>
    <row r="777" hidden="1">
      <c r="A777" s="33" t="s">
        <v>4317</v>
      </c>
      <c r="B777" s="30" t="s">
        <v>139</v>
      </c>
      <c r="C777" s="30" t="s">
        <v>153</v>
      </c>
      <c r="D777" s="30" t="s">
        <v>141</v>
      </c>
      <c r="E777" s="35">
        <v>42919.0</v>
      </c>
      <c r="F777" s="37" t="s">
        <v>150</v>
      </c>
      <c r="G777" s="30" t="s">
        <v>223</v>
      </c>
      <c r="H777" s="30" t="s">
        <v>223</v>
      </c>
      <c r="I777" s="30" t="s">
        <v>223</v>
      </c>
      <c r="J777" s="30" t="s">
        <v>223</v>
      </c>
      <c r="K777" s="2" t="s">
        <v>222</v>
      </c>
      <c r="L777" s="30" t="s">
        <v>145</v>
      </c>
      <c r="M777" s="30" t="s">
        <v>145</v>
      </c>
      <c r="N777" s="30" t="s">
        <v>145</v>
      </c>
      <c r="O777" s="30" t="s">
        <v>145</v>
      </c>
      <c r="P777" s="30" t="s">
        <v>145</v>
      </c>
      <c r="Q777" s="30" t="s">
        <v>223</v>
      </c>
    </row>
    <row r="778" hidden="1">
      <c r="A778" s="33" t="s">
        <v>4321</v>
      </c>
      <c r="B778" s="30" t="s">
        <v>139</v>
      </c>
      <c r="C778" s="30" t="s">
        <v>337</v>
      </c>
      <c r="D778" s="30" t="s">
        <v>337</v>
      </c>
      <c r="E778" s="35">
        <v>42919.0</v>
      </c>
      <c r="F778" s="37" t="s">
        <v>143</v>
      </c>
      <c r="G778" s="30" t="s">
        <v>409</v>
      </c>
      <c r="H778" s="30" t="s">
        <v>145</v>
      </c>
      <c r="I778" s="30" t="s">
        <v>145</v>
      </c>
      <c r="J778" s="30" t="s">
        <v>145</v>
      </c>
      <c r="K778" s="30" t="s">
        <v>145</v>
      </c>
      <c r="L778" s="30" t="s">
        <v>145</v>
      </c>
      <c r="M778" s="30" t="s">
        <v>145</v>
      </c>
      <c r="N778" s="30" t="s">
        <v>145</v>
      </c>
      <c r="O778" s="30" t="s">
        <v>145</v>
      </c>
      <c r="P778" s="30" t="s">
        <v>145</v>
      </c>
      <c r="Q778" s="30" t="s">
        <v>404</v>
      </c>
    </row>
    <row r="779" hidden="1">
      <c r="A779" s="33" t="s">
        <v>4325</v>
      </c>
      <c r="B779" s="30" t="s">
        <v>139</v>
      </c>
      <c r="C779" s="30" t="s">
        <v>148</v>
      </c>
      <c r="D779" s="30" t="s">
        <v>141</v>
      </c>
      <c r="E779" s="35">
        <v>42919.0</v>
      </c>
      <c r="F779" s="37" t="s">
        <v>154</v>
      </c>
      <c r="G779" s="30" t="s">
        <v>3612</v>
      </c>
      <c r="H779" s="30" t="s">
        <v>145</v>
      </c>
      <c r="I779" s="30" t="s">
        <v>145</v>
      </c>
      <c r="J779" s="30" t="s">
        <v>145</v>
      </c>
      <c r="K779" s="30" t="s">
        <v>145</v>
      </c>
      <c r="L779" s="30" t="s">
        <v>145</v>
      </c>
      <c r="M779" s="30" t="s">
        <v>145</v>
      </c>
      <c r="N779" s="30" t="s">
        <v>145</v>
      </c>
      <c r="O779" s="30" t="s">
        <v>145</v>
      </c>
      <c r="P779" s="30" t="s">
        <v>145</v>
      </c>
      <c r="Q779" s="30" t="s">
        <v>152</v>
      </c>
    </row>
    <row r="780" hidden="1">
      <c r="A780" s="33" t="s">
        <v>4329</v>
      </c>
      <c r="B780" s="30" t="s">
        <v>139</v>
      </c>
      <c r="C780" s="30" t="s">
        <v>148</v>
      </c>
      <c r="D780" s="30" t="s">
        <v>141</v>
      </c>
      <c r="E780" s="35">
        <v>42919.0</v>
      </c>
      <c r="F780" s="37" t="s">
        <v>154</v>
      </c>
      <c r="G780" s="30" t="s">
        <v>3612</v>
      </c>
      <c r="H780" s="30" t="s">
        <v>145</v>
      </c>
      <c r="I780" s="30" t="s">
        <v>145</v>
      </c>
      <c r="J780" s="30" t="s">
        <v>145</v>
      </c>
      <c r="K780" s="30" t="s">
        <v>145</v>
      </c>
      <c r="L780" s="30" t="s">
        <v>145</v>
      </c>
      <c r="M780" s="30" t="s">
        <v>145</v>
      </c>
      <c r="N780" s="30" t="s">
        <v>145</v>
      </c>
      <c r="O780" s="30" t="s">
        <v>145</v>
      </c>
      <c r="P780" s="30" t="s">
        <v>145</v>
      </c>
      <c r="Q780" s="30" t="s">
        <v>152</v>
      </c>
    </row>
    <row r="781" hidden="1">
      <c r="A781" s="33" t="s">
        <v>4331</v>
      </c>
      <c r="B781" s="30" t="s">
        <v>139</v>
      </c>
      <c r="C781" s="30" t="s">
        <v>148</v>
      </c>
      <c r="D781" s="30" t="s">
        <v>141</v>
      </c>
      <c r="E781" s="35">
        <v>42919.0</v>
      </c>
      <c r="F781" s="37" t="s">
        <v>154</v>
      </c>
      <c r="G781" s="30" t="s">
        <v>3612</v>
      </c>
      <c r="H781" s="30" t="s">
        <v>145</v>
      </c>
      <c r="I781" s="30" t="s">
        <v>145</v>
      </c>
      <c r="J781" s="30" t="s">
        <v>145</v>
      </c>
      <c r="K781" s="30" t="s">
        <v>145</v>
      </c>
      <c r="L781" s="30" t="s">
        <v>145</v>
      </c>
      <c r="M781" s="30" t="s">
        <v>145</v>
      </c>
      <c r="N781" s="30" t="s">
        <v>145</v>
      </c>
      <c r="O781" s="30" t="s">
        <v>145</v>
      </c>
      <c r="P781" s="30" t="s">
        <v>145</v>
      </c>
      <c r="Q781" s="30" t="s">
        <v>152</v>
      </c>
    </row>
    <row r="782" hidden="1">
      <c r="A782" s="33" t="s">
        <v>4335</v>
      </c>
      <c r="B782" s="30" t="s">
        <v>139</v>
      </c>
      <c r="C782" s="30" t="s">
        <v>140</v>
      </c>
      <c r="D782" s="30" t="s">
        <v>140</v>
      </c>
      <c r="E782" s="35">
        <v>42917.0</v>
      </c>
      <c r="F782" s="37" t="s">
        <v>184</v>
      </c>
      <c r="G782" s="30" t="s">
        <v>438</v>
      </c>
      <c r="H782" s="30" t="s">
        <v>145</v>
      </c>
      <c r="I782" s="30" t="s">
        <v>146</v>
      </c>
      <c r="J782" s="30" t="s">
        <v>146</v>
      </c>
      <c r="K782" s="30" t="s">
        <v>146</v>
      </c>
      <c r="L782" s="2" t="s">
        <v>146</v>
      </c>
      <c r="M782" s="30" t="s">
        <v>145</v>
      </c>
      <c r="N782" s="30" t="s">
        <v>145</v>
      </c>
      <c r="O782" s="30" t="s">
        <v>145</v>
      </c>
      <c r="P782" s="30" t="s">
        <v>145</v>
      </c>
      <c r="Q782" s="30" t="s">
        <v>146</v>
      </c>
    </row>
    <row r="783" hidden="1">
      <c r="A783" s="33" t="s">
        <v>4338</v>
      </c>
      <c r="B783" s="30" t="s">
        <v>139</v>
      </c>
      <c r="C783" s="30" t="s">
        <v>140</v>
      </c>
      <c r="D783" s="30" t="s">
        <v>140</v>
      </c>
      <c r="E783" s="35">
        <v>42917.0</v>
      </c>
      <c r="F783" s="37" t="s">
        <v>184</v>
      </c>
      <c r="G783" s="30" t="s">
        <v>146</v>
      </c>
      <c r="H783" s="30" t="s">
        <v>145</v>
      </c>
      <c r="I783" s="30" t="s">
        <v>146</v>
      </c>
      <c r="J783" s="30" t="s">
        <v>146</v>
      </c>
      <c r="K783" s="30" t="s">
        <v>146</v>
      </c>
      <c r="L783" s="2" t="s">
        <v>146</v>
      </c>
      <c r="M783" s="30" t="s">
        <v>145</v>
      </c>
      <c r="N783" s="30" t="s">
        <v>145</v>
      </c>
      <c r="O783" s="30" t="s">
        <v>145</v>
      </c>
      <c r="P783" s="30" t="s">
        <v>145</v>
      </c>
      <c r="Q783" s="30" t="s">
        <v>146</v>
      </c>
    </row>
    <row r="784" hidden="1">
      <c r="A784" s="33" t="s">
        <v>4342</v>
      </c>
      <c r="B784" s="30" t="s">
        <v>139</v>
      </c>
      <c r="C784" s="30" t="s">
        <v>283</v>
      </c>
      <c r="D784" s="30" t="s">
        <v>153</v>
      </c>
      <c r="E784" s="35">
        <v>42916.0</v>
      </c>
      <c r="F784" s="37" t="s">
        <v>154</v>
      </c>
      <c r="G784" s="30" t="s">
        <v>1411</v>
      </c>
      <c r="H784" s="30" t="s">
        <v>145</v>
      </c>
      <c r="I784" s="30" t="s">
        <v>145</v>
      </c>
      <c r="J784" s="30" t="s">
        <v>145</v>
      </c>
      <c r="K784" s="30" t="s">
        <v>145</v>
      </c>
      <c r="L784" s="30" t="s">
        <v>145</v>
      </c>
      <c r="M784" s="30" t="s">
        <v>145</v>
      </c>
      <c r="N784" s="30" t="s">
        <v>145</v>
      </c>
      <c r="O784" s="30" t="s">
        <v>145</v>
      </c>
      <c r="P784" s="30" t="s">
        <v>145</v>
      </c>
      <c r="Q784" s="30" t="s">
        <v>407</v>
      </c>
    </row>
    <row r="785" hidden="1">
      <c r="A785" s="33" t="s">
        <v>4346</v>
      </c>
      <c r="B785" s="30" t="s">
        <v>139</v>
      </c>
      <c r="C785" s="30" t="s">
        <v>283</v>
      </c>
      <c r="D785" s="30" t="s">
        <v>153</v>
      </c>
      <c r="E785" s="35">
        <v>42916.0</v>
      </c>
      <c r="F785" s="37" t="s">
        <v>154</v>
      </c>
      <c r="G785" s="30" t="s">
        <v>1411</v>
      </c>
      <c r="H785" s="30" t="s">
        <v>145</v>
      </c>
      <c r="I785" s="30" t="s">
        <v>145</v>
      </c>
      <c r="J785" s="30" t="s">
        <v>145</v>
      </c>
      <c r="K785" s="30" t="s">
        <v>145</v>
      </c>
      <c r="L785" s="30" t="s">
        <v>145</v>
      </c>
      <c r="M785" s="30" t="s">
        <v>145</v>
      </c>
      <c r="N785" s="30" t="s">
        <v>145</v>
      </c>
      <c r="O785" s="30" t="s">
        <v>145</v>
      </c>
      <c r="P785" s="30" t="s">
        <v>145</v>
      </c>
      <c r="Q785" s="30" t="s">
        <v>407</v>
      </c>
    </row>
    <row r="786" hidden="1">
      <c r="A786" s="33" t="s">
        <v>4350</v>
      </c>
      <c r="B786" s="30" t="s">
        <v>139</v>
      </c>
      <c r="C786" s="30" t="s">
        <v>283</v>
      </c>
      <c r="D786" s="30" t="s">
        <v>153</v>
      </c>
      <c r="E786" s="35">
        <v>42916.0</v>
      </c>
      <c r="F786" s="37" t="s">
        <v>154</v>
      </c>
      <c r="G786" s="30" t="s">
        <v>4438</v>
      </c>
      <c r="H786" s="30" t="s">
        <v>145</v>
      </c>
      <c r="I786" s="30" t="s">
        <v>145</v>
      </c>
      <c r="J786" s="30" t="s">
        <v>145</v>
      </c>
      <c r="K786" s="30" t="s">
        <v>145</v>
      </c>
      <c r="L786" s="30" t="s">
        <v>145</v>
      </c>
      <c r="M786" s="30" t="s">
        <v>145</v>
      </c>
      <c r="N786" s="30" t="s">
        <v>145</v>
      </c>
      <c r="O786" s="30" t="s">
        <v>145</v>
      </c>
      <c r="P786" s="30" t="s">
        <v>145</v>
      </c>
      <c r="Q786" s="30" t="s">
        <v>407</v>
      </c>
    </row>
    <row r="787" hidden="1">
      <c r="A787" s="33" t="s">
        <v>4354</v>
      </c>
      <c r="B787" s="30" t="s">
        <v>139</v>
      </c>
      <c r="C787" s="30" t="s">
        <v>141</v>
      </c>
      <c r="D787" s="30" t="s">
        <v>141</v>
      </c>
      <c r="E787" s="35">
        <v>42916.0</v>
      </c>
      <c r="F787" s="37" t="s">
        <v>150</v>
      </c>
      <c r="G787" s="30" t="s">
        <v>140</v>
      </c>
      <c r="H787" s="30" t="s">
        <v>145</v>
      </c>
      <c r="I787" s="30" t="s">
        <v>146</v>
      </c>
      <c r="J787" s="30" t="s">
        <v>146</v>
      </c>
      <c r="K787" s="30" t="s">
        <v>407</v>
      </c>
      <c r="L787" s="30" t="s">
        <v>407</v>
      </c>
      <c r="M787" s="30" t="s">
        <v>4447</v>
      </c>
      <c r="N787" s="30" t="s">
        <v>145</v>
      </c>
      <c r="O787" s="30" t="s">
        <v>145</v>
      </c>
      <c r="P787" s="30" t="s">
        <v>145</v>
      </c>
      <c r="Q787" s="30" t="s">
        <v>1898</v>
      </c>
    </row>
    <row r="788" hidden="1">
      <c r="A788" s="33" t="s">
        <v>4357</v>
      </c>
      <c r="B788" s="30" t="s">
        <v>139</v>
      </c>
      <c r="C788" s="30" t="s">
        <v>141</v>
      </c>
      <c r="D788" s="30" t="s">
        <v>141</v>
      </c>
      <c r="E788" s="35">
        <v>42916.0</v>
      </c>
      <c r="F788" s="37" t="s">
        <v>150</v>
      </c>
      <c r="G788" s="30" t="s">
        <v>163</v>
      </c>
      <c r="H788" s="30" t="s">
        <v>146</v>
      </c>
      <c r="I788" s="30" t="s">
        <v>146</v>
      </c>
      <c r="J788" s="30" t="s">
        <v>146</v>
      </c>
      <c r="K788" s="30" t="s">
        <v>407</v>
      </c>
      <c r="L788" s="30" t="s">
        <v>407</v>
      </c>
      <c r="M788" s="30" t="s">
        <v>4447</v>
      </c>
      <c r="N788" s="30" t="s">
        <v>145</v>
      </c>
      <c r="O788" s="30" t="s">
        <v>145</v>
      </c>
      <c r="P788" s="30" t="s">
        <v>145</v>
      </c>
      <c r="Q788" s="30" t="s">
        <v>1898</v>
      </c>
    </row>
    <row r="789" hidden="1">
      <c r="A789" s="33" t="s">
        <v>4360</v>
      </c>
      <c r="B789" s="30" t="s">
        <v>139</v>
      </c>
      <c r="C789" s="30" t="s">
        <v>140</v>
      </c>
      <c r="D789" s="30" t="s">
        <v>283</v>
      </c>
      <c r="E789" s="35">
        <v>42916.0</v>
      </c>
      <c r="F789" s="37" t="s">
        <v>143</v>
      </c>
      <c r="G789" s="30" t="s">
        <v>1182</v>
      </c>
      <c r="H789" s="30" t="s">
        <v>145</v>
      </c>
      <c r="I789" s="30" t="s">
        <v>145</v>
      </c>
      <c r="J789" s="30" t="s">
        <v>145</v>
      </c>
      <c r="K789" s="30" t="s">
        <v>145</v>
      </c>
      <c r="L789" s="30" t="s">
        <v>145</v>
      </c>
      <c r="M789" s="30" t="s">
        <v>145</v>
      </c>
      <c r="N789" s="30" t="s">
        <v>145</v>
      </c>
      <c r="O789" s="30" t="s">
        <v>145</v>
      </c>
      <c r="P789" s="30" t="s">
        <v>145</v>
      </c>
      <c r="Q789" s="30" t="s">
        <v>146</v>
      </c>
    </row>
    <row r="790" hidden="1">
      <c r="A790" s="33" t="s">
        <v>4365</v>
      </c>
      <c r="B790" s="30" t="s">
        <v>139</v>
      </c>
      <c r="C790" s="30" t="s">
        <v>140</v>
      </c>
      <c r="D790" s="30" t="s">
        <v>453</v>
      </c>
      <c r="E790" s="35">
        <v>42915.0</v>
      </c>
      <c r="F790" s="37" t="s">
        <v>184</v>
      </c>
      <c r="G790" s="30" t="s">
        <v>1182</v>
      </c>
      <c r="H790" s="30" t="s">
        <v>146</v>
      </c>
      <c r="I790" s="30" t="s">
        <v>146</v>
      </c>
      <c r="J790" s="30" t="s">
        <v>4465</v>
      </c>
      <c r="K790" s="30" t="s">
        <v>146</v>
      </c>
      <c r="L790" s="2" t="s">
        <v>146</v>
      </c>
      <c r="M790" s="30" t="s">
        <v>145</v>
      </c>
      <c r="N790" s="30" t="s">
        <v>145</v>
      </c>
      <c r="O790" s="30" t="s">
        <v>145</v>
      </c>
      <c r="P790" s="30" t="s">
        <v>145</v>
      </c>
      <c r="Q790" s="30" t="s">
        <v>146</v>
      </c>
    </row>
    <row r="791" hidden="1">
      <c r="A791" s="33" t="s">
        <v>4369</v>
      </c>
      <c r="B791" s="30" t="s">
        <v>139</v>
      </c>
      <c r="C791" s="30" t="s">
        <v>141</v>
      </c>
      <c r="D791" s="30" t="s">
        <v>141</v>
      </c>
      <c r="E791" s="35">
        <v>42914.0</v>
      </c>
      <c r="F791" s="37" t="s">
        <v>154</v>
      </c>
      <c r="G791" s="30" t="s">
        <v>180</v>
      </c>
      <c r="H791" s="30" t="s">
        <v>145</v>
      </c>
      <c r="I791" s="30" t="s">
        <v>145</v>
      </c>
      <c r="J791" s="30" t="s">
        <v>145</v>
      </c>
      <c r="K791" s="30" t="s">
        <v>145</v>
      </c>
      <c r="L791" s="30" t="s">
        <v>145</v>
      </c>
      <c r="M791" s="30" t="s">
        <v>145</v>
      </c>
      <c r="N791" s="30" t="s">
        <v>145</v>
      </c>
      <c r="O791" s="30" t="s">
        <v>145</v>
      </c>
      <c r="P791" s="30" t="s">
        <v>145</v>
      </c>
      <c r="Q791" s="30" t="s">
        <v>4471</v>
      </c>
    </row>
    <row r="792" hidden="1">
      <c r="A792" s="33" t="s">
        <v>4373</v>
      </c>
      <c r="B792" s="30" t="s">
        <v>139</v>
      </c>
      <c r="C792" s="30" t="s">
        <v>283</v>
      </c>
      <c r="D792" s="30" t="s">
        <v>141</v>
      </c>
      <c r="E792" s="35">
        <v>42914.0</v>
      </c>
      <c r="F792" s="37" t="s">
        <v>150</v>
      </c>
      <c r="G792" s="30" t="s">
        <v>4438</v>
      </c>
      <c r="H792" s="30" t="s">
        <v>407</v>
      </c>
      <c r="I792" s="30" t="s">
        <v>407</v>
      </c>
      <c r="J792" s="30" t="s">
        <v>4476</v>
      </c>
      <c r="K792" s="30" t="s">
        <v>145</v>
      </c>
      <c r="L792" s="30" t="s">
        <v>145</v>
      </c>
      <c r="M792" s="30" t="s">
        <v>145</v>
      </c>
      <c r="N792" s="30" t="s">
        <v>145</v>
      </c>
      <c r="O792" s="30" t="s">
        <v>145</v>
      </c>
      <c r="P792" s="30" t="s">
        <v>145</v>
      </c>
      <c r="Q792" s="30" t="s">
        <v>407</v>
      </c>
    </row>
    <row r="793" hidden="1">
      <c r="A793" s="33" t="s">
        <v>4378</v>
      </c>
      <c r="B793" s="30" t="s">
        <v>139</v>
      </c>
      <c r="C793" s="30" t="s">
        <v>140</v>
      </c>
      <c r="D793" s="30" t="s">
        <v>141</v>
      </c>
      <c r="E793" s="35">
        <v>42914.0</v>
      </c>
      <c r="F793" s="37" t="s">
        <v>150</v>
      </c>
      <c r="G793" s="30" t="s">
        <v>228</v>
      </c>
      <c r="H793" s="30" t="s">
        <v>407</v>
      </c>
      <c r="I793" s="30" t="s">
        <v>407</v>
      </c>
      <c r="J793" s="30" t="s">
        <v>618</v>
      </c>
      <c r="K793" s="30" t="s">
        <v>228</v>
      </c>
      <c r="L793" s="2" t="s">
        <v>1536</v>
      </c>
      <c r="M793" s="30" t="s">
        <v>145</v>
      </c>
      <c r="N793" s="30" t="s">
        <v>145</v>
      </c>
      <c r="O793" s="30" t="s">
        <v>145</v>
      </c>
      <c r="P793" s="30" t="s">
        <v>145</v>
      </c>
      <c r="Q793" s="30" t="s">
        <v>146</v>
      </c>
    </row>
    <row r="794" hidden="1">
      <c r="A794" s="33" t="s">
        <v>4382</v>
      </c>
      <c r="B794" s="30" t="s">
        <v>139</v>
      </c>
      <c r="C794" s="30" t="s">
        <v>141</v>
      </c>
      <c r="D794" s="30" t="s">
        <v>141</v>
      </c>
      <c r="E794" s="35">
        <v>42914.0</v>
      </c>
      <c r="F794" s="37" t="s">
        <v>154</v>
      </c>
      <c r="G794" s="30" t="s">
        <v>180</v>
      </c>
      <c r="H794" s="30" t="s">
        <v>145</v>
      </c>
      <c r="I794" s="30" t="s">
        <v>145</v>
      </c>
      <c r="J794" s="30" t="s">
        <v>145</v>
      </c>
      <c r="K794" s="30" t="s">
        <v>145</v>
      </c>
      <c r="L794" s="30" t="s">
        <v>145</v>
      </c>
      <c r="M794" s="30" t="s">
        <v>145</v>
      </c>
      <c r="N794" s="30" t="s">
        <v>145</v>
      </c>
      <c r="O794" s="30" t="s">
        <v>145</v>
      </c>
      <c r="P794" s="30" t="s">
        <v>145</v>
      </c>
      <c r="Q794" s="30" t="s">
        <v>180</v>
      </c>
    </row>
    <row r="795" hidden="1">
      <c r="A795" s="33" t="s">
        <v>4386</v>
      </c>
      <c r="B795" s="30" t="s">
        <v>139</v>
      </c>
      <c r="C795" s="30" t="s">
        <v>140</v>
      </c>
      <c r="D795" s="30" t="s">
        <v>141</v>
      </c>
      <c r="E795" s="35">
        <v>42914.0</v>
      </c>
      <c r="F795" s="37" t="s">
        <v>150</v>
      </c>
      <c r="G795" s="30" t="s">
        <v>228</v>
      </c>
      <c r="H795" s="30" t="s">
        <v>407</v>
      </c>
      <c r="I795" s="30" t="s">
        <v>407</v>
      </c>
      <c r="J795" s="30" t="s">
        <v>618</v>
      </c>
      <c r="K795" s="30" t="s">
        <v>228</v>
      </c>
      <c r="L795" s="30" t="s">
        <v>1441</v>
      </c>
      <c r="M795" s="2" t="s">
        <v>144</v>
      </c>
      <c r="N795" s="30" t="s">
        <v>145</v>
      </c>
      <c r="O795" s="30" t="s">
        <v>145</v>
      </c>
      <c r="P795" s="30" t="s">
        <v>145</v>
      </c>
      <c r="Q795" s="30" t="s">
        <v>146</v>
      </c>
    </row>
    <row r="796" hidden="1">
      <c r="A796" s="33" t="s">
        <v>4390</v>
      </c>
      <c r="B796" s="30" t="s">
        <v>139</v>
      </c>
      <c r="C796" s="30" t="s">
        <v>141</v>
      </c>
      <c r="D796" s="30" t="s">
        <v>141</v>
      </c>
      <c r="E796" s="35">
        <v>42914.0</v>
      </c>
      <c r="F796" s="37" t="s">
        <v>154</v>
      </c>
      <c r="G796" s="30" t="s">
        <v>180</v>
      </c>
      <c r="H796" s="30" t="s">
        <v>145</v>
      </c>
      <c r="I796" s="30" t="s">
        <v>145</v>
      </c>
      <c r="J796" s="30" t="s">
        <v>145</v>
      </c>
      <c r="K796" s="30" t="s">
        <v>145</v>
      </c>
      <c r="L796" s="30" t="s">
        <v>145</v>
      </c>
      <c r="M796" s="30" t="s">
        <v>145</v>
      </c>
      <c r="N796" s="30" t="s">
        <v>145</v>
      </c>
      <c r="O796" s="30" t="s">
        <v>145</v>
      </c>
      <c r="P796" s="30" t="s">
        <v>145</v>
      </c>
      <c r="Q796" s="30" t="s">
        <v>180</v>
      </c>
    </row>
    <row r="797" hidden="1">
      <c r="A797" s="33" t="s">
        <v>4394</v>
      </c>
      <c r="B797" s="30" t="s">
        <v>139</v>
      </c>
      <c r="C797" s="30" t="s">
        <v>141</v>
      </c>
      <c r="D797" s="30" t="s">
        <v>141</v>
      </c>
      <c r="E797" s="35">
        <v>42914.0</v>
      </c>
      <c r="F797" s="37" t="s">
        <v>150</v>
      </c>
      <c r="G797" s="30" t="s">
        <v>140</v>
      </c>
      <c r="H797" s="30" t="s">
        <v>146</v>
      </c>
      <c r="I797" s="30" t="s">
        <v>146</v>
      </c>
      <c r="J797" s="30" t="s">
        <v>185</v>
      </c>
      <c r="K797" s="30" t="s">
        <v>618</v>
      </c>
      <c r="L797" s="30" t="s">
        <v>407</v>
      </c>
      <c r="M797" s="30" t="s">
        <v>4497</v>
      </c>
      <c r="N797" s="30" t="s">
        <v>145</v>
      </c>
      <c r="O797" s="30" t="s">
        <v>145</v>
      </c>
      <c r="P797" s="30" t="s">
        <v>145</v>
      </c>
      <c r="Q797" s="30" t="s">
        <v>180</v>
      </c>
    </row>
    <row r="798" hidden="1">
      <c r="A798" s="33" t="s">
        <v>4398</v>
      </c>
      <c r="B798" s="30" t="s">
        <v>139</v>
      </c>
      <c r="C798" s="30" t="s">
        <v>155</v>
      </c>
      <c r="D798" s="30" t="s">
        <v>155</v>
      </c>
      <c r="E798" s="35">
        <v>42914.0</v>
      </c>
      <c r="F798" s="37" t="s">
        <v>150</v>
      </c>
      <c r="G798" s="30" t="s">
        <v>4499</v>
      </c>
      <c r="H798" s="30" t="s">
        <v>145</v>
      </c>
      <c r="I798" s="30" t="s">
        <v>145</v>
      </c>
      <c r="J798" s="30" t="s">
        <v>145</v>
      </c>
      <c r="K798" s="30" t="s">
        <v>145</v>
      </c>
      <c r="L798" s="30" t="s">
        <v>145</v>
      </c>
      <c r="M798" s="30" t="s">
        <v>145</v>
      </c>
      <c r="N798" s="30" t="s">
        <v>145</v>
      </c>
      <c r="O798" s="30" t="s">
        <v>145</v>
      </c>
      <c r="P798" s="30" t="s">
        <v>145</v>
      </c>
      <c r="Q798" s="30" t="s">
        <v>158</v>
      </c>
    </row>
    <row r="799" hidden="1">
      <c r="A799" s="33" t="s">
        <v>4400</v>
      </c>
      <c r="B799" s="30" t="s">
        <v>139</v>
      </c>
      <c r="C799" s="30" t="s">
        <v>216</v>
      </c>
      <c r="D799" s="30" t="s">
        <v>216</v>
      </c>
      <c r="E799" s="35">
        <v>42913.0</v>
      </c>
      <c r="F799" s="37" t="s">
        <v>184</v>
      </c>
      <c r="G799" s="30" t="s">
        <v>283</v>
      </c>
      <c r="H799" s="30" t="s">
        <v>407</v>
      </c>
      <c r="I799" s="30" t="s">
        <v>407</v>
      </c>
      <c r="J799" s="30" t="s">
        <v>618</v>
      </c>
      <c r="K799" s="30" t="s">
        <v>4505</v>
      </c>
      <c r="L799" s="30" t="s">
        <v>4506</v>
      </c>
      <c r="M799" s="30" t="s">
        <v>145</v>
      </c>
      <c r="N799" s="30" t="s">
        <v>145</v>
      </c>
      <c r="O799" s="30" t="s">
        <v>145</v>
      </c>
      <c r="P799" s="30" t="s">
        <v>145</v>
      </c>
      <c r="Q799" s="30" t="s">
        <v>1239</v>
      </c>
    </row>
    <row r="800" hidden="1">
      <c r="A800" s="33" t="s">
        <v>4404</v>
      </c>
      <c r="B800" s="30" t="s">
        <v>139</v>
      </c>
      <c r="C800" s="30" t="s">
        <v>337</v>
      </c>
      <c r="D800" s="30" t="s">
        <v>337</v>
      </c>
      <c r="E800" s="35">
        <v>42912.0</v>
      </c>
      <c r="F800" s="37" t="s">
        <v>143</v>
      </c>
      <c r="G800" s="30" t="s">
        <v>4510</v>
      </c>
      <c r="H800" s="30" t="s">
        <v>145</v>
      </c>
      <c r="I800" s="30" t="s">
        <v>145</v>
      </c>
      <c r="J800" s="30" t="s">
        <v>145</v>
      </c>
      <c r="K800" s="30" t="s">
        <v>145</v>
      </c>
      <c r="L800" s="30" t="s">
        <v>145</v>
      </c>
      <c r="M800" s="30" t="s">
        <v>145</v>
      </c>
      <c r="N800" s="30" t="s">
        <v>145</v>
      </c>
      <c r="O800" s="30" t="s">
        <v>145</v>
      </c>
      <c r="P800" s="30" t="s">
        <v>145</v>
      </c>
      <c r="Q800" s="30" t="s">
        <v>404</v>
      </c>
    </row>
    <row r="801" hidden="1">
      <c r="A801" s="33" t="s">
        <v>4407</v>
      </c>
      <c r="B801" s="30" t="s">
        <v>139</v>
      </c>
      <c r="C801" s="30" t="s">
        <v>453</v>
      </c>
      <c r="D801" s="30" t="s">
        <v>141</v>
      </c>
      <c r="E801" s="35">
        <v>42912.0</v>
      </c>
      <c r="F801" s="37" t="s">
        <v>154</v>
      </c>
      <c r="G801" s="30" t="s">
        <v>180</v>
      </c>
      <c r="H801" s="30" t="s">
        <v>145</v>
      </c>
      <c r="I801" s="30" t="s">
        <v>145</v>
      </c>
      <c r="J801" s="30" t="s">
        <v>145</v>
      </c>
      <c r="K801" s="30" t="s">
        <v>145</v>
      </c>
      <c r="L801" s="30" t="s">
        <v>145</v>
      </c>
      <c r="M801" s="30" t="s">
        <v>145</v>
      </c>
      <c r="N801" s="30" t="s">
        <v>145</v>
      </c>
      <c r="O801" s="30" t="s">
        <v>145</v>
      </c>
      <c r="P801" s="30" t="s">
        <v>145</v>
      </c>
      <c r="Q801" s="30" t="s">
        <v>180</v>
      </c>
    </row>
    <row r="802" hidden="1">
      <c r="A802" s="33" t="s">
        <v>4410</v>
      </c>
      <c r="B802" s="30" t="s">
        <v>139</v>
      </c>
      <c r="C802" s="30" t="s">
        <v>141</v>
      </c>
      <c r="D802" s="30" t="s">
        <v>141</v>
      </c>
      <c r="E802" s="35">
        <v>42912.0</v>
      </c>
      <c r="F802" s="37" t="s">
        <v>154</v>
      </c>
      <c r="G802" s="30" t="s">
        <v>180</v>
      </c>
      <c r="H802" s="30" t="s">
        <v>145</v>
      </c>
      <c r="I802" s="30" t="s">
        <v>145</v>
      </c>
      <c r="J802" s="30" t="s">
        <v>145</v>
      </c>
      <c r="K802" s="30" t="s">
        <v>145</v>
      </c>
      <c r="L802" s="30" t="s">
        <v>145</v>
      </c>
      <c r="M802" s="30" t="s">
        <v>145</v>
      </c>
      <c r="N802" s="30" t="s">
        <v>145</v>
      </c>
      <c r="O802" s="30" t="s">
        <v>145</v>
      </c>
      <c r="P802" s="30" t="s">
        <v>145</v>
      </c>
      <c r="Q802" s="30" t="s">
        <v>180</v>
      </c>
    </row>
    <row r="803" hidden="1">
      <c r="A803" s="33" t="s">
        <v>4412</v>
      </c>
      <c r="B803" s="30" t="s">
        <v>139</v>
      </c>
      <c r="C803" s="30" t="s">
        <v>140</v>
      </c>
      <c r="D803" s="30" t="s">
        <v>141</v>
      </c>
      <c r="E803" s="35">
        <v>42912.0</v>
      </c>
      <c r="F803" s="37" t="s">
        <v>154</v>
      </c>
      <c r="G803" s="30" t="s">
        <v>654</v>
      </c>
      <c r="H803" s="30" t="s">
        <v>145</v>
      </c>
      <c r="I803" s="30" t="s">
        <v>145</v>
      </c>
      <c r="J803" s="30" t="s">
        <v>145</v>
      </c>
      <c r="K803" s="30" t="s">
        <v>145</v>
      </c>
      <c r="L803" s="30" t="s">
        <v>145</v>
      </c>
      <c r="M803" s="30" t="s">
        <v>145</v>
      </c>
      <c r="N803" s="30" t="s">
        <v>145</v>
      </c>
      <c r="O803" s="30" t="s">
        <v>145</v>
      </c>
      <c r="P803" s="30" t="s">
        <v>145</v>
      </c>
      <c r="Q803" s="30" t="s">
        <v>146</v>
      </c>
    </row>
    <row r="804" hidden="1">
      <c r="A804" s="33" t="s">
        <v>4418</v>
      </c>
      <c r="B804" s="30" t="s">
        <v>139</v>
      </c>
      <c r="C804" s="30" t="s">
        <v>141</v>
      </c>
      <c r="D804" s="30" t="s">
        <v>141</v>
      </c>
      <c r="E804" s="35">
        <v>42912.0</v>
      </c>
      <c r="F804" s="37" t="s">
        <v>154</v>
      </c>
      <c r="G804" s="30" t="s">
        <v>180</v>
      </c>
      <c r="H804" s="30" t="s">
        <v>145</v>
      </c>
      <c r="I804" s="30" t="s">
        <v>145</v>
      </c>
      <c r="J804" s="30" t="s">
        <v>145</v>
      </c>
      <c r="K804" s="30" t="s">
        <v>145</v>
      </c>
      <c r="L804" s="30" t="s">
        <v>145</v>
      </c>
      <c r="M804" s="30" t="s">
        <v>145</v>
      </c>
      <c r="N804" s="30" t="s">
        <v>145</v>
      </c>
      <c r="O804" s="30" t="s">
        <v>145</v>
      </c>
      <c r="P804" s="30" t="s">
        <v>145</v>
      </c>
      <c r="Q804" s="30" t="s">
        <v>4526</v>
      </c>
    </row>
    <row r="805" hidden="1">
      <c r="A805" s="33" t="s">
        <v>4420</v>
      </c>
      <c r="B805" s="30" t="s">
        <v>139</v>
      </c>
      <c r="C805" s="30" t="s">
        <v>337</v>
      </c>
      <c r="D805" s="30" t="s">
        <v>153</v>
      </c>
      <c r="E805" s="35">
        <v>42912.0</v>
      </c>
      <c r="F805" s="37" t="s">
        <v>154</v>
      </c>
      <c r="G805" s="30" t="s">
        <v>409</v>
      </c>
      <c r="H805" s="30" t="s">
        <v>145</v>
      </c>
      <c r="I805" s="30" t="s">
        <v>145</v>
      </c>
      <c r="J805" s="30" t="s">
        <v>145</v>
      </c>
      <c r="K805" s="30" t="s">
        <v>145</v>
      </c>
      <c r="L805" s="30" t="s">
        <v>145</v>
      </c>
      <c r="M805" s="30" t="s">
        <v>145</v>
      </c>
      <c r="N805" s="30" t="s">
        <v>145</v>
      </c>
      <c r="O805" s="30" t="s">
        <v>145</v>
      </c>
      <c r="P805" s="30" t="s">
        <v>145</v>
      </c>
      <c r="Q805" s="30" t="s">
        <v>404</v>
      </c>
    </row>
    <row r="806" hidden="1">
      <c r="A806" s="33" t="s">
        <v>4424</v>
      </c>
      <c r="B806" s="30" t="s">
        <v>139</v>
      </c>
      <c r="C806" s="30" t="s">
        <v>141</v>
      </c>
      <c r="D806" s="30" t="s">
        <v>141</v>
      </c>
      <c r="E806" s="35">
        <v>42912.0</v>
      </c>
      <c r="F806" s="37" t="s">
        <v>150</v>
      </c>
      <c r="G806" s="30" t="s">
        <v>180</v>
      </c>
      <c r="H806" s="30" t="s">
        <v>180</v>
      </c>
      <c r="I806" s="30" t="s">
        <v>4535</v>
      </c>
      <c r="J806" s="30" t="s">
        <v>145</v>
      </c>
      <c r="K806" s="30" t="s">
        <v>145</v>
      </c>
      <c r="L806" s="30" t="s">
        <v>145</v>
      </c>
      <c r="M806" s="30" t="s">
        <v>145</v>
      </c>
      <c r="N806" s="30" t="s">
        <v>145</v>
      </c>
      <c r="O806" s="30" t="s">
        <v>145</v>
      </c>
      <c r="P806" s="30" t="s">
        <v>145</v>
      </c>
      <c r="Q806" s="30" t="s">
        <v>1898</v>
      </c>
    </row>
    <row r="807" hidden="1">
      <c r="A807" s="33" t="s">
        <v>4428</v>
      </c>
      <c r="B807" s="30" t="s">
        <v>139</v>
      </c>
      <c r="C807" s="30" t="s">
        <v>140</v>
      </c>
      <c r="D807" s="30" t="s">
        <v>153</v>
      </c>
      <c r="E807" s="35">
        <v>42909.0</v>
      </c>
      <c r="F807" s="37" t="s">
        <v>154</v>
      </c>
      <c r="G807" s="30" t="s">
        <v>185</v>
      </c>
      <c r="H807" s="30" t="s">
        <v>145</v>
      </c>
      <c r="I807" s="30" t="s">
        <v>145</v>
      </c>
      <c r="J807" s="30" t="s">
        <v>145</v>
      </c>
      <c r="K807" s="30" t="s">
        <v>145</v>
      </c>
      <c r="L807" s="30" t="s">
        <v>145</v>
      </c>
      <c r="M807" s="30" t="s">
        <v>145</v>
      </c>
      <c r="N807" s="30" t="s">
        <v>145</v>
      </c>
      <c r="O807" s="30" t="s">
        <v>145</v>
      </c>
      <c r="P807" s="30" t="s">
        <v>145</v>
      </c>
      <c r="Q807" s="30" t="s">
        <v>146</v>
      </c>
    </row>
    <row r="808" hidden="1">
      <c r="A808" s="33" t="s">
        <v>4432</v>
      </c>
      <c r="B808" s="30" t="s">
        <v>139</v>
      </c>
      <c r="C808" s="30" t="s">
        <v>453</v>
      </c>
      <c r="D808" s="30" t="s">
        <v>141</v>
      </c>
      <c r="E808" s="35">
        <v>42909.0</v>
      </c>
      <c r="F808" s="37" t="s">
        <v>154</v>
      </c>
      <c r="G808" s="30" t="s">
        <v>455</v>
      </c>
      <c r="H808" s="30" t="s">
        <v>145</v>
      </c>
      <c r="I808" s="30" t="s">
        <v>145</v>
      </c>
      <c r="J808" s="30" t="s">
        <v>145</v>
      </c>
      <c r="K808" s="30" t="s">
        <v>145</v>
      </c>
      <c r="L808" s="30" t="s">
        <v>145</v>
      </c>
      <c r="M808" s="30" t="s">
        <v>145</v>
      </c>
      <c r="N808" s="30" t="s">
        <v>145</v>
      </c>
      <c r="O808" s="30" t="s">
        <v>145</v>
      </c>
      <c r="P808" s="30" t="s">
        <v>145</v>
      </c>
      <c r="Q808" s="30" t="s">
        <v>457</v>
      </c>
    </row>
    <row r="809" hidden="1">
      <c r="A809" s="33" t="s">
        <v>4436</v>
      </c>
      <c r="B809" s="30" t="s">
        <v>139</v>
      </c>
      <c r="C809" s="30" t="s">
        <v>141</v>
      </c>
      <c r="D809" s="30" t="s">
        <v>141</v>
      </c>
      <c r="E809" s="35">
        <v>42909.0</v>
      </c>
      <c r="F809" s="37" t="s">
        <v>154</v>
      </c>
      <c r="G809" s="30" t="s">
        <v>2140</v>
      </c>
      <c r="H809" s="30" t="s">
        <v>145</v>
      </c>
      <c r="I809" s="30" t="s">
        <v>145</v>
      </c>
      <c r="J809" s="30" t="s">
        <v>145</v>
      </c>
      <c r="K809" s="30" t="s">
        <v>145</v>
      </c>
      <c r="L809" s="30" t="s">
        <v>145</v>
      </c>
      <c r="M809" s="30" t="s">
        <v>145</v>
      </c>
      <c r="N809" s="30" t="s">
        <v>145</v>
      </c>
      <c r="O809" s="30" t="s">
        <v>145</v>
      </c>
      <c r="P809" s="30" t="s">
        <v>145</v>
      </c>
      <c r="Q809" s="30" t="s">
        <v>180</v>
      </c>
    </row>
    <row r="810" hidden="1">
      <c r="A810" s="33" t="s">
        <v>4440</v>
      </c>
      <c r="B810" s="30" t="s">
        <v>139</v>
      </c>
      <c r="C810" s="30" t="s">
        <v>140</v>
      </c>
      <c r="D810" s="30" t="s">
        <v>141</v>
      </c>
      <c r="E810" s="35">
        <v>42909.0</v>
      </c>
      <c r="F810" s="37" t="s">
        <v>154</v>
      </c>
      <c r="G810" s="30" t="s">
        <v>1536</v>
      </c>
      <c r="H810" s="30" t="s">
        <v>145</v>
      </c>
      <c r="I810" s="30" t="s">
        <v>145</v>
      </c>
      <c r="J810" s="30" t="s">
        <v>145</v>
      </c>
      <c r="K810" s="30" t="s">
        <v>145</v>
      </c>
      <c r="L810" s="30" t="s">
        <v>145</v>
      </c>
      <c r="M810" s="30" t="s">
        <v>145</v>
      </c>
      <c r="N810" s="30" t="s">
        <v>145</v>
      </c>
      <c r="O810" s="30" t="s">
        <v>145</v>
      </c>
      <c r="P810" s="30" t="s">
        <v>145</v>
      </c>
      <c r="Q810" s="30" t="s">
        <v>146</v>
      </c>
    </row>
    <row r="811" hidden="1">
      <c r="A811" s="33" t="s">
        <v>4443</v>
      </c>
      <c r="B811" s="30" t="s">
        <v>139</v>
      </c>
      <c r="C811" s="30" t="s">
        <v>141</v>
      </c>
      <c r="D811" s="30" t="s">
        <v>141</v>
      </c>
      <c r="E811" s="35">
        <v>42909.0</v>
      </c>
      <c r="F811" s="37" t="s">
        <v>154</v>
      </c>
      <c r="G811" s="30" t="s">
        <v>180</v>
      </c>
      <c r="H811" s="30" t="s">
        <v>145</v>
      </c>
      <c r="I811" s="30" t="s">
        <v>145</v>
      </c>
      <c r="J811" s="30" t="s">
        <v>145</v>
      </c>
      <c r="K811" s="30" t="s">
        <v>145</v>
      </c>
      <c r="L811" s="30" t="s">
        <v>145</v>
      </c>
      <c r="M811" s="30" t="s">
        <v>145</v>
      </c>
      <c r="N811" s="30" t="s">
        <v>145</v>
      </c>
      <c r="O811" s="30" t="s">
        <v>145</v>
      </c>
      <c r="P811" s="30" t="s">
        <v>145</v>
      </c>
      <c r="Q811" s="30" t="s">
        <v>180</v>
      </c>
    </row>
    <row r="812" hidden="1">
      <c r="A812" s="33" t="s">
        <v>4448</v>
      </c>
      <c r="B812" s="30" t="s">
        <v>139</v>
      </c>
      <c r="C812" s="30" t="s">
        <v>453</v>
      </c>
      <c r="D812" s="30" t="s">
        <v>141</v>
      </c>
      <c r="E812" s="35">
        <v>42909.0</v>
      </c>
      <c r="F812" s="37" t="s">
        <v>154</v>
      </c>
      <c r="G812" s="30" t="s">
        <v>4559</v>
      </c>
      <c r="H812" s="30" t="s">
        <v>145</v>
      </c>
      <c r="I812" s="30" t="s">
        <v>145</v>
      </c>
      <c r="J812" s="30" t="s">
        <v>145</v>
      </c>
      <c r="K812" s="30" t="s">
        <v>145</v>
      </c>
      <c r="L812" s="30" t="s">
        <v>145</v>
      </c>
      <c r="M812" s="30" t="s">
        <v>145</v>
      </c>
      <c r="N812" s="30" t="s">
        <v>145</v>
      </c>
      <c r="O812" s="30" t="s">
        <v>145</v>
      </c>
      <c r="P812" s="30" t="s">
        <v>145</v>
      </c>
      <c r="Q812" s="30" t="s">
        <v>457</v>
      </c>
    </row>
    <row r="813" hidden="1">
      <c r="A813" s="33" t="s">
        <v>4452</v>
      </c>
      <c r="B813" s="30" t="s">
        <v>139</v>
      </c>
      <c r="C813" s="30" t="s">
        <v>453</v>
      </c>
      <c r="D813" s="30" t="s">
        <v>141</v>
      </c>
      <c r="E813" s="35">
        <v>42909.0</v>
      </c>
      <c r="F813" s="37" t="s">
        <v>154</v>
      </c>
      <c r="G813" s="30" t="s">
        <v>4559</v>
      </c>
      <c r="H813" s="30" t="s">
        <v>145</v>
      </c>
      <c r="I813" s="30" t="s">
        <v>145</v>
      </c>
      <c r="J813" s="30" t="s">
        <v>145</v>
      </c>
      <c r="K813" s="30" t="s">
        <v>145</v>
      </c>
      <c r="L813" s="30" t="s">
        <v>145</v>
      </c>
      <c r="M813" s="30" t="s">
        <v>145</v>
      </c>
      <c r="N813" s="30" t="s">
        <v>145</v>
      </c>
      <c r="O813" s="30" t="s">
        <v>145</v>
      </c>
      <c r="P813" s="30" t="s">
        <v>145</v>
      </c>
      <c r="Q813" s="30" t="s">
        <v>457</v>
      </c>
    </row>
    <row r="814" hidden="1">
      <c r="A814" s="33" t="s">
        <v>4456</v>
      </c>
      <c r="B814" s="30" t="s">
        <v>139</v>
      </c>
      <c r="C814" s="30" t="s">
        <v>141</v>
      </c>
      <c r="D814" s="30" t="s">
        <v>141</v>
      </c>
      <c r="E814" s="35">
        <v>42909.0</v>
      </c>
      <c r="F814" s="37" t="s">
        <v>154</v>
      </c>
      <c r="G814" s="30" t="s">
        <v>2140</v>
      </c>
      <c r="H814" s="30" t="s">
        <v>145</v>
      </c>
      <c r="I814" s="30" t="s">
        <v>145</v>
      </c>
      <c r="J814" s="30" t="s">
        <v>145</v>
      </c>
      <c r="K814" s="30" t="s">
        <v>145</v>
      </c>
      <c r="L814" s="30" t="s">
        <v>145</v>
      </c>
      <c r="M814" s="30" t="s">
        <v>145</v>
      </c>
      <c r="N814" s="30" t="s">
        <v>145</v>
      </c>
      <c r="O814" s="30" t="s">
        <v>145</v>
      </c>
      <c r="P814" s="30" t="s">
        <v>145</v>
      </c>
      <c r="Q814" s="30" t="s">
        <v>180</v>
      </c>
    </row>
    <row r="815" hidden="1">
      <c r="A815" s="33" t="s">
        <v>4460</v>
      </c>
      <c r="B815" s="30" t="s">
        <v>139</v>
      </c>
      <c r="C815" s="30" t="s">
        <v>140</v>
      </c>
      <c r="D815" s="30" t="s">
        <v>141</v>
      </c>
      <c r="E815" s="35">
        <v>42909.0</v>
      </c>
      <c r="F815" s="37" t="s">
        <v>154</v>
      </c>
      <c r="G815" s="30" t="s">
        <v>1536</v>
      </c>
      <c r="H815" s="30" t="s">
        <v>145</v>
      </c>
      <c r="I815" s="30" t="s">
        <v>145</v>
      </c>
      <c r="J815" s="30" t="s">
        <v>145</v>
      </c>
      <c r="K815" s="30" t="s">
        <v>145</v>
      </c>
      <c r="L815" s="30" t="s">
        <v>145</v>
      </c>
      <c r="M815" s="30" t="s">
        <v>145</v>
      </c>
      <c r="N815" s="30" t="s">
        <v>145</v>
      </c>
      <c r="O815" s="30" t="s">
        <v>145</v>
      </c>
      <c r="P815" s="30" t="s">
        <v>145</v>
      </c>
      <c r="Q815" s="30" t="s">
        <v>146</v>
      </c>
    </row>
    <row r="816" hidden="1">
      <c r="A816" s="33" t="s">
        <v>4462</v>
      </c>
      <c r="B816" s="30" t="s">
        <v>139</v>
      </c>
      <c r="C816" s="30" t="s">
        <v>141</v>
      </c>
      <c r="D816" s="30" t="s">
        <v>141</v>
      </c>
      <c r="E816" s="35">
        <v>42909.0</v>
      </c>
      <c r="F816" s="37" t="s">
        <v>154</v>
      </c>
      <c r="G816" s="30" t="s">
        <v>180</v>
      </c>
      <c r="H816" s="30" t="s">
        <v>145</v>
      </c>
      <c r="I816" s="30" t="s">
        <v>145</v>
      </c>
      <c r="J816" s="30" t="s">
        <v>145</v>
      </c>
      <c r="K816" s="30" t="s">
        <v>145</v>
      </c>
      <c r="L816" s="30" t="s">
        <v>145</v>
      </c>
      <c r="M816" s="30" t="s">
        <v>145</v>
      </c>
      <c r="N816" s="30" t="s">
        <v>145</v>
      </c>
      <c r="O816" s="30" t="s">
        <v>145</v>
      </c>
      <c r="P816" s="30" t="s">
        <v>145</v>
      </c>
      <c r="Q816" s="30" t="s">
        <v>180</v>
      </c>
    </row>
    <row r="817" hidden="1">
      <c r="A817" s="33" t="s">
        <v>4467</v>
      </c>
      <c r="B817" s="30" t="s">
        <v>139</v>
      </c>
      <c r="C817" s="30" t="s">
        <v>283</v>
      </c>
      <c r="D817" s="30" t="s">
        <v>141</v>
      </c>
      <c r="E817" s="35">
        <v>42909.0</v>
      </c>
      <c r="F817" s="37" t="s">
        <v>150</v>
      </c>
      <c r="G817" s="30" t="s">
        <v>228</v>
      </c>
      <c r="H817" s="30" t="s">
        <v>145</v>
      </c>
      <c r="I817" s="30" t="s">
        <v>145</v>
      </c>
      <c r="J817" s="30" t="s">
        <v>145</v>
      </c>
      <c r="K817" s="30" t="s">
        <v>145</v>
      </c>
      <c r="L817" s="30" t="s">
        <v>145</v>
      </c>
      <c r="M817" s="30" t="s">
        <v>145</v>
      </c>
      <c r="N817" s="30" t="s">
        <v>145</v>
      </c>
      <c r="O817" s="30" t="s">
        <v>145</v>
      </c>
      <c r="P817" s="30" t="s">
        <v>145</v>
      </c>
      <c r="Q817" s="30" t="s">
        <v>407</v>
      </c>
    </row>
    <row r="818" hidden="1">
      <c r="A818" s="33" t="s">
        <v>4472</v>
      </c>
      <c r="B818" s="30" t="s">
        <v>139</v>
      </c>
      <c r="C818" s="30" t="s">
        <v>141</v>
      </c>
      <c r="D818" s="30" t="s">
        <v>141</v>
      </c>
      <c r="E818" s="35">
        <v>42909.0</v>
      </c>
      <c r="F818" s="37" t="s">
        <v>154</v>
      </c>
      <c r="G818" s="30" t="s">
        <v>2140</v>
      </c>
      <c r="H818" s="30" t="s">
        <v>145</v>
      </c>
      <c r="I818" s="30" t="s">
        <v>145</v>
      </c>
      <c r="J818" s="30" t="s">
        <v>145</v>
      </c>
      <c r="K818" s="30" t="s">
        <v>145</v>
      </c>
      <c r="L818" s="30" t="s">
        <v>145</v>
      </c>
      <c r="M818" s="30" t="s">
        <v>145</v>
      </c>
      <c r="N818" s="30" t="s">
        <v>145</v>
      </c>
      <c r="O818" s="30" t="s">
        <v>145</v>
      </c>
      <c r="P818" s="30" t="s">
        <v>145</v>
      </c>
      <c r="Q818" s="30" t="s">
        <v>180</v>
      </c>
    </row>
    <row r="819" hidden="1">
      <c r="A819" s="33" t="s">
        <v>4479</v>
      </c>
      <c r="B819" s="30" t="s">
        <v>139</v>
      </c>
      <c r="C819" s="30" t="s">
        <v>140</v>
      </c>
      <c r="D819" s="30" t="s">
        <v>141</v>
      </c>
      <c r="E819" s="35">
        <v>42909.0</v>
      </c>
      <c r="F819" s="37" t="s">
        <v>154</v>
      </c>
      <c r="G819" s="30" t="s">
        <v>1536</v>
      </c>
      <c r="H819" s="30" t="s">
        <v>145</v>
      </c>
      <c r="I819" s="30" t="s">
        <v>145</v>
      </c>
      <c r="J819" s="30" t="s">
        <v>145</v>
      </c>
      <c r="K819" s="30" t="s">
        <v>145</v>
      </c>
      <c r="L819" s="30" t="s">
        <v>145</v>
      </c>
      <c r="M819" s="30" t="s">
        <v>145</v>
      </c>
      <c r="N819" s="30" t="s">
        <v>145</v>
      </c>
      <c r="O819" s="30" t="s">
        <v>145</v>
      </c>
      <c r="P819" s="30" t="s">
        <v>145</v>
      </c>
      <c r="Q819" s="30" t="s">
        <v>146</v>
      </c>
    </row>
    <row r="820" hidden="1">
      <c r="A820" s="33" t="s">
        <v>4482</v>
      </c>
      <c r="B820" s="30" t="s">
        <v>139</v>
      </c>
      <c r="C820" s="30" t="s">
        <v>141</v>
      </c>
      <c r="D820" s="30" t="s">
        <v>141</v>
      </c>
      <c r="E820" s="35">
        <v>42909.0</v>
      </c>
      <c r="F820" s="37" t="s">
        <v>154</v>
      </c>
      <c r="G820" s="30" t="s">
        <v>180</v>
      </c>
      <c r="H820" s="30" t="s">
        <v>145</v>
      </c>
      <c r="I820" s="30" t="s">
        <v>145</v>
      </c>
      <c r="J820" s="30" t="s">
        <v>145</v>
      </c>
      <c r="K820" s="30" t="s">
        <v>145</v>
      </c>
      <c r="L820" s="30" t="s">
        <v>145</v>
      </c>
      <c r="M820" s="30" t="s">
        <v>145</v>
      </c>
      <c r="N820" s="30" t="s">
        <v>145</v>
      </c>
      <c r="O820" s="30" t="s">
        <v>145</v>
      </c>
      <c r="P820" s="30" t="s">
        <v>145</v>
      </c>
      <c r="Q820" s="30" t="s">
        <v>180</v>
      </c>
    </row>
    <row r="821" hidden="1">
      <c r="A821" s="33" t="s">
        <v>4485</v>
      </c>
      <c r="B821" s="30" t="s">
        <v>139</v>
      </c>
      <c r="C821" s="30" t="s">
        <v>283</v>
      </c>
      <c r="D821" s="30" t="s">
        <v>141</v>
      </c>
      <c r="E821" s="35">
        <v>42909.0</v>
      </c>
      <c r="F821" s="37" t="s">
        <v>150</v>
      </c>
      <c r="G821" s="30" t="s">
        <v>228</v>
      </c>
      <c r="H821" s="30" t="s">
        <v>145</v>
      </c>
      <c r="I821" s="30" t="s">
        <v>145</v>
      </c>
      <c r="J821" s="30" t="s">
        <v>145</v>
      </c>
      <c r="K821" s="30" t="s">
        <v>145</v>
      </c>
      <c r="L821" s="30" t="s">
        <v>145</v>
      </c>
      <c r="M821" s="30" t="s">
        <v>145</v>
      </c>
      <c r="N821" s="30" t="s">
        <v>145</v>
      </c>
      <c r="O821" s="30" t="s">
        <v>145</v>
      </c>
      <c r="P821" s="30" t="s">
        <v>145</v>
      </c>
      <c r="Q821" s="30" t="s">
        <v>407</v>
      </c>
    </row>
    <row r="822" hidden="1">
      <c r="A822" s="33" t="str">
        <f>hyperlink("https://issues.sierrawireless.com/browse/QTI9X28-2700", "QTI9X28-2700")</f>
        <v>QTI9X28-2700</v>
      </c>
      <c r="B822" s="30" t="s">
        <v>417</v>
      </c>
      <c r="C822" s="30" t="s">
        <v>140</v>
      </c>
      <c r="D822" s="30" t="s">
        <v>4613</v>
      </c>
      <c r="E822" s="35">
        <v>43075.0</v>
      </c>
      <c r="F822" s="37" t="s">
        <v>379</v>
      </c>
      <c r="G822" s="2" t="s">
        <v>4613</v>
      </c>
      <c r="H822" s="30" t="s">
        <v>166</v>
      </c>
      <c r="I822" s="30" t="s">
        <v>166</v>
      </c>
      <c r="J822" s="30" t="s">
        <v>166</v>
      </c>
      <c r="K822" s="30" t="s">
        <v>166</v>
      </c>
      <c r="L822" s="30" t="s">
        <v>166</v>
      </c>
      <c r="M822" s="30" t="s">
        <v>166</v>
      </c>
      <c r="N822" s="30" t="s">
        <v>145</v>
      </c>
      <c r="O822" s="30" t="s">
        <v>145</v>
      </c>
      <c r="P822" s="30" t="s">
        <v>145</v>
      </c>
      <c r="Q822" s="30" t="s">
        <v>166</v>
      </c>
    </row>
    <row r="823" hidden="1">
      <c r="A823" s="33" t="s">
        <v>4489</v>
      </c>
      <c r="B823" s="30" t="s">
        <v>139</v>
      </c>
      <c r="C823" s="30" t="s">
        <v>141</v>
      </c>
      <c r="D823" s="30" t="s">
        <v>141</v>
      </c>
      <c r="E823" s="35">
        <v>42909.0</v>
      </c>
      <c r="F823" s="37" t="s">
        <v>150</v>
      </c>
      <c r="G823" s="30" t="s">
        <v>626</v>
      </c>
      <c r="H823" s="30" t="s">
        <v>146</v>
      </c>
      <c r="I823" s="30" t="s">
        <v>146</v>
      </c>
      <c r="J823" s="30" t="s">
        <v>146</v>
      </c>
      <c r="K823" s="30" t="s">
        <v>4619</v>
      </c>
      <c r="L823" s="30" t="s">
        <v>145</v>
      </c>
      <c r="M823" s="30" t="s">
        <v>145</v>
      </c>
      <c r="N823" s="30" t="s">
        <v>145</v>
      </c>
      <c r="O823" s="30" t="s">
        <v>145</v>
      </c>
      <c r="P823" s="30" t="s">
        <v>145</v>
      </c>
      <c r="Q823" s="30" t="s">
        <v>1898</v>
      </c>
    </row>
    <row r="824" hidden="1">
      <c r="A824" s="33" t="s">
        <v>4493</v>
      </c>
      <c r="B824" s="30" t="s">
        <v>139</v>
      </c>
      <c r="C824" s="30" t="s">
        <v>141</v>
      </c>
      <c r="D824" s="30" t="s">
        <v>283</v>
      </c>
      <c r="E824" s="35">
        <v>42907.0</v>
      </c>
      <c r="F824" s="37" t="s">
        <v>154</v>
      </c>
      <c r="G824" s="30" t="s">
        <v>1411</v>
      </c>
      <c r="H824" s="30" t="s">
        <v>145</v>
      </c>
      <c r="I824" s="30" t="s">
        <v>145</v>
      </c>
      <c r="J824" s="30" t="s">
        <v>145</v>
      </c>
      <c r="K824" s="30" t="s">
        <v>145</v>
      </c>
      <c r="L824" s="30" t="s">
        <v>145</v>
      </c>
      <c r="M824" s="30" t="s">
        <v>145</v>
      </c>
      <c r="N824" s="30" t="s">
        <v>145</v>
      </c>
      <c r="O824" s="30" t="s">
        <v>145</v>
      </c>
      <c r="P824" s="30" t="s">
        <v>145</v>
      </c>
      <c r="Q824" s="30" t="s">
        <v>407</v>
      </c>
    </row>
    <row r="825" hidden="1">
      <c r="A825" s="33" t="s">
        <v>4498</v>
      </c>
      <c r="B825" s="30" t="s">
        <v>139</v>
      </c>
      <c r="C825" s="30" t="s">
        <v>141</v>
      </c>
      <c r="D825" s="30" t="s">
        <v>283</v>
      </c>
      <c r="E825" s="35">
        <v>42907.0</v>
      </c>
      <c r="F825" s="37" t="s">
        <v>154</v>
      </c>
      <c r="G825" s="30" t="s">
        <v>3321</v>
      </c>
      <c r="H825" s="30" t="s">
        <v>145</v>
      </c>
      <c r="I825" s="30" t="s">
        <v>145</v>
      </c>
      <c r="J825" s="30" t="s">
        <v>145</v>
      </c>
      <c r="K825" s="30" t="s">
        <v>145</v>
      </c>
      <c r="L825" s="30" t="s">
        <v>145</v>
      </c>
      <c r="M825" s="30" t="s">
        <v>145</v>
      </c>
      <c r="N825" s="30" t="s">
        <v>145</v>
      </c>
      <c r="O825" s="30" t="s">
        <v>145</v>
      </c>
      <c r="P825" s="30" t="s">
        <v>145</v>
      </c>
      <c r="Q825" s="30" t="s">
        <v>180</v>
      </c>
    </row>
    <row r="826" hidden="1">
      <c r="A826" s="33" t="s">
        <v>4503</v>
      </c>
      <c r="B826" s="30" t="s">
        <v>139</v>
      </c>
      <c r="C826" s="30" t="s">
        <v>140</v>
      </c>
      <c r="D826" s="30" t="s">
        <v>140</v>
      </c>
      <c r="E826" s="35">
        <v>42907.0</v>
      </c>
      <c r="F826" s="37" t="s">
        <v>452</v>
      </c>
      <c r="G826" s="30" t="s">
        <v>146</v>
      </c>
      <c r="H826" s="30" t="s">
        <v>145</v>
      </c>
      <c r="I826" s="30" t="s">
        <v>146</v>
      </c>
      <c r="J826" s="30" t="s">
        <v>4632</v>
      </c>
      <c r="K826" s="2" t="s">
        <v>146</v>
      </c>
      <c r="L826" s="30" t="s">
        <v>145</v>
      </c>
      <c r="M826" s="30" t="s">
        <v>145</v>
      </c>
      <c r="N826" s="30" t="s">
        <v>145</v>
      </c>
      <c r="O826" s="30" t="s">
        <v>145</v>
      </c>
      <c r="P826" s="30" t="s">
        <v>145</v>
      </c>
      <c r="Q826" s="30" t="s">
        <v>146</v>
      </c>
    </row>
    <row r="827" hidden="1">
      <c r="A827" s="33" t="s">
        <v>4509</v>
      </c>
      <c r="B827" s="30" t="s">
        <v>139</v>
      </c>
      <c r="C827" s="30" t="s">
        <v>140</v>
      </c>
      <c r="D827" s="30" t="s">
        <v>177</v>
      </c>
      <c r="E827" s="35">
        <v>42907.0</v>
      </c>
      <c r="F827" s="37" t="s">
        <v>154</v>
      </c>
      <c r="G827" s="30" t="s">
        <v>438</v>
      </c>
      <c r="H827" s="30" t="s">
        <v>145</v>
      </c>
      <c r="I827" s="30" t="s">
        <v>145</v>
      </c>
      <c r="J827" s="30" t="s">
        <v>145</v>
      </c>
      <c r="K827" s="30" t="s">
        <v>145</v>
      </c>
      <c r="L827" s="30" t="s">
        <v>145</v>
      </c>
      <c r="M827" s="30" t="s">
        <v>145</v>
      </c>
      <c r="N827" s="30" t="s">
        <v>145</v>
      </c>
      <c r="O827" s="30" t="s">
        <v>145</v>
      </c>
      <c r="P827" s="30" t="s">
        <v>145</v>
      </c>
      <c r="Q827" s="30" t="s">
        <v>146</v>
      </c>
    </row>
    <row r="828" hidden="1">
      <c r="A828" s="33" t="s">
        <v>4513</v>
      </c>
      <c r="B828" s="30" t="s">
        <v>139</v>
      </c>
      <c r="C828" s="30" t="s">
        <v>337</v>
      </c>
      <c r="D828" s="30" t="s">
        <v>177</v>
      </c>
      <c r="E828" s="35">
        <v>42907.0</v>
      </c>
      <c r="F828" s="37" t="s">
        <v>154</v>
      </c>
      <c r="G828" s="30" t="s">
        <v>4642</v>
      </c>
      <c r="H828" s="30" t="s">
        <v>145</v>
      </c>
      <c r="I828" s="30" t="s">
        <v>145</v>
      </c>
      <c r="J828" s="30" t="s">
        <v>145</v>
      </c>
      <c r="K828" s="30" t="s">
        <v>145</v>
      </c>
      <c r="L828" s="30" t="s">
        <v>145</v>
      </c>
      <c r="M828" s="30" t="s">
        <v>145</v>
      </c>
      <c r="N828" s="30" t="s">
        <v>145</v>
      </c>
      <c r="O828" s="30" t="s">
        <v>145</v>
      </c>
      <c r="P828" s="30" t="s">
        <v>145</v>
      </c>
      <c r="Q828" s="30" t="s">
        <v>1471</v>
      </c>
    </row>
    <row r="829" hidden="1">
      <c r="A829" s="33" t="s">
        <v>4518</v>
      </c>
      <c r="B829" s="30" t="s">
        <v>139</v>
      </c>
      <c r="C829" s="30" t="s">
        <v>453</v>
      </c>
      <c r="D829" s="30" t="s">
        <v>177</v>
      </c>
      <c r="E829" s="35">
        <v>42907.0</v>
      </c>
      <c r="F829" s="37" t="s">
        <v>154</v>
      </c>
      <c r="G829" s="30" t="s">
        <v>1471</v>
      </c>
      <c r="H829" s="30" t="s">
        <v>145</v>
      </c>
      <c r="I829" s="30" t="s">
        <v>145</v>
      </c>
      <c r="J829" s="30" t="s">
        <v>145</v>
      </c>
      <c r="K829" s="30" t="s">
        <v>145</v>
      </c>
      <c r="L829" s="30" t="s">
        <v>145</v>
      </c>
      <c r="M829" s="30" t="s">
        <v>145</v>
      </c>
      <c r="N829" s="30" t="s">
        <v>145</v>
      </c>
      <c r="O829" s="30" t="s">
        <v>145</v>
      </c>
      <c r="P829" s="30" t="s">
        <v>145</v>
      </c>
      <c r="Q829" s="30" t="s">
        <v>1471</v>
      </c>
    </row>
    <row r="830" hidden="1">
      <c r="A830" s="33" t="s">
        <v>4522</v>
      </c>
      <c r="B830" s="30" t="s">
        <v>139</v>
      </c>
      <c r="C830" s="30" t="s">
        <v>283</v>
      </c>
      <c r="D830" s="30" t="s">
        <v>177</v>
      </c>
      <c r="E830" s="35">
        <v>42907.0</v>
      </c>
      <c r="F830" s="37" t="s">
        <v>154</v>
      </c>
      <c r="G830" s="30" t="s">
        <v>4656</v>
      </c>
      <c r="H830" s="30" t="s">
        <v>145</v>
      </c>
      <c r="I830" s="30" t="s">
        <v>145</v>
      </c>
      <c r="J830" s="30" t="s">
        <v>145</v>
      </c>
      <c r="K830" s="30" t="s">
        <v>145</v>
      </c>
      <c r="L830" s="30" t="s">
        <v>145</v>
      </c>
      <c r="M830" s="30" t="s">
        <v>145</v>
      </c>
      <c r="N830" s="30" t="s">
        <v>145</v>
      </c>
      <c r="O830" s="30" t="s">
        <v>145</v>
      </c>
      <c r="P830" s="30" t="s">
        <v>145</v>
      </c>
      <c r="Q830" s="30" t="s">
        <v>407</v>
      </c>
    </row>
    <row r="831" hidden="1">
      <c r="A831" s="33" t="s">
        <v>4527</v>
      </c>
      <c r="B831" s="30" t="s">
        <v>139</v>
      </c>
      <c r="C831" s="30" t="s">
        <v>283</v>
      </c>
      <c r="D831" s="30" t="s">
        <v>177</v>
      </c>
      <c r="E831" s="35">
        <v>42907.0</v>
      </c>
      <c r="F831" s="37" t="s">
        <v>154</v>
      </c>
      <c r="G831" s="30" t="s">
        <v>4656</v>
      </c>
      <c r="H831" s="30" t="s">
        <v>145</v>
      </c>
      <c r="I831" s="30" t="s">
        <v>145</v>
      </c>
      <c r="J831" s="30" t="s">
        <v>145</v>
      </c>
      <c r="K831" s="30" t="s">
        <v>145</v>
      </c>
      <c r="L831" s="30" t="s">
        <v>145</v>
      </c>
      <c r="M831" s="30" t="s">
        <v>145</v>
      </c>
      <c r="N831" s="30" t="s">
        <v>145</v>
      </c>
      <c r="O831" s="30" t="s">
        <v>145</v>
      </c>
      <c r="P831" s="30" t="s">
        <v>145</v>
      </c>
      <c r="Q831" s="30" t="s">
        <v>407</v>
      </c>
    </row>
    <row r="832" hidden="1">
      <c r="A832" s="33" t="s">
        <v>4530</v>
      </c>
      <c r="B832" s="30" t="s">
        <v>139</v>
      </c>
      <c r="C832" s="30" t="s">
        <v>140</v>
      </c>
      <c r="D832" s="30" t="s">
        <v>177</v>
      </c>
      <c r="E832" s="35">
        <v>42907.0</v>
      </c>
      <c r="F832" s="37" t="s">
        <v>154</v>
      </c>
      <c r="G832" s="30" t="s">
        <v>3076</v>
      </c>
      <c r="H832" s="30" t="s">
        <v>145</v>
      </c>
      <c r="I832" s="30" t="s">
        <v>145</v>
      </c>
      <c r="J832" s="30" t="s">
        <v>145</v>
      </c>
      <c r="K832" s="30" t="s">
        <v>145</v>
      </c>
      <c r="L832" s="30" t="s">
        <v>145</v>
      </c>
      <c r="M832" s="30" t="s">
        <v>145</v>
      </c>
      <c r="N832" s="30" t="s">
        <v>145</v>
      </c>
      <c r="O832" s="30" t="s">
        <v>145</v>
      </c>
      <c r="P832" s="30" t="s">
        <v>145</v>
      </c>
      <c r="Q832" s="30" t="s">
        <v>146</v>
      </c>
    </row>
    <row r="833" hidden="1">
      <c r="A833" s="33" t="s">
        <v>4531</v>
      </c>
      <c r="B833" s="30" t="s">
        <v>139</v>
      </c>
      <c r="C833" s="30" t="s">
        <v>337</v>
      </c>
      <c r="D833" s="30" t="s">
        <v>177</v>
      </c>
      <c r="E833" s="35">
        <v>42907.0</v>
      </c>
      <c r="F833" s="37" t="s">
        <v>154</v>
      </c>
      <c r="G833" s="30" t="s">
        <v>1471</v>
      </c>
      <c r="H833" s="30" t="s">
        <v>145</v>
      </c>
      <c r="I833" s="30" t="s">
        <v>145</v>
      </c>
      <c r="J833" s="30" t="s">
        <v>145</v>
      </c>
      <c r="K833" s="30" t="s">
        <v>145</v>
      </c>
      <c r="L833" s="30" t="s">
        <v>145</v>
      </c>
      <c r="M833" s="30" t="s">
        <v>145</v>
      </c>
      <c r="N833" s="30" t="s">
        <v>145</v>
      </c>
      <c r="O833" s="30" t="s">
        <v>145</v>
      </c>
      <c r="P833" s="30" t="s">
        <v>145</v>
      </c>
      <c r="Q833" s="30" t="s">
        <v>1471</v>
      </c>
    </row>
    <row r="834" hidden="1">
      <c r="A834" s="33" t="s">
        <v>4538</v>
      </c>
      <c r="B834" s="30" t="s">
        <v>139</v>
      </c>
      <c r="C834" s="30" t="s">
        <v>453</v>
      </c>
      <c r="D834" s="30" t="s">
        <v>177</v>
      </c>
      <c r="E834" s="35">
        <v>42907.0</v>
      </c>
      <c r="F834" s="37" t="s">
        <v>154</v>
      </c>
      <c r="G834" s="30" t="s">
        <v>1471</v>
      </c>
      <c r="H834" s="30" t="s">
        <v>145</v>
      </c>
      <c r="I834" s="30" t="s">
        <v>145</v>
      </c>
      <c r="J834" s="30" t="s">
        <v>145</v>
      </c>
      <c r="K834" s="30" t="s">
        <v>145</v>
      </c>
      <c r="L834" s="30" t="s">
        <v>145</v>
      </c>
      <c r="M834" s="30" t="s">
        <v>145</v>
      </c>
      <c r="N834" s="30" t="s">
        <v>145</v>
      </c>
      <c r="O834" s="30" t="s">
        <v>145</v>
      </c>
      <c r="P834" s="30" t="s">
        <v>145</v>
      </c>
      <c r="Q834" s="30" t="s">
        <v>1471</v>
      </c>
    </row>
    <row r="835" hidden="1">
      <c r="A835" s="33" t="s">
        <v>4542</v>
      </c>
      <c r="B835" s="30" t="s">
        <v>139</v>
      </c>
      <c r="C835" s="30" t="s">
        <v>216</v>
      </c>
      <c r="D835" s="30" t="s">
        <v>216</v>
      </c>
      <c r="E835" s="35">
        <v>42907.0</v>
      </c>
      <c r="F835" s="37" t="s">
        <v>150</v>
      </c>
      <c r="G835" s="30" t="s">
        <v>1411</v>
      </c>
      <c r="H835" s="30" t="s">
        <v>407</v>
      </c>
      <c r="I835" s="30" t="s">
        <v>407</v>
      </c>
      <c r="J835" s="30" t="s">
        <v>228</v>
      </c>
      <c r="K835" s="30" t="s">
        <v>407</v>
      </c>
      <c r="L835" s="30" t="s">
        <v>146</v>
      </c>
      <c r="M835" s="30" t="s">
        <v>4694</v>
      </c>
      <c r="N835" s="30" t="s">
        <v>145</v>
      </c>
      <c r="O835" s="30" t="s">
        <v>145</v>
      </c>
      <c r="P835" s="30" t="s">
        <v>145</v>
      </c>
      <c r="Q835" s="30" t="s">
        <v>1898</v>
      </c>
    </row>
    <row r="836" hidden="1">
      <c r="A836" s="33" t="s">
        <v>4546</v>
      </c>
      <c r="B836" s="30" t="s">
        <v>139</v>
      </c>
      <c r="C836" s="30" t="s">
        <v>216</v>
      </c>
      <c r="D836" s="30" t="s">
        <v>216</v>
      </c>
      <c r="E836" s="35">
        <v>42907.0</v>
      </c>
      <c r="F836" s="37" t="s">
        <v>150</v>
      </c>
      <c r="G836" s="30" t="s">
        <v>1411</v>
      </c>
      <c r="H836" s="30" t="s">
        <v>407</v>
      </c>
      <c r="I836" s="30" t="s">
        <v>407</v>
      </c>
      <c r="J836" s="30" t="s">
        <v>1737</v>
      </c>
      <c r="K836" s="30" t="s">
        <v>618</v>
      </c>
      <c r="L836" s="30" t="s">
        <v>1411</v>
      </c>
      <c r="M836" s="30" t="s">
        <v>407</v>
      </c>
      <c r="N836" s="30" t="s">
        <v>145</v>
      </c>
      <c r="O836" s="30" t="s">
        <v>145</v>
      </c>
      <c r="P836" s="30" t="s">
        <v>145</v>
      </c>
      <c r="Q836" s="30" t="s">
        <v>1898</v>
      </c>
    </row>
    <row r="837" hidden="1">
      <c r="A837" s="33" t="s">
        <v>4550</v>
      </c>
      <c r="B837" s="30" t="s">
        <v>139</v>
      </c>
      <c r="C837" s="30" t="s">
        <v>177</v>
      </c>
      <c r="D837" s="30" t="s">
        <v>177</v>
      </c>
      <c r="E837" s="35">
        <v>42907.0</v>
      </c>
      <c r="F837" s="37" t="s">
        <v>150</v>
      </c>
      <c r="G837" s="30" t="s">
        <v>3029</v>
      </c>
      <c r="H837" s="30" t="s">
        <v>457</v>
      </c>
      <c r="I837" s="30" t="s">
        <v>457</v>
      </c>
      <c r="J837" s="30" t="s">
        <v>163</v>
      </c>
      <c r="K837" s="30" t="s">
        <v>146</v>
      </c>
      <c r="L837" s="30" t="s">
        <v>4710</v>
      </c>
      <c r="M837" s="30" t="s">
        <v>4711</v>
      </c>
      <c r="N837" s="30" t="s">
        <v>145</v>
      </c>
      <c r="O837" s="30" t="s">
        <v>145</v>
      </c>
      <c r="P837" s="30" t="s">
        <v>145</v>
      </c>
      <c r="Q837" s="30" t="s">
        <v>1898</v>
      </c>
    </row>
    <row r="838" hidden="1">
      <c r="A838" s="33" t="s">
        <v>4554</v>
      </c>
      <c r="B838" s="30" t="s">
        <v>139</v>
      </c>
      <c r="C838" s="30" t="s">
        <v>177</v>
      </c>
      <c r="D838" s="30" t="s">
        <v>177</v>
      </c>
      <c r="E838" s="35">
        <v>42907.0</v>
      </c>
      <c r="F838" s="37" t="s">
        <v>150</v>
      </c>
      <c r="G838" s="30" t="s">
        <v>4718</v>
      </c>
      <c r="H838" s="30" t="s">
        <v>457</v>
      </c>
      <c r="I838" s="30" t="s">
        <v>457</v>
      </c>
      <c r="J838" s="30" t="s">
        <v>146</v>
      </c>
      <c r="K838" s="30" t="s">
        <v>4438</v>
      </c>
      <c r="L838" s="30" t="s">
        <v>407</v>
      </c>
      <c r="M838" s="30" t="s">
        <v>4719</v>
      </c>
      <c r="N838" s="30" t="s">
        <v>145</v>
      </c>
      <c r="O838" s="30" t="s">
        <v>145</v>
      </c>
      <c r="P838" s="30" t="s">
        <v>145</v>
      </c>
      <c r="Q838" s="30" t="s">
        <v>1898</v>
      </c>
    </row>
    <row r="839" hidden="1">
      <c r="A839" s="33" t="str">
        <f>hyperlink("https://issues.sierrawireless.com/browse/OEMPRI-3735", "OEMPRI-3735")</f>
        <v>OEMPRI-3735</v>
      </c>
      <c r="B839" s="30" t="s">
        <v>139</v>
      </c>
      <c r="C839" s="30" t="s">
        <v>140</v>
      </c>
      <c r="D839" s="30" t="s">
        <v>4728</v>
      </c>
      <c r="E839" s="35">
        <v>42905.0</v>
      </c>
      <c r="F839" s="37" t="s">
        <v>154</v>
      </c>
      <c r="G839" s="30" t="s">
        <v>185</v>
      </c>
      <c r="H839" s="30" t="s">
        <v>145</v>
      </c>
      <c r="I839" s="30" t="s">
        <v>145</v>
      </c>
      <c r="J839" s="30" t="s">
        <v>145</v>
      </c>
      <c r="K839" s="30" t="s">
        <v>145</v>
      </c>
      <c r="L839" s="30" t="s">
        <v>145</v>
      </c>
      <c r="M839" s="30" t="s">
        <v>145</v>
      </c>
      <c r="N839" s="30" t="s">
        <v>145</v>
      </c>
      <c r="O839" s="30" t="s">
        <v>145</v>
      </c>
      <c r="P839" s="30" t="s">
        <v>145</v>
      </c>
      <c r="Q839" s="30" t="s">
        <v>146</v>
      </c>
    </row>
    <row r="840" hidden="1">
      <c r="A840" s="33" t="s">
        <v>4556</v>
      </c>
      <c r="B840" s="30" t="s">
        <v>139</v>
      </c>
      <c r="C840" s="30" t="s">
        <v>140</v>
      </c>
      <c r="D840" s="30" t="s">
        <v>122</v>
      </c>
      <c r="E840" s="35">
        <v>42901.0</v>
      </c>
      <c r="F840" s="37" t="s">
        <v>150</v>
      </c>
      <c r="G840" s="30" t="s">
        <v>4736</v>
      </c>
      <c r="H840" s="30" t="s">
        <v>4738</v>
      </c>
      <c r="I840" s="30" t="s">
        <v>4738</v>
      </c>
      <c r="J840" s="30" t="s">
        <v>4738</v>
      </c>
      <c r="K840" s="30" t="s">
        <v>4739</v>
      </c>
      <c r="L840" s="30" t="s">
        <v>4736</v>
      </c>
      <c r="M840" s="30" t="s">
        <v>146</v>
      </c>
      <c r="N840" s="30" t="s">
        <v>145</v>
      </c>
      <c r="O840" s="30" t="s">
        <v>145</v>
      </c>
      <c r="P840" s="30" t="s">
        <v>145</v>
      </c>
      <c r="Q840" s="30" t="s">
        <v>146</v>
      </c>
    </row>
    <row r="841" hidden="1">
      <c r="A841" s="33" t="s">
        <v>4560</v>
      </c>
      <c r="B841" s="30" t="s">
        <v>139</v>
      </c>
      <c r="C841" s="30" t="s">
        <v>140</v>
      </c>
      <c r="D841" s="30" t="s">
        <v>122</v>
      </c>
      <c r="E841" s="35">
        <v>42901.0</v>
      </c>
      <c r="F841" s="37" t="s">
        <v>150</v>
      </c>
      <c r="G841" s="30" t="s">
        <v>140</v>
      </c>
      <c r="H841" s="30" t="s">
        <v>146</v>
      </c>
      <c r="I841" s="30" t="s">
        <v>503</v>
      </c>
      <c r="J841" s="30" t="s">
        <v>146</v>
      </c>
      <c r="K841" s="30" t="s">
        <v>146</v>
      </c>
      <c r="L841" s="30" t="s">
        <v>146</v>
      </c>
      <c r="M841" s="30" t="s">
        <v>146</v>
      </c>
      <c r="N841" s="30" t="s">
        <v>145</v>
      </c>
      <c r="O841" s="30" t="s">
        <v>145</v>
      </c>
      <c r="P841" s="30" t="s">
        <v>145</v>
      </c>
      <c r="Q841" s="30" t="s">
        <v>146</v>
      </c>
    </row>
    <row r="842" hidden="1">
      <c r="A842" s="33" t="str">
        <f>hyperlink("https://issues.sierrawireless.com/browse/OEMPRI-3718", "OEMPRI-3718")</f>
        <v>OEMPRI-3718</v>
      </c>
      <c r="B842" s="30" t="s">
        <v>139</v>
      </c>
      <c r="C842" s="30" t="s">
        <v>140</v>
      </c>
      <c r="D842" s="30" t="s">
        <v>4728</v>
      </c>
      <c r="E842" s="35">
        <v>42901.0</v>
      </c>
      <c r="F842" s="37" t="s">
        <v>154</v>
      </c>
      <c r="G842" s="30" t="s">
        <v>503</v>
      </c>
      <c r="H842" s="30" t="s">
        <v>145</v>
      </c>
      <c r="I842" s="30" t="s">
        <v>145</v>
      </c>
      <c r="J842" s="30" t="s">
        <v>145</v>
      </c>
      <c r="K842" s="30" t="s">
        <v>145</v>
      </c>
      <c r="L842" s="30" t="s">
        <v>145</v>
      </c>
      <c r="M842" s="30" t="s">
        <v>145</v>
      </c>
      <c r="N842" s="30" t="s">
        <v>145</v>
      </c>
      <c r="O842" s="30" t="s">
        <v>145</v>
      </c>
      <c r="P842" s="30" t="s">
        <v>145</v>
      </c>
      <c r="Q842" s="30" t="s">
        <v>146</v>
      </c>
    </row>
    <row r="843" hidden="1">
      <c r="A843" s="33" t="s">
        <v>4564</v>
      </c>
      <c r="B843" s="30" t="s">
        <v>139</v>
      </c>
      <c r="C843" s="30" t="s">
        <v>140</v>
      </c>
      <c r="D843" s="30" t="s">
        <v>140</v>
      </c>
      <c r="E843" s="35">
        <v>42900.0</v>
      </c>
      <c r="F843" s="37" t="s">
        <v>143</v>
      </c>
      <c r="G843" s="30" t="s">
        <v>352</v>
      </c>
      <c r="H843" s="30" t="s">
        <v>145</v>
      </c>
      <c r="I843" s="30" t="s">
        <v>145</v>
      </c>
      <c r="J843" s="30" t="s">
        <v>145</v>
      </c>
      <c r="K843" s="30" t="s">
        <v>145</v>
      </c>
      <c r="L843" s="30" t="s">
        <v>145</v>
      </c>
      <c r="M843" s="30" t="s">
        <v>145</v>
      </c>
      <c r="N843" s="30" t="s">
        <v>145</v>
      </c>
      <c r="O843" s="30" t="s">
        <v>145</v>
      </c>
      <c r="P843" s="30" t="s">
        <v>145</v>
      </c>
      <c r="Q843" s="30" t="s">
        <v>146</v>
      </c>
    </row>
    <row r="844" hidden="1">
      <c r="A844" s="33" t="s">
        <v>4567</v>
      </c>
      <c r="B844" s="30" t="s">
        <v>139</v>
      </c>
      <c r="C844" s="30" t="s">
        <v>155</v>
      </c>
      <c r="D844" s="30" t="s">
        <v>155</v>
      </c>
      <c r="E844" s="35">
        <v>42900.0</v>
      </c>
      <c r="F844" s="37" t="s">
        <v>150</v>
      </c>
      <c r="G844" s="30" t="s">
        <v>1203</v>
      </c>
      <c r="H844" s="30" t="s">
        <v>407</v>
      </c>
      <c r="I844" s="30" t="s">
        <v>3670</v>
      </c>
      <c r="J844" s="30" t="s">
        <v>4762</v>
      </c>
      <c r="K844" s="30" t="s">
        <v>4762</v>
      </c>
      <c r="L844" s="30" t="s">
        <v>4762</v>
      </c>
      <c r="M844" s="30" t="s">
        <v>4763</v>
      </c>
      <c r="N844" s="30" t="s">
        <v>145</v>
      </c>
      <c r="O844" s="30" t="s">
        <v>145</v>
      </c>
      <c r="P844" s="30" t="s">
        <v>145</v>
      </c>
      <c r="Q844" s="30" t="s">
        <v>1898</v>
      </c>
    </row>
    <row r="845" hidden="1">
      <c r="A845" s="33" t="s">
        <v>4570</v>
      </c>
      <c r="B845" s="30" t="s">
        <v>139</v>
      </c>
      <c r="C845" s="30" t="s">
        <v>155</v>
      </c>
      <c r="D845" s="30" t="s">
        <v>155</v>
      </c>
      <c r="E845" s="35">
        <v>42900.0</v>
      </c>
      <c r="F845" s="37" t="s">
        <v>150</v>
      </c>
      <c r="G845" s="30" t="s">
        <v>4768</v>
      </c>
      <c r="H845" s="30" t="s">
        <v>407</v>
      </c>
      <c r="I845" s="30" t="s">
        <v>407</v>
      </c>
      <c r="J845" s="30" t="s">
        <v>4770</v>
      </c>
      <c r="K845" s="30" t="s">
        <v>158</v>
      </c>
      <c r="L845" s="30" t="s">
        <v>158</v>
      </c>
      <c r="M845" s="30" t="s">
        <v>4018</v>
      </c>
      <c r="N845" s="30" t="s">
        <v>145</v>
      </c>
      <c r="O845" s="30" t="s">
        <v>145</v>
      </c>
      <c r="P845" s="30" t="s">
        <v>145</v>
      </c>
      <c r="Q845" s="30" t="s">
        <v>1898</v>
      </c>
    </row>
    <row r="846" hidden="1">
      <c r="A846" s="33" t="s">
        <v>4574</v>
      </c>
      <c r="B846" s="30" t="s">
        <v>139</v>
      </c>
      <c r="C846" s="30" t="s">
        <v>155</v>
      </c>
      <c r="D846" s="30" t="s">
        <v>155</v>
      </c>
      <c r="E846" s="35">
        <v>42900.0</v>
      </c>
      <c r="F846" s="37" t="s">
        <v>150</v>
      </c>
      <c r="G846" s="30" t="s">
        <v>283</v>
      </c>
      <c r="H846" s="30" t="s">
        <v>407</v>
      </c>
      <c r="I846" s="30" t="s">
        <v>407</v>
      </c>
      <c r="J846" s="30" t="s">
        <v>2404</v>
      </c>
      <c r="K846" s="30" t="s">
        <v>158</v>
      </c>
      <c r="L846" s="30" t="s">
        <v>158</v>
      </c>
      <c r="M846" s="30" t="s">
        <v>4018</v>
      </c>
      <c r="N846" s="30" t="s">
        <v>145</v>
      </c>
      <c r="O846" s="30" t="s">
        <v>145</v>
      </c>
      <c r="P846" s="30" t="s">
        <v>145</v>
      </c>
      <c r="Q846" s="30" t="s">
        <v>1898</v>
      </c>
    </row>
    <row r="847" hidden="1">
      <c r="A847" s="33" t="s">
        <v>4578</v>
      </c>
      <c r="B847" s="30" t="s">
        <v>139</v>
      </c>
      <c r="C847" s="30" t="s">
        <v>155</v>
      </c>
      <c r="D847" s="30" t="s">
        <v>155</v>
      </c>
      <c r="E847" s="35">
        <v>42899.0</v>
      </c>
      <c r="F847" s="37" t="s">
        <v>150</v>
      </c>
      <c r="G847" s="30" t="s">
        <v>540</v>
      </c>
      <c r="H847" s="30" t="s">
        <v>145</v>
      </c>
      <c r="I847" s="30" t="s">
        <v>146</v>
      </c>
      <c r="J847" s="30" t="s">
        <v>146</v>
      </c>
      <c r="K847" s="30" t="s">
        <v>158</v>
      </c>
      <c r="L847" s="30" t="s">
        <v>158</v>
      </c>
      <c r="M847" s="30" t="s">
        <v>4018</v>
      </c>
      <c r="N847" s="30" t="s">
        <v>145</v>
      </c>
      <c r="O847" s="30" t="s">
        <v>145</v>
      </c>
      <c r="P847" s="30" t="s">
        <v>145</v>
      </c>
      <c r="Q847" s="30" t="s">
        <v>158</v>
      </c>
    </row>
    <row r="848" hidden="1">
      <c r="A848" s="33" t="s">
        <v>4582</v>
      </c>
      <c r="B848" s="30" t="s">
        <v>139</v>
      </c>
      <c r="C848" s="30" t="s">
        <v>140</v>
      </c>
      <c r="D848" s="30" t="s">
        <v>140</v>
      </c>
      <c r="E848" s="35">
        <v>42899.0</v>
      </c>
      <c r="F848" s="37" t="s">
        <v>452</v>
      </c>
      <c r="G848" s="30" t="s">
        <v>146</v>
      </c>
      <c r="H848" s="30" t="s">
        <v>145</v>
      </c>
      <c r="I848" s="30" t="s">
        <v>146</v>
      </c>
      <c r="J848" s="30" t="s">
        <v>146</v>
      </c>
      <c r="K848" s="2" t="s">
        <v>3247</v>
      </c>
      <c r="L848" s="30" t="s">
        <v>145</v>
      </c>
      <c r="M848" s="30" t="s">
        <v>145</v>
      </c>
      <c r="N848" s="30" t="s">
        <v>145</v>
      </c>
      <c r="O848" s="30" t="s">
        <v>145</v>
      </c>
      <c r="P848" s="30" t="s">
        <v>145</v>
      </c>
      <c r="Q848" s="30" t="s">
        <v>146</v>
      </c>
    </row>
    <row r="849" hidden="1">
      <c r="A849" s="33" t="str">
        <f>hyperlink("https://issues.sierrawireless.com/browse/OEMPRI-3678", "OEMPRI-3678")</f>
        <v>OEMPRI-3678</v>
      </c>
      <c r="B849" s="30" t="s">
        <v>139</v>
      </c>
      <c r="C849" s="30" t="s">
        <v>140</v>
      </c>
      <c r="D849" s="30" t="s">
        <v>4728</v>
      </c>
      <c r="E849" s="35">
        <v>42899.0</v>
      </c>
      <c r="F849" s="37" t="s">
        <v>154</v>
      </c>
      <c r="G849" s="30" t="s">
        <v>540</v>
      </c>
      <c r="H849" s="30" t="s">
        <v>145</v>
      </c>
      <c r="I849" s="30" t="s">
        <v>145</v>
      </c>
      <c r="J849" s="30" t="s">
        <v>145</v>
      </c>
      <c r="K849" s="30" t="s">
        <v>145</v>
      </c>
      <c r="L849" s="30" t="s">
        <v>145</v>
      </c>
      <c r="M849" s="30" t="s">
        <v>145</v>
      </c>
      <c r="N849" s="30" t="s">
        <v>145</v>
      </c>
      <c r="O849" s="30" t="s">
        <v>145</v>
      </c>
      <c r="P849" s="30" t="s">
        <v>145</v>
      </c>
      <c r="Q849" s="30" t="s">
        <v>146</v>
      </c>
    </row>
    <row r="850" hidden="1">
      <c r="A850" s="33" t="s">
        <v>4585</v>
      </c>
      <c r="B850" s="30" t="s">
        <v>139</v>
      </c>
      <c r="C850" s="30" t="s">
        <v>453</v>
      </c>
      <c r="D850" s="30" t="s">
        <v>244</v>
      </c>
      <c r="E850" s="35">
        <v>42898.0</v>
      </c>
      <c r="F850" s="37" t="s">
        <v>154</v>
      </c>
      <c r="G850" s="30" t="s">
        <v>2544</v>
      </c>
      <c r="H850" s="30" t="s">
        <v>145</v>
      </c>
      <c r="I850" s="30" t="s">
        <v>145</v>
      </c>
      <c r="J850" s="30" t="s">
        <v>145</v>
      </c>
      <c r="K850" s="30" t="s">
        <v>145</v>
      </c>
      <c r="L850" s="30" t="s">
        <v>145</v>
      </c>
      <c r="M850" s="30" t="s">
        <v>145</v>
      </c>
      <c r="N850" s="30" t="s">
        <v>145</v>
      </c>
      <c r="O850" s="30" t="s">
        <v>145</v>
      </c>
      <c r="P850" s="30" t="s">
        <v>145</v>
      </c>
      <c r="Q850" s="30" t="s">
        <v>2544</v>
      </c>
    </row>
    <row r="851" hidden="1">
      <c r="A851" s="33" t="s">
        <v>4588</v>
      </c>
      <c r="B851" s="30" t="s">
        <v>139</v>
      </c>
      <c r="C851" s="30" t="s">
        <v>141</v>
      </c>
      <c r="D851" s="30" t="s">
        <v>244</v>
      </c>
      <c r="E851" s="35">
        <v>42898.0</v>
      </c>
      <c r="F851" s="37" t="s">
        <v>154</v>
      </c>
      <c r="G851" s="30" t="s">
        <v>2587</v>
      </c>
      <c r="H851" s="30" t="s">
        <v>145</v>
      </c>
      <c r="I851" s="30" t="s">
        <v>145</v>
      </c>
      <c r="J851" s="30" t="s">
        <v>145</v>
      </c>
      <c r="K851" s="30" t="s">
        <v>145</v>
      </c>
      <c r="L851" s="30" t="s">
        <v>145</v>
      </c>
      <c r="M851" s="30" t="s">
        <v>145</v>
      </c>
      <c r="N851" s="30" t="s">
        <v>145</v>
      </c>
      <c r="O851" s="30" t="s">
        <v>145</v>
      </c>
      <c r="P851" s="30" t="s">
        <v>145</v>
      </c>
      <c r="Q851" s="30" t="s">
        <v>180</v>
      </c>
    </row>
    <row r="852" hidden="1">
      <c r="A852" s="33" t="s">
        <v>4592</v>
      </c>
      <c r="B852" s="30" t="s">
        <v>139</v>
      </c>
      <c r="C852" s="30" t="s">
        <v>140</v>
      </c>
      <c r="D852" s="30" t="s">
        <v>244</v>
      </c>
      <c r="E852" s="35">
        <v>42898.0</v>
      </c>
      <c r="F852" s="37" t="s">
        <v>150</v>
      </c>
      <c r="G852" s="30" t="s">
        <v>140</v>
      </c>
      <c r="H852" s="30" t="s">
        <v>146</v>
      </c>
      <c r="I852" s="30" t="s">
        <v>163</v>
      </c>
      <c r="J852" s="30" t="s">
        <v>189</v>
      </c>
      <c r="K852" s="30" t="s">
        <v>1798</v>
      </c>
      <c r="L852" s="30" t="s">
        <v>367</v>
      </c>
      <c r="M852" s="30" t="s">
        <v>506</v>
      </c>
      <c r="N852" s="30" t="s">
        <v>145</v>
      </c>
      <c r="O852" s="30" t="s">
        <v>145</v>
      </c>
      <c r="P852" s="30" t="s">
        <v>145</v>
      </c>
      <c r="Q852" s="30" t="s">
        <v>146</v>
      </c>
    </row>
    <row r="853" hidden="1">
      <c r="A853" s="33" t="s">
        <v>4595</v>
      </c>
      <c r="B853" s="30" t="s">
        <v>139</v>
      </c>
      <c r="C853" s="30" t="s">
        <v>141</v>
      </c>
      <c r="D853" s="30" t="s">
        <v>244</v>
      </c>
      <c r="E853" s="35">
        <v>42898.0</v>
      </c>
      <c r="F853" s="37" t="s">
        <v>154</v>
      </c>
      <c r="G853" s="30" t="s">
        <v>2544</v>
      </c>
      <c r="H853" s="30" t="s">
        <v>145</v>
      </c>
      <c r="I853" s="30" t="s">
        <v>145</v>
      </c>
      <c r="J853" s="30" t="s">
        <v>145</v>
      </c>
      <c r="K853" s="30" t="s">
        <v>145</v>
      </c>
      <c r="L853" s="30" t="s">
        <v>145</v>
      </c>
      <c r="M853" s="30" t="s">
        <v>145</v>
      </c>
      <c r="N853" s="30" t="s">
        <v>145</v>
      </c>
      <c r="O853" s="30" t="s">
        <v>145</v>
      </c>
      <c r="P853" s="30" t="s">
        <v>145</v>
      </c>
      <c r="Q853" s="30" t="s">
        <v>2544</v>
      </c>
    </row>
    <row r="854" hidden="1">
      <c r="A854" s="33" t="str">
        <f>hyperlink("https://issues.sierrawireless.com/browse/QTI9X28-2691", "QTI9X28-2691")</f>
        <v>QTI9X28-2691</v>
      </c>
      <c r="B854" s="30" t="s">
        <v>469</v>
      </c>
      <c r="C854" s="30" t="s">
        <v>155</v>
      </c>
      <c r="D854" s="30" t="s">
        <v>4832</v>
      </c>
      <c r="E854" s="35">
        <v>43075.0</v>
      </c>
      <c r="F854" s="37" t="s">
        <v>207</v>
      </c>
      <c r="G854" s="30" t="s">
        <v>540</v>
      </c>
      <c r="H854" s="30" t="s">
        <v>145</v>
      </c>
      <c r="I854" s="30" t="s">
        <v>145</v>
      </c>
      <c r="J854" s="30" t="s">
        <v>145</v>
      </c>
      <c r="K854" s="30" t="s">
        <v>145</v>
      </c>
      <c r="L854" s="30" t="s">
        <v>146</v>
      </c>
      <c r="M854" s="2" t="s">
        <v>4837</v>
      </c>
      <c r="N854" s="30" t="s">
        <v>145</v>
      </c>
      <c r="O854" s="30" t="s">
        <v>145</v>
      </c>
      <c r="P854" s="30" t="s">
        <v>145</v>
      </c>
      <c r="Q854" s="30" t="s">
        <v>166</v>
      </c>
    </row>
    <row r="855" hidden="1">
      <c r="A855" s="33" t="s">
        <v>4598</v>
      </c>
      <c r="B855" s="30" t="s">
        <v>139</v>
      </c>
      <c r="C855" s="30" t="s">
        <v>141</v>
      </c>
      <c r="D855" s="30" t="s">
        <v>244</v>
      </c>
      <c r="E855" s="35">
        <v>42898.0</v>
      </c>
      <c r="F855" s="37" t="s">
        <v>154</v>
      </c>
      <c r="G855" s="30" t="s">
        <v>2544</v>
      </c>
      <c r="H855" s="30" t="s">
        <v>145</v>
      </c>
      <c r="I855" s="30" t="s">
        <v>145</v>
      </c>
      <c r="J855" s="30" t="s">
        <v>145</v>
      </c>
      <c r="K855" s="30" t="s">
        <v>145</v>
      </c>
      <c r="L855" s="30" t="s">
        <v>145</v>
      </c>
      <c r="M855" s="30" t="s">
        <v>145</v>
      </c>
      <c r="N855" s="30" t="s">
        <v>145</v>
      </c>
      <c r="O855" s="30" t="s">
        <v>145</v>
      </c>
      <c r="P855" s="30" t="s">
        <v>145</v>
      </c>
      <c r="Q855" s="30" t="s">
        <v>2544</v>
      </c>
    </row>
    <row r="856" hidden="1">
      <c r="A856" s="33" t="s">
        <v>4602</v>
      </c>
      <c r="B856" s="30" t="s">
        <v>139</v>
      </c>
      <c r="C856" s="30" t="s">
        <v>155</v>
      </c>
      <c r="D856" s="30" t="s">
        <v>140</v>
      </c>
      <c r="E856" s="35">
        <v>42894.0</v>
      </c>
      <c r="F856" s="37" t="s">
        <v>154</v>
      </c>
      <c r="G856" s="30" t="s">
        <v>352</v>
      </c>
      <c r="H856" s="30" t="s">
        <v>145</v>
      </c>
      <c r="I856" s="30" t="s">
        <v>145</v>
      </c>
      <c r="J856" s="30" t="s">
        <v>145</v>
      </c>
      <c r="K856" s="30" t="s">
        <v>145</v>
      </c>
      <c r="L856" s="30" t="s">
        <v>145</v>
      </c>
      <c r="M856" s="30" t="s">
        <v>145</v>
      </c>
      <c r="N856" s="30" t="s">
        <v>145</v>
      </c>
      <c r="O856" s="30" t="s">
        <v>145</v>
      </c>
      <c r="P856" s="30" t="s">
        <v>145</v>
      </c>
      <c r="Q856" s="30" t="s">
        <v>146</v>
      </c>
    </row>
    <row r="857" hidden="1">
      <c r="A857" s="33" t="s">
        <v>4604</v>
      </c>
      <c r="B857" s="30" t="s">
        <v>139</v>
      </c>
      <c r="C857" s="30" t="s">
        <v>337</v>
      </c>
      <c r="D857" s="30" t="s">
        <v>337</v>
      </c>
      <c r="E857" s="35">
        <v>42894.0</v>
      </c>
      <c r="F857" s="37" t="s">
        <v>150</v>
      </c>
      <c r="G857" s="30" t="s">
        <v>264</v>
      </c>
      <c r="H857" s="30" t="s">
        <v>146</v>
      </c>
      <c r="I857" s="30" t="s">
        <v>352</v>
      </c>
      <c r="J857" s="30" t="s">
        <v>146</v>
      </c>
      <c r="K857" s="30" t="s">
        <v>409</v>
      </c>
      <c r="L857" s="30" t="s">
        <v>4856</v>
      </c>
      <c r="M857" s="30" t="s">
        <v>358</v>
      </c>
      <c r="N857" s="30" t="s">
        <v>145</v>
      </c>
      <c r="O857" s="30" t="s">
        <v>145</v>
      </c>
      <c r="P857" s="30" t="s">
        <v>145</v>
      </c>
      <c r="Q857" s="30" t="s">
        <v>1898</v>
      </c>
    </row>
    <row r="858" hidden="1">
      <c r="A858" s="33" t="s">
        <v>4608</v>
      </c>
      <c r="B858" s="30" t="s">
        <v>139</v>
      </c>
      <c r="C858" s="30" t="s">
        <v>337</v>
      </c>
      <c r="D858" s="30" t="s">
        <v>337</v>
      </c>
      <c r="E858" s="35">
        <v>42894.0</v>
      </c>
      <c r="F858" s="37" t="s">
        <v>150</v>
      </c>
      <c r="G858" s="30" t="s">
        <v>264</v>
      </c>
      <c r="H858" s="30" t="s">
        <v>146</v>
      </c>
      <c r="I858" s="30" t="s">
        <v>373</v>
      </c>
      <c r="J858" s="30" t="s">
        <v>163</v>
      </c>
      <c r="K858" s="30" t="s">
        <v>404</v>
      </c>
      <c r="L858" s="30" t="s">
        <v>2944</v>
      </c>
      <c r="M858" s="30" t="s">
        <v>540</v>
      </c>
      <c r="N858" s="30" t="s">
        <v>145</v>
      </c>
      <c r="O858" s="30" t="s">
        <v>145</v>
      </c>
      <c r="P858" s="30" t="s">
        <v>145</v>
      </c>
      <c r="Q858" s="30" t="s">
        <v>1898</v>
      </c>
    </row>
    <row r="859" hidden="1">
      <c r="A859" s="33" t="s">
        <v>4612</v>
      </c>
      <c r="B859" s="30" t="s">
        <v>139</v>
      </c>
      <c r="C859" s="30" t="s">
        <v>155</v>
      </c>
      <c r="D859" s="30" t="s">
        <v>155</v>
      </c>
      <c r="E859" s="35">
        <v>42892.0</v>
      </c>
      <c r="F859" s="37" t="s">
        <v>150</v>
      </c>
      <c r="G859" s="30" t="s">
        <v>158</v>
      </c>
      <c r="H859" s="30" t="s">
        <v>145</v>
      </c>
      <c r="I859" s="30" t="s">
        <v>145</v>
      </c>
      <c r="J859" s="30" t="s">
        <v>145</v>
      </c>
      <c r="K859" s="30" t="s">
        <v>145</v>
      </c>
      <c r="L859" s="30" t="s">
        <v>145</v>
      </c>
      <c r="M859" s="30" t="s">
        <v>145</v>
      </c>
      <c r="N859" s="30" t="s">
        <v>145</v>
      </c>
      <c r="O859" s="30" t="s">
        <v>145</v>
      </c>
      <c r="P859" s="30" t="s">
        <v>145</v>
      </c>
      <c r="Q859" s="30" t="s">
        <v>158</v>
      </c>
    </row>
    <row r="860" hidden="1">
      <c r="A860" s="33" t="s">
        <v>4617</v>
      </c>
      <c r="B860" s="30" t="s">
        <v>139</v>
      </c>
      <c r="C860" s="30" t="s">
        <v>122</v>
      </c>
      <c r="D860" s="30" t="s">
        <v>122</v>
      </c>
      <c r="E860" s="35">
        <v>42892.0</v>
      </c>
      <c r="F860" s="37" t="s">
        <v>150</v>
      </c>
      <c r="G860" s="30" t="s">
        <v>1280</v>
      </c>
      <c r="H860" s="30" t="s">
        <v>223</v>
      </c>
      <c r="I860" s="30" t="s">
        <v>223</v>
      </c>
      <c r="J860" s="30" t="s">
        <v>358</v>
      </c>
      <c r="K860" s="30" t="s">
        <v>4738</v>
      </c>
      <c r="L860" s="30" t="s">
        <v>4874</v>
      </c>
      <c r="M860" s="30" t="s">
        <v>4875</v>
      </c>
      <c r="N860" s="30" t="s">
        <v>145</v>
      </c>
      <c r="O860" s="30" t="s">
        <v>145</v>
      </c>
      <c r="P860" s="30" t="s">
        <v>145</v>
      </c>
      <c r="Q860" s="30" t="s">
        <v>1898</v>
      </c>
    </row>
    <row r="861" hidden="1">
      <c r="A861" s="33" t="s">
        <v>4622</v>
      </c>
      <c r="B861" s="30" t="s">
        <v>139</v>
      </c>
      <c r="C861" s="30" t="s">
        <v>122</v>
      </c>
      <c r="D861" s="30" t="s">
        <v>122</v>
      </c>
      <c r="E861" s="35">
        <v>42892.0</v>
      </c>
      <c r="F861" s="37" t="s">
        <v>150</v>
      </c>
      <c r="G861" s="30" t="s">
        <v>1280</v>
      </c>
      <c r="H861" s="30" t="s">
        <v>223</v>
      </c>
      <c r="I861" s="30" t="s">
        <v>223</v>
      </c>
      <c r="J861" s="30" t="s">
        <v>358</v>
      </c>
      <c r="K861" s="30" t="s">
        <v>4738</v>
      </c>
      <c r="L861" s="30" t="s">
        <v>4880</v>
      </c>
      <c r="M861" s="30" t="s">
        <v>2361</v>
      </c>
      <c r="N861" s="30" t="s">
        <v>145</v>
      </c>
      <c r="O861" s="30" t="s">
        <v>145</v>
      </c>
      <c r="P861" s="30" t="s">
        <v>145</v>
      </c>
      <c r="Q861" s="30" t="s">
        <v>1898</v>
      </c>
    </row>
    <row r="862" hidden="1">
      <c r="A862" s="33" t="s">
        <v>4626</v>
      </c>
      <c r="B862" s="30" t="s">
        <v>139</v>
      </c>
      <c r="C862" s="30" t="s">
        <v>141</v>
      </c>
      <c r="D862" s="30" t="s">
        <v>244</v>
      </c>
      <c r="E862" s="35">
        <v>42891.0</v>
      </c>
      <c r="F862" s="37" t="s">
        <v>154</v>
      </c>
      <c r="G862" s="30" t="s">
        <v>4885</v>
      </c>
      <c r="H862" s="30" t="s">
        <v>145</v>
      </c>
      <c r="I862" s="30" t="s">
        <v>145</v>
      </c>
      <c r="J862" s="30" t="s">
        <v>145</v>
      </c>
      <c r="K862" s="30" t="s">
        <v>145</v>
      </c>
      <c r="L862" s="30" t="s">
        <v>145</v>
      </c>
      <c r="M862" s="30" t="s">
        <v>145</v>
      </c>
      <c r="N862" s="30" t="s">
        <v>145</v>
      </c>
      <c r="O862" s="30" t="s">
        <v>145</v>
      </c>
      <c r="P862" s="30" t="s">
        <v>145</v>
      </c>
      <c r="Q862" s="30" t="s">
        <v>2544</v>
      </c>
    </row>
    <row r="863" hidden="1">
      <c r="A863" s="33" t="s">
        <v>4629</v>
      </c>
      <c r="B863" s="30" t="s">
        <v>139</v>
      </c>
      <c r="C863" s="30" t="s">
        <v>141</v>
      </c>
      <c r="D863" s="30" t="s">
        <v>244</v>
      </c>
      <c r="E863" s="35">
        <v>42891.0</v>
      </c>
      <c r="F863" s="37" t="s">
        <v>154</v>
      </c>
      <c r="G863" s="30" t="s">
        <v>4885</v>
      </c>
      <c r="H863" s="30" t="s">
        <v>145</v>
      </c>
      <c r="I863" s="30" t="s">
        <v>145</v>
      </c>
      <c r="J863" s="30" t="s">
        <v>145</v>
      </c>
      <c r="K863" s="30" t="s">
        <v>145</v>
      </c>
      <c r="L863" s="30" t="s">
        <v>145</v>
      </c>
      <c r="M863" s="30" t="s">
        <v>145</v>
      </c>
      <c r="N863" s="30" t="s">
        <v>145</v>
      </c>
      <c r="O863" s="30" t="s">
        <v>145</v>
      </c>
      <c r="P863" s="30" t="s">
        <v>145</v>
      </c>
      <c r="Q863" s="30" t="s">
        <v>2544</v>
      </c>
    </row>
    <row r="864" hidden="1">
      <c r="A864" s="33" t="s">
        <v>4633</v>
      </c>
      <c r="B864" s="30" t="s">
        <v>139</v>
      </c>
      <c r="C864" s="30" t="s">
        <v>453</v>
      </c>
      <c r="D864" s="30" t="s">
        <v>244</v>
      </c>
      <c r="E864" s="35">
        <v>42891.0</v>
      </c>
      <c r="F864" s="37" t="s">
        <v>154</v>
      </c>
      <c r="G864" s="30" t="s">
        <v>1749</v>
      </c>
      <c r="H864" s="30" t="s">
        <v>145</v>
      </c>
      <c r="I864" s="30" t="s">
        <v>145</v>
      </c>
      <c r="J864" s="30" t="s">
        <v>145</v>
      </c>
      <c r="K864" s="30" t="s">
        <v>145</v>
      </c>
      <c r="L864" s="30" t="s">
        <v>145</v>
      </c>
      <c r="M864" s="30" t="s">
        <v>145</v>
      </c>
      <c r="N864" s="30" t="s">
        <v>145</v>
      </c>
      <c r="O864" s="30" t="s">
        <v>145</v>
      </c>
      <c r="P864" s="30" t="s">
        <v>145</v>
      </c>
      <c r="Q864" s="30" t="s">
        <v>2544</v>
      </c>
    </row>
    <row r="865" hidden="1">
      <c r="A865" s="33" t="s">
        <v>4636</v>
      </c>
      <c r="B865" s="30" t="s">
        <v>139</v>
      </c>
      <c r="C865" s="30" t="s">
        <v>141</v>
      </c>
      <c r="D865" s="30" t="s">
        <v>244</v>
      </c>
      <c r="E865" s="35">
        <v>42891.0</v>
      </c>
      <c r="F865" s="37" t="s">
        <v>154</v>
      </c>
      <c r="G865" s="30" t="s">
        <v>4885</v>
      </c>
      <c r="H865" s="30" t="s">
        <v>145</v>
      </c>
      <c r="I865" s="30" t="s">
        <v>145</v>
      </c>
      <c r="J865" s="30" t="s">
        <v>145</v>
      </c>
      <c r="K865" s="30" t="s">
        <v>145</v>
      </c>
      <c r="L865" s="30" t="s">
        <v>145</v>
      </c>
      <c r="M865" s="30" t="s">
        <v>145</v>
      </c>
      <c r="N865" s="30" t="s">
        <v>145</v>
      </c>
      <c r="O865" s="30" t="s">
        <v>145</v>
      </c>
      <c r="P865" s="30" t="s">
        <v>145</v>
      </c>
      <c r="Q865" s="30" t="s">
        <v>2544</v>
      </c>
    </row>
    <row r="866" hidden="1">
      <c r="A866" s="33" t="s">
        <v>4639</v>
      </c>
      <c r="B866" s="30" t="s">
        <v>139</v>
      </c>
      <c r="C866" s="30" t="s">
        <v>141</v>
      </c>
      <c r="D866" s="30" t="s">
        <v>244</v>
      </c>
      <c r="E866" s="35">
        <v>42891.0</v>
      </c>
      <c r="F866" s="37" t="s">
        <v>154</v>
      </c>
      <c r="G866" s="30" t="s">
        <v>4905</v>
      </c>
      <c r="H866" s="30" t="s">
        <v>145</v>
      </c>
      <c r="I866" s="30" t="s">
        <v>145</v>
      </c>
      <c r="J866" s="30" t="s">
        <v>145</v>
      </c>
      <c r="K866" s="30" t="s">
        <v>145</v>
      </c>
      <c r="L866" s="30" t="s">
        <v>145</v>
      </c>
      <c r="M866" s="30" t="s">
        <v>145</v>
      </c>
      <c r="N866" s="30" t="s">
        <v>145</v>
      </c>
      <c r="O866" s="30" t="s">
        <v>145</v>
      </c>
      <c r="P866" s="30" t="s">
        <v>145</v>
      </c>
      <c r="Q866" s="30" t="s">
        <v>2186</v>
      </c>
    </row>
    <row r="867" hidden="1">
      <c r="A867" s="33" t="s">
        <v>4643</v>
      </c>
      <c r="B867" s="30" t="s">
        <v>139</v>
      </c>
      <c r="C867" s="30" t="s">
        <v>453</v>
      </c>
      <c r="D867" s="30" t="s">
        <v>244</v>
      </c>
      <c r="E867" s="35">
        <v>42891.0</v>
      </c>
      <c r="F867" s="37" t="s">
        <v>154</v>
      </c>
      <c r="G867" s="30" t="s">
        <v>1749</v>
      </c>
      <c r="H867" s="30" t="s">
        <v>145</v>
      </c>
      <c r="I867" s="30" t="s">
        <v>145</v>
      </c>
      <c r="J867" s="30" t="s">
        <v>145</v>
      </c>
      <c r="K867" s="30" t="s">
        <v>145</v>
      </c>
      <c r="L867" s="30" t="s">
        <v>145</v>
      </c>
      <c r="M867" s="30" t="s">
        <v>145</v>
      </c>
      <c r="N867" s="30" t="s">
        <v>145</v>
      </c>
      <c r="O867" s="30" t="s">
        <v>145</v>
      </c>
      <c r="P867" s="30" t="s">
        <v>145</v>
      </c>
      <c r="Q867" s="30" t="s">
        <v>2544</v>
      </c>
    </row>
    <row r="868" hidden="1">
      <c r="A868" s="33" t="s">
        <v>4646</v>
      </c>
      <c r="B868" s="30" t="s">
        <v>139</v>
      </c>
      <c r="C868" s="30" t="s">
        <v>453</v>
      </c>
      <c r="D868" s="30" t="s">
        <v>244</v>
      </c>
      <c r="E868" s="35">
        <v>42891.0</v>
      </c>
      <c r="F868" s="37" t="s">
        <v>154</v>
      </c>
      <c r="G868" s="30" t="s">
        <v>2544</v>
      </c>
      <c r="H868" s="30" t="s">
        <v>145</v>
      </c>
      <c r="I868" s="30" t="s">
        <v>145</v>
      </c>
      <c r="J868" s="30" t="s">
        <v>145</v>
      </c>
      <c r="K868" s="30" t="s">
        <v>145</v>
      </c>
      <c r="L868" s="30" t="s">
        <v>145</v>
      </c>
      <c r="M868" s="30" t="s">
        <v>145</v>
      </c>
      <c r="N868" s="30" t="s">
        <v>145</v>
      </c>
      <c r="O868" s="30" t="s">
        <v>145</v>
      </c>
      <c r="P868" s="30" t="s">
        <v>145</v>
      </c>
      <c r="Q868" s="30" t="s">
        <v>2544</v>
      </c>
    </row>
    <row r="869" hidden="1">
      <c r="A869" s="33" t="s">
        <v>4650</v>
      </c>
      <c r="B869" s="30" t="s">
        <v>139</v>
      </c>
      <c r="C869" s="30" t="s">
        <v>141</v>
      </c>
      <c r="D869" s="30" t="s">
        <v>244</v>
      </c>
      <c r="E869" s="35">
        <v>42891.0</v>
      </c>
      <c r="F869" s="37" t="s">
        <v>154</v>
      </c>
      <c r="G869" s="30" t="s">
        <v>4885</v>
      </c>
      <c r="H869" s="30" t="s">
        <v>145</v>
      </c>
      <c r="I869" s="30" t="s">
        <v>145</v>
      </c>
      <c r="J869" s="30" t="s">
        <v>145</v>
      </c>
      <c r="K869" s="30" t="s">
        <v>145</v>
      </c>
      <c r="L869" s="30" t="s">
        <v>145</v>
      </c>
      <c r="M869" s="30" t="s">
        <v>145</v>
      </c>
      <c r="N869" s="30" t="s">
        <v>145</v>
      </c>
      <c r="O869" s="30" t="s">
        <v>145</v>
      </c>
      <c r="P869" s="30" t="s">
        <v>145</v>
      </c>
      <c r="Q869" s="30" t="s">
        <v>2544</v>
      </c>
    </row>
    <row r="870" hidden="1">
      <c r="A870" s="33" t="s">
        <v>4652</v>
      </c>
      <c r="B870" s="30" t="s">
        <v>139</v>
      </c>
      <c r="C870" s="30" t="s">
        <v>141</v>
      </c>
      <c r="D870" s="30" t="s">
        <v>244</v>
      </c>
      <c r="E870" s="35">
        <v>42891.0</v>
      </c>
      <c r="F870" s="37" t="s">
        <v>154</v>
      </c>
      <c r="G870" s="30" t="s">
        <v>4905</v>
      </c>
      <c r="H870" s="30" t="s">
        <v>145</v>
      </c>
      <c r="I870" s="30" t="s">
        <v>145</v>
      </c>
      <c r="J870" s="30" t="s">
        <v>145</v>
      </c>
      <c r="K870" s="30" t="s">
        <v>145</v>
      </c>
      <c r="L870" s="30" t="s">
        <v>145</v>
      </c>
      <c r="M870" s="30" t="s">
        <v>145</v>
      </c>
      <c r="N870" s="30" t="s">
        <v>145</v>
      </c>
      <c r="O870" s="30" t="s">
        <v>145</v>
      </c>
      <c r="P870" s="30" t="s">
        <v>145</v>
      </c>
      <c r="Q870" s="30" t="s">
        <v>986</v>
      </c>
    </row>
    <row r="871" hidden="1">
      <c r="A871" s="33" t="s">
        <v>4657</v>
      </c>
      <c r="B871" s="30" t="s">
        <v>139</v>
      </c>
      <c r="C871" s="30" t="s">
        <v>141</v>
      </c>
      <c r="D871" s="30" t="s">
        <v>244</v>
      </c>
      <c r="E871" s="35">
        <v>42891.0</v>
      </c>
      <c r="F871" s="37" t="s">
        <v>154</v>
      </c>
      <c r="G871" s="30" t="s">
        <v>4526</v>
      </c>
      <c r="H871" s="30" t="s">
        <v>145</v>
      </c>
      <c r="I871" s="30" t="s">
        <v>145</v>
      </c>
      <c r="J871" s="30" t="s">
        <v>145</v>
      </c>
      <c r="K871" s="30" t="s">
        <v>145</v>
      </c>
      <c r="L871" s="30" t="s">
        <v>145</v>
      </c>
      <c r="M871" s="30" t="s">
        <v>145</v>
      </c>
      <c r="N871" s="30" t="s">
        <v>145</v>
      </c>
      <c r="O871" s="30" t="s">
        <v>145</v>
      </c>
      <c r="P871" s="30" t="s">
        <v>145</v>
      </c>
      <c r="Q871" s="30" t="s">
        <v>4471</v>
      </c>
    </row>
    <row r="872" hidden="1">
      <c r="A872" s="33" t="s">
        <v>4661</v>
      </c>
      <c r="B872" s="30" t="s">
        <v>139</v>
      </c>
      <c r="C872" s="30" t="s">
        <v>453</v>
      </c>
      <c r="D872" s="30" t="s">
        <v>244</v>
      </c>
      <c r="E872" s="35">
        <v>42891.0</v>
      </c>
      <c r="F872" s="37" t="s">
        <v>154</v>
      </c>
      <c r="G872" s="30" t="s">
        <v>1749</v>
      </c>
      <c r="H872" s="30" t="s">
        <v>145</v>
      </c>
      <c r="I872" s="30" t="s">
        <v>145</v>
      </c>
      <c r="J872" s="30" t="s">
        <v>145</v>
      </c>
      <c r="K872" s="30" t="s">
        <v>145</v>
      </c>
      <c r="L872" s="30" t="s">
        <v>145</v>
      </c>
      <c r="M872" s="30" t="s">
        <v>145</v>
      </c>
      <c r="N872" s="30" t="s">
        <v>145</v>
      </c>
      <c r="O872" s="30" t="s">
        <v>145</v>
      </c>
      <c r="P872" s="30" t="s">
        <v>145</v>
      </c>
      <c r="Q872" s="30" t="s">
        <v>2544</v>
      </c>
    </row>
    <row r="873" hidden="1">
      <c r="A873" s="33" t="s">
        <v>4663</v>
      </c>
      <c r="B873" s="30" t="s">
        <v>139</v>
      </c>
      <c r="C873" s="30" t="s">
        <v>140</v>
      </c>
      <c r="D873" s="30" t="s">
        <v>337</v>
      </c>
      <c r="E873" s="35">
        <v>42891.0</v>
      </c>
      <c r="F873" s="37" t="s">
        <v>150</v>
      </c>
      <c r="G873" s="30" t="s">
        <v>185</v>
      </c>
      <c r="H873" s="30" t="s">
        <v>146</v>
      </c>
      <c r="I873" s="30" t="s">
        <v>540</v>
      </c>
      <c r="J873" s="30" t="s">
        <v>1536</v>
      </c>
      <c r="K873" s="2" t="s">
        <v>503</v>
      </c>
      <c r="L873" s="30" t="s">
        <v>145</v>
      </c>
      <c r="M873" s="30" t="s">
        <v>145</v>
      </c>
      <c r="N873" s="30" t="s">
        <v>145</v>
      </c>
      <c r="O873" s="30" t="s">
        <v>145</v>
      </c>
      <c r="P873" s="30" t="s">
        <v>145</v>
      </c>
      <c r="Q873" s="30" t="s">
        <v>146</v>
      </c>
    </row>
    <row r="874" hidden="1">
      <c r="A874" s="33" t="s">
        <v>4667</v>
      </c>
      <c r="B874" s="30" t="s">
        <v>139</v>
      </c>
      <c r="C874" s="30" t="s">
        <v>140</v>
      </c>
      <c r="D874" s="30" t="s">
        <v>140</v>
      </c>
      <c r="E874" s="35">
        <v>42891.0</v>
      </c>
      <c r="F874" s="37" t="s">
        <v>143</v>
      </c>
      <c r="G874" s="30" t="s">
        <v>1636</v>
      </c>
      <c r="H874" s="30" t="s">
        <v>145</v>
      </c>
      <c r="I874" s="30" t="s">
        <v>145</v>
      </c>
      <c r="J874" s="30" t="s">
        <v>145</v>
      </c>
      <c r="K874" s="30" t="s">
        <v>145</v>
      </c>
      <c r="L874" s="30" t="s">
        <v>145</v>
      </c>
      <c r="M874" s="30" t="s">
        <v>145</v>
      </c>
      <c r="N874" s="30" t="s">
        <v>145</v>
      </c>
      <c r="O874" s="30" t="s">
        <v>145</v>
      </c>
      <c r="P874" s="30" t="s">
        <v>145</v>
      </c>
      <c r="Q874" s="30" t="s">
        <v>146</v>
      </c>
    </row>
    <row r="875" hidden="1">
      <c r="A875" s="33" t="s">
        <v>4669</v>
      </c>
      <c r="B875" s="30" t="s">
        <v>139</v>
      </c>
      <c r="C875" s="30" t="s">
        <v>244</v>
      </c>
      <c r="D875" s="30" t="s">
        <v>244</v>
      </c>
      <c r="E875" s="35">
        <v>42891.0</v>
      </c>
      <c r="F875" s="37" t="s">
        <v>150</v>
      </c>
      <c r="G875" s="30" t="s">
        <v>4954</v>
      </c>
      <c r="H875" s="30" t="s">
        <v>223</v>
      </c>
      <c r="I875" s="30" t="s">
        <v>223</v>
      </c>
      <c r="J875" s="30" t="s">
        <v>223</v>
      </c>
      <c r="K875" s="30" t="s">
        <v>660</v>
      </c>
      <c r="L875" s="30" t="s">
        <v>223</v>
      </c>
      <c r="M875" s="30" t="s">
        <v>1052</v>
      </c>
      <c r="N875" s="30" t="s">
        <v>145</v>
      </c>
      <c r="O875" s="30" t="s">
        <v>145</v>
      </c>
      <c r="P875" s="30" t="s">
        <v>145</v>
      </c>
      <c r="Q875" s="30" t="s">
        <v>1898</v>
      </c>
    </row>
    <row r="876" hidden="1">
      <c r="A876" s="33" t="s">
        <v>4674</v>
      </c>
      <c r="B876" s="30" t="s">
        <v>139</v>
      </c>
      <c r="C876" s="30" t="s">
        <v>244</v>
      </c>
      <c r="D876" s="30" t="s">
        <v>244</v>
      </c>
      <c r="E876" s="35">
        <v>42891.0</v>
      </c>
      <c r="F876" s="37" t="s">
        <v>150</v>
      </c>
      <c r="G876" s="30" t="s">
        <v>140</v>
      </c>
      <c r="H876" s="30" t="s">
        <v>540</v>
      </c>
      <c r="I876" s="30" t="s">
        <v>146</v>
      </c>
      <c r="J876" s="30" t="s">
        <v>146</v>
      </c>
      <c r="K876" s="30" t="s">
        <v>407</v>
      </c>
      <c r="L876" s="30" t="s">
        <v>407</v>
      </c>
      <c r="M876" s="30" t="s">
        <v>506</v>
      </c>
      <c r="N876" s="30" t="s">
        <v>145</v>
      </c>
      <c r="O876" s="30" t="s">
        <v>145</v>
      </c>
      <c r="P876" s="30" t="s">
        <v>145</v>
      </c>
      <c r="Q876" s="30" t="s">
        <v>1898</v>
      </c>
    </row>
    <row r="877" hidden="1">
      <c r="A877" s="33" t="s">
        <v>4676</v>
      </c>
      <c r="B877" s="30" t="s">
        <v>139</v>
      </c>
      <c r="C877" s="30" t="s">
        <v>244</v>
      </c>
      <c r="D877" s="30" t="s">
        <v>244</v>
      </c>
      <c r="E877" s="35">
        <v>42891.0</v>
      </c>
      <c r="F877" s="37" t="s">
        <v>150</v>
      </c>
      <c r="G877" s="30" t="s">
        <v>283</v>
      </c>
      <c r="H877" s="30" t="s">
        <v>407</v>
      </c>
      <c r="I877" s="30" t="s">
        <v>4374</v>
      </c>
      <c r="J877" s="30" t="s">
        <v>618</v>
      </c>
      <c r="K877" s="30" t="s">
        <v>407</v>
      </c>
      <c r="L877" s="30" t="s">
        <v>618</v>
      </c>
      <c r="M877" s="30" t="s">
        <v>532</v>
      </c>
      <c r="N877" s="30" t="s">
        <v>145</v>
      </c>
      <c r="O877" s="30" t="s">
        <v>145</v>
      </c>
      <c r="P877" s="30" t="s">
        <v>145</v>
      </c>
      <c r="Q877" s="30" t="s">
        <v>1898</v>
      </c>
    </row>
    <row r="878" hidden="1">
      <c r="A878" s="33" t="s">
        <v>4681</v>
      </c>
      <c r="B878" s="30" t="s">
        <v>139</v>
      </c>
      <c r="C878" s="30" t="s">
        <v>244</v>
      </c>
      <c r="D878" s="30" t="s">
        <v>244</v>
      </c>
      <c r="E878" s="35">
        <v>42891.0</v>
      </c>
      <c r="F878" s="37" t="s">
        <v>150</v>
      </c>
      <c r="G878" s="30" t="s">
        <v>140</v>
      </c>
      <c r="H878" s="30" t="s">
        <v>3076</v>
      </c>
      <c r="I878" s="30" t="s">
        <v>1536</v>
      </c>
      <c r="J878" s="30" t="s">
        <v>189</v>
      </c>
      <c r="K878" s="30" t="s">
        <v>618</v>
      </c>
      <c r="L878" s="30" t="s">
        <v>407</v>
      </c>
      <c r="M878" s="30" t="s">
        <v>1798</v>
      </c>
      <c r="N878" s="30" t="s">
        <v>145</v>
      </c>
      <c r="O878" s="30" t="s">
        <v>145</v>
      </c>
      <c r="P878" s="30" t="s">
        <v>145</v>
      </c>
      <c r="Q878" s="30" t="s">
        <v>1898</v>
      </c>
    </row>
    <row r="879" hidden="1">
      <c r="A879" s="33" t="s">
        <v>4686</v>
      </c>
      <c r="B879" s="30" t="s">
        <v>139</v>
      </c>
      <c r="C879" s="30" t="s">
        <v>337</v>
      </c>
      <c r="D879" s="30" t="s">
        <v>337</v>
      </c>
      <c r="E879" s="35">
        <v>42891.0</v>
      </c>
      <c r="F879" s="37" t="s">
        <v>150</v>
      </c>
      <c r="G879" s="30" t="s">
        <v>140</v>
      </c>
      <c r="H879" s="30" t="s">
        <v>438</v>
      </c>
      <c r="I879" s="30" t="s">
        <v>626</v>
      </c>
      <c r="J879" s="30" t="s">
        <v>626</v>
      </c>
      <c r="K879" s="30" t="s">
        <v>503</v>
      </c>
      <c r="L879" s="30" t="s">
        <v>146</v>
      </c>
      <c r="M879" s="30" t="s">
        <v>432</v>
      </c>
      <c r="N879" s="30" t="s">
        <v>145</v>
      </c>
      <c r="O879" s="30" t="s">
        <v>145</v>
      </c>
      <c r="P879" s="30" t="s">
        <v>145</v>
      </c>
      <c r="Q879" s="30" t="s">
        <v>1898</v>
      </c>
    </row>
    <row r="880" hidden="1">
      <c r="A880" s="33" t="s">
        <v>4688</v>
      </c>
      <c r="B880" s="30" t="s">
        <v>139</v>
      </c>
      <c r="C880" s="30" t="s">
        <v>155</v>
      </c>
      <c r="D880" s="30" t="s">
        <v>155</v>
      </c>
      <c r="E880" s="35">
        <v>42888.0</v>
      </c>
      <c r="F880" s="37" t="s">
        <v>150</v>
      </c>
      <c r="G880" s="30" t="s">
        <v>1000</v>
      </c>
      <c r="H880" s="30" t="s">
        <v>146</v>
      </c>
      <c r="I880" s="30" t="s">
        <v>146</v>
      </c>
      <c r="J880" s="30" t="s">
        <v>171</v>
      </c>
      <c r="K880" s="30" t="s">
        <v>158</v>
      </c>
      <c r="L880" s="30" t="s">
        <v>158</v>
      </c>
      <c r="M880" s="30" t="s">
        <v>375</v>
      </c>
      <c r="N880" s="30" t="s">
        <v>145</v>
      </c>
      <c r="O880" s="30" t="s">
        <v>145</v>
      </c>
      <c r="P880" s="30" t="s">
        <v>145</v>
      </c>
      <c r="Q880" s="30" t="s">
        <v>158</v>
      </c>
    </row>
    <row r="881" hidden="1">
      <c r="A881" s="33" t="s">
        <v>4692</v>
      </c>
      <c r="B881" s="30" t="s">
        <v>139</v>
      </c>
      <c r="C881" s="30" t="s">
        <v>453</v>
      </c>
      <c r="D881" s="30" t="s">
        <v>244</v>
      </c>
      <c r="E881" s="35">
        <v>42887.0</v>
      </c>
      <c r="F881" s="37" t="s">
        <v>154</v>
      </c>
      <c r="G881" s="30" t="s">
        <v>4984</v>
      </c>
      <c r="H881" s="30" t="s">
        <v>145</v>
      </c>
      <c r="I881" s="30" t="s">
        <v>145</v>
      </c>
      <c r="J881" s="30" t="s">
        <v>145</v>
      </c>
      <c r="K881" s="30" t="s">
        <v>145</v>
      </c>
      <c r="L881" s="30" t="s">
        <v>145</v>
      </c>
      <c r="M881" s="30" t="s">
        <v>145</v>
      </c>
      <c r="N881" s="30" t="s">
        <v>145</v>
      </c>
      <c r="O881" s="30" t="s">
        <v>145</v>
      </c>
      <c r="P881" s="30" t="s">
        <v>145</v>
      </c>
      <c r="Q881" s="30" t="s">
        <v>2544</v>
      </c>
    </row>
    <row r="882" hidden="1">
      <c r="A882" s="33" t="s">
        <v>4697</v>
      </c>
      <c r="B882" s="30" t="s">
        <v>139</v>
      </c>
      <c r="C882" s="30" t="s">
        <v>141</v>
      </c>
      <c r="D882" s="30" t="s">
        <v>244</v>
      </c>
      <c r="E882" s="35">
        <v>42887.0</v>
      </c>
      <c r="F882" s="37" t="s">
        <v>154</v>
      </c>
      <c r="G882" s="30" t="s">
        <v>664</v>
      </c>
      <c r="H882" s="30" t="s">
        <v>145</v>
      </c>
      <c r="I882" s="30" t="s">
        <v>145</v>
      </c>
      <c r="J882" s="30" t="s">
        <v>145</v>
      </c>
      <c r="K882" s="30" t="s">
        <v>145</v>
      </c>
      <c r="L882" s="30" t="s">
        <v>145</v>
      </c>
      <c r="M882" s="30" t="s">
        <v>145</v>
      </c>
      <c r="N882" s="30" t="s">
        <v>145</v>
      </c>
      <c r="O882" s="30" t="s">
        <v>145</v>
      </c>
      <c r="P882" s="30" t="s">
        <v>145</v>
      </c>
      <c r="Q882" s="30" t="s">
        <v>180</v>
      </c>
    </row>
    <row r="883" hidden="1">
      <c r="A883" s="33" t="s">
        <v>4700</v>
      </c>
      <c r="B883" s="30" t="s">
        <v>139</v>
      </c>
      <c r="C883" s="30" t="s">
        <v>453</v>
      </c>
      <c r="D883" s="30" t="s">
        <v>244</v>
      </c>
      <c r="E883" s="35">
        <v>42886.0</v>
      </c>
      <c r="F883" s="37" t="s">
        <v>154</v>
      </c>
      <c r="G883" s="30" t="s">
        <v>1749</v>
      </c>
      <c r="H883" s="30" t="s">
        <v>145</v>
      </c>
      <c r="I883" s="30" t="s">
        <v>145</v>
      </c>
      <c r="J883" s="30" t="s">
        <v>145</v>
      </c>
      <c r="K883" s="30" t="s">
        <v>145</v>
      </c>
      <c r="L883" s="30" t="s">
        <v>145</v>
      </c>
      <c r="M883" s="30" t="s">
        <v>145</v>
      </c>
      <c r="N883" s="30" t="s">
        <v>145</v>
      </c>
      <c r="O883" s="30" t="s">
        <v>145</v>
      </c>
      <c r="P883" s="30" t="s">
        <v>145</v>
      </c>
      <c r="Q883" s="30" t="s">
        <v>2544</v>
      </c>
    </row>
    <row r="884" hidden="1">
      <c r="A884" s="33" t="s">
        <v>4703</v>
      </c>
      <c r="B884" s="30" t="s">
        <v>139</v>
      </c>
      <c r="C884" s="30" t="s">
        <v>141</v>
      </c>
      <c r="D884" s="30" t="s">
        <v>244</v>
      </c>
      <c r="E884" s="35">
        <v>42886.0</v>
      </c>
      <c r="F884" s="37" t="s">
        <v>154</v>
      </c>
      <c r="G884" s="30" t="s">
        <v>2186</v>
      </c>
      <c r="H884" s="30" t="s">
        <v>145</v>
      </c>
      <c r="I884" s="30" t="s">
        <v>145</v>
      </c>
      <c r="J884" s="30" t="s">
        <v>145</v>
      </c>
      <c r="K884" s="30" t="s">
        <v>145</v>
      </c>
      <c r="L884" s="30" t="s">
        <v>145</v>
      </c>
      <c r="M884" s="30" t="s">
        <v>145</v>
      </c>
      <c r="N884" s="30" t="s">
        <v>145</v>
      </c>
      <c r="O884" s="30" t="s">
        <v>145</v>
      </c>
      <c r="P884" s="30" t="s">
        <v>145</v>
      </c>
      <c r="Q884" s="30" t="s">
        <v>180</v>
      </c>
    </row>
    <row r="885" hidden="1">
      <c r="A885" s="33" t="s">
        <v>4707</v>
      </c>
      <c r="B885" s="30" t="s">
        <v>139</v>
      </c>
      <c r="C885" s="30" t="s">
        <v>141</v>
      </c>
      <c r="D885" s="30" t="s">
        <v>244</v>
      </c>
      <c r="E885" s="35">
        <v>42886.0</v>
      </c>
      <c r="F885" s="37" t="s">
        <v>154</v>
      </c>
      <c r="G885" s="30" t="s">
        <v>2186</v>
      </c>
      <c r="H885" s="30" t="s">
        <v>145</v>
      </c>
      <c r="I885" s="30" t="s">
        <v>145</v>
      </c>
      <c r="J885" s="30" t="s">
        <v>145</v>
      </c>
      <c r="K885" s="30" t="s">
        <v>145</v>
      </c>
      <c r="L885" s="30" t="s">
        <v>145</v>
      </c>
      <c r="M885" s="30" t="s">
        <v>145</v>
      </c>
      <c r="N885" s="30" t="s">
        <v>145</v>
      </c>
      <c r="O885" s="30" t="s">
        <v>145</v>
      </c>
      <c r="P885" s="30" t="s">
        <v>145</v>
      </c>
      <c r="Q885" s="30" t="s">
        <v>180</v>
      </c>
    </row>
    <row r="886" hidden="1">
      <c r="A886" s="33" t="s">
        <v>4712</v>
      </c>
      <c r="B886" s="30" t="s">
        <v>139</v>
      </c>
      <c r="C886" s="30" t="s">
        <v>244</v>
      </c>
      <c r="D886" s="30" t="s">
        <v>244</v>
      </c>
      <c r="E886" s="35">
        <v>42886.0</v>
      </c>
      <c r="F886" s="37" t="s">
        <v>150</v>
      </c>
      <c r="G886" s="30" t="s">
        <v>5013</v>
      </c>
      <c r="H886" s="30" t="s">
        <v>145</v>
      </c>
      <c r="I886" s="30" t="s">
        <v>145</v>
      </c>
      <c r="J886" s="30" t="s">
        <v>145</v>
      </c>
      <c r="K886" s="30" t="s">
        <v>145</v>
      </c>
      <c r="L886" s="30" t="s">
        <v>145</v>
      </c>
      <c r="M886" s="30" t="s">
        <v>145</v>
      </c>
      <c r="N886" s="30" t="s">
        <v>145</v>
      </c>
      <c r="O886" s="30" t="s">
        <v>145</v>
      </c>
      <c r="P886" s="30" t="s">
        <v>145</v>
      </c>
      <c r="Q886" s="30" t="s">
        <v>2544</v>
      </c>
    </row>
    <row r="887" hidden="1">
      <c r="A887" s="33" t="s">
        <v>4715</v>
      </c>
      <c r="B887" s="30" t="s">
        <v>139</v>
      </c>
      <c r="C887" s="30" t="s">
        <v>337</v>
      </c>
      <c r="D887" s="30" t="s">
        <v>140</v>
      </c>
      <c r="E887" s="35">
        <v>42881.0</v>
      </c>
      <c r="F887" s="37" t="s">
        <v>154</v>
      </c>
      <c r="G887" s="30" t="s">
        <v>1441</v>
      </c>
      <c r="H887" s="30" t="s">
        <v>145</v>
      </c>
      <c r="I887" s="30" t="s">
        <v>145</v>
      </c>
      <c r="J887" s="30" t="s">
        <v>145</v>
      </c>
      <c r="K887" s="30" t="s">
        <v>145</v>
      </c>
      <c r="L887" s="30" t="s">
        <v>145</v>
      </c>
      <c r="M887" s="30" t="s">
        <v>145</v>
      </c>
      <c r="N887" s="30" t="s">
        <v>145</v>
      </c>
      <c r="O887" s="30" t="s">
        <v>145</v>
      </c>
      <c r="P887" s="30" t="s">
        <v>145</v>
      </c>
      <c r="Q887" s="30" t="s">
        <v>146</v>
      </c>
    </row>
    <row r="888" hidden="1">
      <c r="A888" s="33" t="s">
        <v>4720</v>
      </c>
      <c r="B888" s="30" t="s">
        <v>139</v>
      </c>
      <c r="C888" s="30" t="s">
        <v>453</v>
      </c>
      <c r="D888" s="30" t="s">
        <v>244</v>
      </c>
      <c r="E888" s="35">
        <v>42881.0</v>
      </c>
      <c r="F888" s="37" t="s">
        <v>154</v>
      </c>
      <c r="G888" s="30" t="s">
        <v>2544</v>
      </c>
      <c r="H888" s="30" t="s">
        <v>145</v>
      </c>
      <c r="I888" s="30" t="s">
        <v>145</v>
      </c>
      <c r="J888" s="30" t="s">
        <v>145</v>
      </c>
      <c r="K888" s="30" t="s">
        <v>145</v>
      </c>
      <c r="L888" s="30" t="s">
        <v>145</v>
      </c>
      <c r="M888" s="30" t="s">
        <v>145</v>
      </c>
      <c r="N888" s="30" t="s">
        <v>145</v>
      </c>
      <c r="O888" s="30" t="s">
        <v>145</v>
      </c>
      <c r="P888" s="30" t="s">
        <v>145</v>
      </c>
      <c r="Q888" s="30" t="s">
        <v>2544</v>
      </c>
    </row>
    <row r="889" hidden="1">
      <c r="A889" s="33" t="s">
        <v>4723</v>
      </c>
      <c r="B889" s="30" t="s">
        <v>139</v>
      </c>
      <c r="C889" s="30" t="s">
        <v>141</v>
      </c>
      <c r="D889" s="30" t="s">
        <v>244</v>
      </c>
      <c r="E889" s="35">
        <v>42881.0</v>
      </c>
      <c r="F889" s="37" t="s">
        <v>154</v>
      </c>
      <c r="G889" s="30" t="s">
        <v>5035</v>
      </c>
      <c r="H889" s="30" t="s">
        <v>145</v>
      </c>
      <c r="I889" s="30" t="s">
        <v>145</v>
      </c>
      <c r="J889" s="30" t="s">
        <v>145</v>
      </c>
      <c r="K889" s="30" t="s">
        <v>145</v>
      </c>
      <c r="L889" s="30" t="s">
        <v>145</v>
      </c>
      <c r="M889" s="30" t="s">
        <v>145</v>
      </c>
      <c r="N889" s="30" t="s">
        <v>145</v>
      </c>
      <c r="O889" s="30" t="s">
        <v>145</v>
      </c>
      <c r="P889" s="30" t="s">
        <v>145</v>
      </c>
      <c r="Q889" s="30" t="s">
        <v>2544</v>
      </c>
    </row>
    <row r="890" hidden="1">
      <c r="A890" s="33" t="s">
        <v>4727</v>
      </c>
      <c r="B890" s="30" t="s">
        <v>139</v>
      </c>
      <c r="C890" s="30" t="s">
        <v>141</v>
      </c>
      <c r="D890" s="30" t="s">
        <v>244</v>
      </c>
      <c r="E890" s="35">
        <v>42881.0</v>
      </c>
      <c r="F890" s="37" t="s">
        <v>154</v>
      </c>
      <c r="G890" s="30" t="s">
        <v>2142</v>
      </c>
      <c r="H890" s="30" t="s">
        <v>145</v>
      </c>
      <c r="I890" s="30" t="s">
        <v>145</v>
      </c>
      <c r="J890" s="30" t="s">
        <v>145</v>
      </c>
      <c r="K890" s="30" t="s">
        <v>145</v>
      </c>
      <c r="L890" s="30" t="s">
        <v>145</v>
      </c>
      <c r="M890" s="30" t="s">
        <v>145</v>
      </c>
      <c r="N890" s="30" t="s">
        <v>145</v>
      </c>
      <c r="O890" s="30" t="s">
        <v>145</v>
      </c>
      <c r="P890" s="30" t="s">
        <v>145</v>
      </c>
      <c r="Q890" s="30" t="s">
        <v>180</v>
      </c>
    </row>
    <row r="891" hidden="1">
      <c r="A891" s="33" t="s">
        <v>4732</v>
      </c>
      <c r="B891" s="30" t="s">
        <v>139</v>
      </c>
      <c r="C891" s="30" t="s">
        <v>141</v>
      </c>
      <c r="D891" s="30" t="s">
        <v>244</v>
      </c>
      <c r="E891" s="35">
        <v>42881.0</v>
      </c>
      <c r="F891" s="37" t="s">
        <v>154</v>
      </c>
      <c r="G891" s="30" t="s">
        <v>5035</v>
      </c>
      <c r="H891" s="30" t="s">
        <v>145</v>
      </c>
      <c r="I891" s="30" t="s">
        <v>145</v>
      </c>
      <c r="J891" s="30" t="s">
        <v>145</v>
      </c>
      <c r="K891" s="30" t="s">
        <v>145</v>
      </c>
      <c r="L891" s="30" t="s">
        <v>145</v>
      </c>
      <c r="M891" s="30" t="s">
        <v>145</v>
      </c>
      <c r="N891" s="30" t="s">
        <v>145</v>
      </c>
      <c r="O891" s="30" t="s">
        <v>145</v>
      </c>
      <c r="P891" s="30" t="s">
        <v>145</v>
      </c>
      <c r="Q891" s="30" t="s">
        <v>2544</v>
      </c>
    </row>
    <row r="892" hidden="1">
      <c r="A892" s="33" t="s">
        <v>4737</v>
      </c>
      <c r="B892" s="30" t="s">
        <v>139</v>
      </c>
      <c r="C892" s="30" t="s">
        <v>141</v>
      </c>
      <c r="D892" s="30" t="s">
        <v>244</v>
      </c>
      <c r="E892" s="35">
        <v>42881.0</v>
      </c>
      <c r="F892" s="37" t="s">
        <v>154</v>
      </c>
      <c r="G892" s="30" t="s">
        <v>2142</v>
      </c>
      <c r="H892" s="30" t="s">
        <v>145</v>
      </c>
      <c r="I892" s="30" t="s">
        <v>145</v>
      </c>
      <c r="J892" s="30" t="s">
        <v>145</v>
      </c>
      <c r="K892" s="30" t="s">
        <v>145</v>
      </c>
      <c r="L892" s="30" t="s">
        <v>145</v>
      </c>
      <c r="M892" s="30" t="s">
        <v>145</v>
      </c>
      <c r="N892" s="30" t="s">
        <v>145</v>
      </c>
      <c r="O892" s="30" t="s">
        <v>145</v>
      </c>
      <c r="P892" s="30" t="s">
        <v>145</v>
      </c>
      <c r="Q892" s="30" t="s">
        <v>3321</v>
      </c>
    </row>
    <row r="893" hidden="1">
      <c r="A893" s="33" t="s">
        <v>4746</v>
      </c>
      <c r="B893" s="30" t="s">
        <v>139</v>
      </c>
      <c r="C893" s="30" t="s">
        <v>244</v>
      </c>
      <c r="D893" s="30" t="s">
        <v>244</v>
      </c>
      <c r="E893" s="35">
        <v>42881.0</v>
      </c>
      <c r="F893" s="37" t="s">
        <v>150</v>
      </c>
      <c r="G893" s="30" t="s">
        <v>140</v>
      </c>
      <c r="H893" s="30" t="s">
        <v>503</v>
      </c>
      <c r="I893" s="30" t="s">
        <v>146</v>
      </c>
      <c r="J893" s="30" t="s">
        <v>163</v>
      </c>
      <c r="K893" s="30" t="s">
        <v>743</v>
      </c>
      <c r="L893" s="30" t="s">
        <v>146</v>
      </c>
      <c r="M893" s="30" t="s">
        <v>506</v>
      </c>
      <c r="N893" s="30" t="s">
        <v>145</v>
      </c>
      <c r="O893" s="30" t="s">
        <v>145</v>
      </c>
      <c r="P893" s="30" t="s">
        <v>145</v>
      </c>
      <c r="Q893" s="30" t="s">
        <v>1898</v>
      </c>
    </row>
    <row r="894" hidden="1">
      <c r="A894" s="33" t="s">
        <v>4750</v>
      </c>
      <c r="B894" s="30" t="s">
        <v>139</v>
      </c>
      <c r="C894" s="30" t="s">
        <v>244</v>
      </c>
      <c r="D894" s="30" t="s">
        <v>244</v>
      </c>
      <c r="E894" s="35">
        <v>42881.0</v>
      </c>
      <c r="F894" s="37" t="s">
        <v>150</v>
      </c>
      <c r="G894" s="30" t="s">
        <v>5061</v>
      </c>
      <c r="H894" s="30" t="s">
        <v>4739</v>
      </c>
      <c r="I894" s="30" t="s">
        <v>163</v>
      </c>
      <c r="J894" s="30" t="s">
        <v>163</v>
      </c>
      <c r="K894" s="30" t="s">
        <v>4040</v>
      </c>
      <c r="L894" s="30" t="s">
        <v>743</v>
      </c>
      <c r="M894" s="30" t="s">
        <v>506</v>
      </c>
      <c r="N894" s="30" t="s">
        <v>145</v>
      </c>
      <c r="O894" s="30" t="s">
        <v>145</v>
      </c>
      <c r="P894" s="30" t="s">
        <v>145</v>
      </c>
      <c r="Q894" s="30" t="s">
        <v>1898</v>
      </c>
    </row>
    <row r="895" hidden="1">
      <c r="A895" s="33" t="s">
        <v>4753</v>
      </c>
      <c r="B895" s="30" t="s">
        <v>139</v>
      </c>
      <c r="C895" s="30" t="s">
        <v>337</v>
      </c>
      <c r="D895" s="30" t="s">
        <v>337</v>
      </c>
      <c r="E895" s="35">
        <v>42878.0</v>
      </c>
      <c r="F895" s="37" t="s">
        <v>150</v>
      </c>
      <c r="G895" s="30" t="s">
        <v>140</v>
      </c>
      <c r="H895" s="30" t="s">
        <v>163</v>
      </c>
      <c r="I895" s="30" t="s">
        <v>146</v>
      </c>
      <c r="J895" s="30" t="s">
        <v>163</v>
      </c>
      <c r="K895" s="30" t="s">
        <v>1000</v>
      </c>
      <c r="L895" s="30" t="s">
        <v>1636</v>
      </c>
      <c r="M895" s="30" t="s">
        <v>163</v>
      </c>
      <c r="N895" s="30" t="s">
        <v>145</v>
      </c>
      <c r="O895" s="30" t="s">
        <v>145</v>
      </c>
      <c r="P895" s="30" t="s">
        <v>145</v>
      </c>
      <c r="Q895" s="30" t="s">
        <v>1898</v>
      </c>
    </row>
    <row r="896" hidden="1">
      <c r="A896" s="33" t="s">
        <v>4757</v>
      </c>
      <c r="B896" s="30" t="s">
        <v>139</v>
      </c>
      <c r="C896" s="30" t="s">
        <v>148</v>
      </c>
      <c r="D896" s="30" t="s">
        <v>216</v>
      </c>
      <c r="E896" s="35">
        <v>42878.0</v>
      </c>
      <c r="F896" s="37" t="s">
        <v>150</v>
      </c>
      <c r="G896" s="30" t="s">
        <v>5071</v>
      </c>
      <c r="H896" s="30" t="s">
        <v>407</v>
      </c>
      <c r="I896" s="30" t="s">
        <v>407</v>
      </c>
      <c r="J896" s="30" t="s">
        <v>4374</v>
      </c>
      <c r="K896" s="30" t="s">
        <v>618</v>
      </c>
      <c r="L896" s="30" t="s">
        <v>407</v>
      </c>
      <c r="M896" s="30" t="s">
        <v>5072</v>
      </c>
      <c r="N896" s="2" t="s">
        <v>556</v>
      </c>
      <c r="O896" s="30" t="s">
        <v>197</v>
      </c>
      <c r="P896" s="30" t="s">
        <v>152</v>
      </c>
      <c r="Q896" s="30" t="s">
        <v>152</v>
      </c>
    </row>
    <row r="897" hidden="1">
      <c r="A897" s="33" t="s">
        <v>4761</v>
      </c>
      <c r="B897" s="30" t="s">
        <v>139</v>
      </c>
      <c r="C897" s="30" t="s">
        <v>140</v>
      </c>
      <c r="D897" s="30" t="s">
        <v>140</v>
      </c>
      <c r="E897" s="35">
        <v>42874.0</v>
      </c>
      <c r="F897" s="37" t="s">
        <v>154</v>
      </c>
      <c r="G897" s="30" t="s">
        <v>5074</v>
      </c>
      <c r="H897" s="30" t="s">
        <v>145</v>
      </c>
      <c r="I897" s="30" t="s">
        <v>145</v>
      </c>
      <c r="J897" s="30" t="s">
        <v>145</v>
      </c>
      <c r="K897" s="30" t="s">
        <v>145</v>
      </c>
      <c r="L897" s="30" t="s">
        <v>145</v>
      </c>
      <c r="M897" s="30" t="s">
        <v>145</v>
      </c>
      <c r="N897" s="30" t="s">
        <v>145</v>
      </c>
      <c r="O897" s="30" t="s">
        <v>145</v>
      </c>
      <c r="P897" s="30" t="s">
        <v>145</v>
      </c>
      <c r="Q897" s="30" t="s">
        <v>146</v>
      </c>
    </row>
    <row r="898" hidden="1">
      <c r="A898" s="33" t="s">
        <v>4766</v>
      </c>
      <c r="B898" s="30" t="s">
        <v>139</v>
      </c>
      <c r="C898" s="30" t="s">
        <v>140</v>
      </c>
      <c r="D898" s="30" t="s">
        <v>140</v>
      </c>
      <c r="E898" s="35">
        <v>42873.0</v>
      </c>
      <c r="F898" s="37" t="s">
        <v>154</v>
      </c>
      <c r="G898" s="30" t="s">
        <v>4058</v>
      </c>
      <c r="H898" s="30" t="s">
        <v>145</v>
      </c>
      <c r="I898" s="30" t="s">
        <v>145</v>
      </c>
      <c r="J898" s="30" t="s">
        <v>145</v>
      </c>
      <c r="K898" s="30" t="s">
        <v>145</v>
      </c>
      <c r="L898" s="30" t="s">
        <v>145</v>
      </c>
      <c r="M898" s="30" t="s">
        <v>145</v>
      </c>
      <c r="N898" s="30" t="s">
        <v>145</v>
      </c>
      <c r="O898" s="30" t="s">
        <v>145</v>
      </c>
      <c r="P898" s="30" t="s">
        <v>145</v>
      </c>
      <c r="Q898" s="30" t="s">
        <v>146</v>
      </c>
    </row>
    <row r="899" hidden="1">
      <c r="A899" s="33" t="s">
        <v>4771</v>
      </c>
      <c r="B899" s="30" t="s">
        <v>139</v>
      </c>
      <c r="C899" s="30" t="s">
        <v>155</v>
      </c>
      <c r="D899" s="30" t="s">
        <v>155</v>
      </c>
      <c r="E899" s="35">
        <v>42872.0</v>
      </c>
      <c r="F899" s="37" t="s">
        <v>184</v>
      </c>
      <c r="G899" s="30" t="s">
        <v>626</v>
      </c>
      <c r="H899" s="30" t="s">
        <v>146</v>
      </c>
      <c r="I899" s="30" t="s">
        <v>5086</v>
      </c>
      <c r="J899" s="30" t="s">
        <v>145</v>
      </c>
      <c r="K899" s="30" t="s">
        <v>145</v>
      </c>
      <c r="L899" s="30" t="s">
        <v>145</v>
      </c>
      <c r="M899" s="30" t="s">
        <v>145</v>
      </c>
      <c r="N899" s="30" t="s">
        <v>145</v>
      </c>
      <c r="O899" s="30" t="s">
        <v>145</v>
      </c>
      <c r="P899" s="30" t="s">
        <v>145</v>
      </c>
      <c r="Q899" s="30" t="s">
        <v>158</v>
      </c>
    </row>
    <row r="900" hidden="1">
      <c r="A900" s="33" t="s">
        <v>4775</v>
      </c>
      <c r="B900" s="30" t="s">
        <v>139</v>
      </c>
      <c r="C900" s="30" t="s">
        <v>155</v>
      </c>
      <c r="D900" s="30" t="s">
        <v>155</v>
      </c>
      <c r="E900" s="35">
        <v>42872.0</v>
      </c>
      <c r="F900" s="37" t="s">
        <v>150</v>
      </c>
      <c r="G900" s="30" t="s">
        <v>970</v>
      </c>
      <c r="H900" s="30" t="s">
        <v>146</v>
      </c>
      <c r="I900" s="30" t="s">
        <v>146</v>
      </c>
      <c r="J900" s="30" t="s">
        <v>146</v>
      </c>
      <c r="K900" s="30" t="s">
        <v>352</v>
      </c>
      <c r="L900" s="30" t="s">
        <v>2884</v>
      </c>
      <c r="M900" s="30" t="s">
        <v>163</v>
      </c>
      <c r="N900" s="30" t="s">
        <v>145</v>
      </c>
      <c r="O900" s="30" t="s">
        <v>145</v>
      </c>
      <c r="P900" s="30" t="s">
        <v>145</v>
      </c>
      <c r="Q900" s="30" t="s">
        <v>1898</v>
      </c>
    </row>
    <row r="901" hidden="1">
      <c r="A901" s="33" t="s">
        <v>4779</v>
      </c>
      <c r="B901" s="30" t="s">
        <v>139</v>
      </c>
      <c r="C901" s="30" t="s">
        <v>141</v>
      </c>
      <c r="D901" s="30" t="s">
        <v>244</v>
      </c>
      <c r="E901" s="35">
        <v>42870.0</v>
      </c>
      <c r="F901" s="37" t="s">
        <v>154</v>
      </c>
      <c r="G901" s="30" t="s">
        <v>2544</v>
      </c>
      <c r="H901" s="30" t="s">
        <v>145</v>
      </c>
      <c r="I901" s="30" t="s">
        <v>145</v>
      </c>
      <c r="J901" s="30" t="s">
        <v>145</v>
      </c>
      <c r="K901" s="30" t="s">
        <v>145</v>
      </c>
      <c r="L901" s="30" t="s">
        <v>145</v>
      </c>
      <c r="M901" s="30" t="s">
        <v>145</v>
      </c>
      <c r="N901" s="30" t="s">
        <v>145</v>
      </c>
      <c r="O901" s="30" t="s">
        <v>145</v>
      </c>
      <c r="P901" s="30" t="s">
        <v>145</v>
      </c>
      <c r="Q901" s="30" t="s">
        <v>5097</v>
      </c>
    </row>
    <row r="902" hidden="1">
      <c r="A902" s="33" t="s">
        <v>4781</v>
      </c>
      <c r="B902" s="30" t="s">
        <v>139</v>
      </c>
      <c r="C902" s="30" t="s">
        <v>244</v>
      </c>
      <c r="D902" s="30" t="s">
        <v>244</v>
      </c>
      <c r="E902" s="35">
        <v>42870.0</v>
      </c>
      <c r="F902" s="37" t="s">
        <v>150</v>
      </c>
      <c r="G902" s="30" t="s">
        <v>1749</v>
      </c>
      <c r="H902" s="30" t="s">
        <v>2544</v>
      </c>
      <c r="I902" s="30" t="s">
        <v>2544</v>
      </c>
      <c r="J902" s="30" t="s">
        <v>2544</v>
      </c>
      <c r="K902" s="30" t="s">
        <v>5102</v>
      </c>
      <c r="L902" s="30" t="s">
        <v>5104</v>
      </c>
      <c r="M902" s="30" t="s">
        <v>5106</v>
      </c>
      <c r="N902" s="30" t="s">
        <v>145</v>
      </c>
      <c r="O902" s="30" t="s">
        <v>145</v>
      </c>
      <c r="P902" s="30" t="s">
        <v>145</v>
      </c>
      <c r="Q902" s="30" t="s">
        <v>2544</v>
      </c>
    </row>
    <row r="903" hidden="1">
      <c r="A903" s="33" t="s">
        <v>4785</v>
      </c>
      <c r="B903" s="30" t="s">
        <v>139</v>
      </c>
      <c r="C903" s="30" t="s">
        <v>155</v>
      </c>
      <c r="D903" s="30" t="s">
        <v>155</v>
      </c>
      <c r="E903" s="35">
        <v>42870.0</v>
      </c>
      <c r="F903" s="37" t="s">
        <v>150</v>
      </c>
      <c r="G903" s="30" t="s">
        <v>1182</v>
      </c>
      <c r="H903" s="30" t="s">
        <v>145</v>
      </c>
      <c r="I903" s="30" t="s">
        <v>145</v>
      </c>
      <c r="J903" s="30" t="s">
        <v>145</v>
      </c>
      <c r="K903" s="162" t="s">
        <v>145</v>
      </c>
      <c r="L903" s="162" t="s">
        <v>145</v>
      </c>
      <c r="M903" s="162" t="s">
        <v>145</v>
      </c>
      <c r="N903" s="30" t="s">
        <v>145</v>
      </c>
      <c r="O903" s="30" t="s">
        <v>145</v>
      </c>
      <c r="P903" s="30" t="s">
        <v>145</v>
      </c>
      <c r="Q903" s="30" t="s">
        <v>1898</v>
      </c>
    </row>
    <row r="904" hidden="1">
      <c r="A904" s="33" t="s">
        <v>4788</v>
      </c>
      <c r="B904" s="30" t="s">
        <v>139</v>
      </c>
      <c r="C904" s="30" t="s">
        <v>170</v>
      </c>
      <c r="D904" s="30" t="s">
        <v>177</v>
      </c>
      <c r="E904" s="35">
        <v>42867.0</v>
      </c>
      <c r="F904" s="37" t="s">
        <v>150</v>
      </c>
      <c r="G904" s="30" t="s">
        <v>4710</v>
      </c>
      <c r="H904" s="30" t="s">
        <v>1471</v>
      </c>
      <c r="I904" s="30" t="s">
        <v>1471</v>
      </c>
      <c r="J904" s="30" t="s">
        <v>5130</v>
      </c>
      <c r="K904" s="30" t="s">
        <v>5131</v>
      </c>
      <c r="L904" s="30" t="s">
        <v>145</v>
      </c>
      <c r="M904" s="30" t="s">
        <v>145</v>
      </c>
      <c r="N904" s="30" t="s">
        <v>145</v>
      </c>
      <c r="O904" s="30" t="s">
        <v>145</v>
      </c>
      <c r="P904" s="30" t="s">
        <v>145</v>
      </c>
      <c r="Q904" s="30" t="s">
        <v>743</v>
      </c>
    </row>
    <row r="905" hidden="1">
      <c r="A905" s="33" t="s">
        <v>4792</v>
      </c>
      <c r="B905" s="30" t="s">
        <v>139</v>
      </c>
      <c r="C905" s="30" t="s">
        <v>170</v>
      </c>
      <c r="D905" s="30" t="s">
        <v>177</v>
      </c>
      <c r="E905" s="35">
        <v>42867.0</v>
      </c>
      <c r="F905" s="37" t="s">
        <v>150</v>
      </c>
      <c r="G905" s="30" t="s">
        <v>5136</v>
      </c>
      <c r="H905" s="30" t="s">
        <v>1471</v>
      </c>
      <c r="I905" s="30" t="s">
        <v>1471</v>
      </c>
      <c r="J905" s="30" t="s">
        <v>5130</v>
      </c>
      <c r="K905" s="30" t="s">
        <v>5137</v>
      </c>
      <c r="L905" s="30" t="s">
        <v>145</v>
      </c>
      <c r="M905" s="30" t="s">
        <v>145</v>
      </c>
      <c r="N905" s="30" t="s">
        <v>145</v>
      </c>
      <c r="O905" s="30" t="s">
        <v>145</v>
      </c>
      <c r="P905" s="30" t="s">
        <v>145</v>
      </c>
      <c r="Q905" s="30" t="s">
        <v>743</v>
      </c>
    </row>
    <row r="906" hidden="1">
      <c r="A906" s="33" t="s">
        <v>4796</v>
      </c>
      <c r="B906" s="30" t="s">
        <v>139</v>
      </c>
      <c r="C906" s="30" t="s">
        <v>453</v>
      </c>
      <c r="D906" s="30" t="s">
        <v>244</v>
      </c>
      <c r="E906" s="35">
        <v>42864.0</v>
      </c>
      <c r="F906" s="37" t="s">
        <v>154</v>
      </c>
      <c r="G906" s="30" t="s">
        <v>2544</v>
      </c>
      <c r="H906" s="30" t="s">
        <v>145</v>
      </c>
      <c r="I906" s="30" t="s">
        <v>145</v>
      </c>
      <c r="J906" s="30" t="s">
        <v>145</v>
      </c>
      <c r="K906" s="30" t="s">
        <v>145</v>
      </c>
      <c r="L906" s="30" t="s">
        <v>145</v>
      </c>
      <c r="M906" s="30" t="s">
        <v>145</v>
      </c>
      <c r="N906" s="30" t="s">
        <v>145</v>
      </c>
      <c r="O906" s="30" t="s">
        <v>145</v>
      </c>
      <c r="P906" s="30" t="s">
        <v>145</v>
      </c>
      <c r="Q906" s="30" t="s">
        <v>2544</v>
      </c>
    </row>
    <row r="907" hidden="1">
      <c r="A907" s="33" t="s">
        <v>4800</v>
      </c>
      <c r="B907" s="30" t="s">
        <v>139</v>
      </c>
      <c r="C907" s="30" t="s">
        <v>453</v>
      </c>
      <c r="D907" s="30" t="s">
        <v>244</v>
      </c>
      <c r="E907" s="35">
        <v>42864.0</v>
      </c>
      <c r="F907" s="37" t="s">
        <v>154</v>
      </c>
      <c r="G907" s="30" t="s">
        <v>5149</v>
      </c>
      <c r="H907" s="30" t="s">
        <v>145</v>
      </c>
      <c r="I907" s="30" t="s">
        <v>145</v>
      </c>
      <c r="J907" s="30" t="s">
        <v>145</v>
      </c>
      <c r="K907" s="30" t="s">
        <v>145</v>
      </c>
      <c r="L907" s="30" t="s">
        <v>145</v>
      </c>
      <c r="M907" s="30" t="s">
        <v>145</v>
      </c>
      <c r="N907" s="30" t="s">
        <v>145</v>
      </c>
      <c r="O907" s="30" t="s">
        <v>145</v>
      </c>
      <c r="P907" s="30" t="s">
        <v>145</v>
      </c>
      <c r="Q907" s="30" t="s">
        <v>2544</v>
      </c>
    </row>
    <row r="908" hidden="1">
      <c r="A908" s="33" t="s">
        <v>4804</v>
      </c>
      <c r="B908" s="30" t="s">
        <v>139</v>
      </c>
      <c r="C908" s="30" t="s">
        <v>244</v>
      </c>
      <c r="D908" s="30" t="s">
        <v>244</v>
      </c>
      <c r="E908" s="35">
        <v>42864.0</v>
      </c>
      <c r="F908" s="37" t="s">
        <v>150</v>
      </c>
      <c r="G908" s="30" t="s">
        <v>140</v>
      </c>
      <c r="H908" s="30" t="s">
        <v>163</v>
      </c>
      <c r="I908" s="30" t="s">
        <v>146</v>
      </c>
      <c r="J908" s="30" t="s">
        <v>146</v>
      </c>
      <c r="K908" s="30" t="s">
        <v>5157</v>
      </c>
      <c r="L908" s="30" t="s">
        <v>5158</v>
      </c>
      <c r="M908" s="162" t="s">
        <v>145</v>
      </c>
      <c r="N908" s="162" t="s">
        <v>145</v>
      </c>
      <c r="O908" s="162" t="s">
        <v>145</v>
      </c>
      <c r="P908" s="30" t="s">
        <v>145</v>
      </c>
      <c r="Q908" s="30" t="s">
        <v>1898</v>
      </c>
    </row>
    <row r="909" hidden="1">
      <c r="A909" s="33" t="s">
        <v>4807</v>
      </c>
      <c r="B909" s="30" t="s">
        <v>139</v>
      </c>
      <c r="C909" s="30" t="s">
        <v>244</v>
      </c>
      <c r="D909" s="30" t="s">
        <v>244</v>
      </c>
      <c r="E909" s="35">
        <v>42864.0</v>
      </c>
      <c r="F909" s="37" t="s">
        <v>150</v>
      </c>
      <c r="G909" s="30" t="s">
        <v>140</v>
      </c>
      <c r="H909" s="30" t="s">
        <v>163</v>
      </c>
      <c r="I909" s="30" t="s">
        <v>146</v>
      </c>
      <c r="J909" s="30" t="s">
        <v>146</v>
      </c>
      <c r="K909" s="30" t="s">
        <v>5157</v>
      </c>
      <c r="L909" s="30" t="s">
        <v>5158</v>
      </c>
      <c r="M909" s="162" t="s">
        <v>145</v>
      </c>
      <c r="N909" s="162" t="s">
        <v>145</v>
      </c>
      <c r="O909" s="162" t="s">
        <v>145</v>
      </c>
      <c r="P909" s="30" t="s">
        <v>145</v>
      </c>
      <c r="Q909" s="30" t="s">
        <v>1898</v>
      </c>
    </row>
    <row r="910" hidden="1">
      <c r="A910" s="33" t="s">
        <v>4809</v>
      </c>
      <c r="B910" s="30" t="s">
        <v>139</v>
      </c>
      <c r="C910" s="30" t="s">
        <v>1400</v>
      </c>
      <c r="D910" s="30" t="s">
        <v>1400</v>
      </c>
      <c r="E910" s="35">
        <v>42863.0</v>
      </c>
      <c r="F910" s="37" t="s">
        <v>150</v>
      </c>
      <c r="G910" s="30" t="s">
        <v>140</v>
      </c>
      <c r="H910" s="30" t="s">
        <v>5171</v>
      </c>
      <c r="I910" s="30" t="s">
        <v>146</v>
      </c>
      <c r="J910" s="30" t="s">
        <v>1935</v>
      </c>
      <c r="K910" s="30" t="s">
        <v>1773</v>
      </c>
      <c r="L910" s="30" t="s">
        <v>1935</v>
      </c>
      <c r="M910" s="30" t="s">
        <v>1773</v>
      </c>
      <c r="N910" s="30" t="s">
        <v>145</v>
      </c>
      <c r="O910" s="30" t="s">
        <v>145</v>
      </c>
      <c r="P910" s="30" t="s">
        <v>145</v>
      </c>
      <c r="Q910" s="30" t="s">
        <v>1898</v>
      </c>
    </row>
    <row r="911" hidden="1">
      <c r="A911" s="33" t="s">
        <v>4813</v>
      </c>
      <c r="B911" s="30" t="s">
        <v>139</v>
      </c>
      <c r="C911" s="30" t="s">
        <v>155</v>
      </c>
      <c r="D911" s="30" t="s">
        <v>155</v>
      </c>
      <c r="E911" s="35">
        <v>42860.0</v>
      </c>
      <c r="F911" s="37" t="s">
        <v>150</v>
      </c>
      <c r="G911" s="30" t="s">
        <v>140</v>
      </c>
      <c r="H911" s="30" t="s">
        <v>146</v>
      </c>
      <c r="I911" s="30" t="s">
        <v>540</v>
      </c>
      <c r="J911" s="30" t="s">
        <v>146</v>
      </c>
      <c r="K911" s="30" t="s">
        <v>163</v>
      </c>
      <c r="L911" s="30" t="s">
        <v>146</v>
      </c>
      <c r="M911" s="30" t="s">
        <v>5179</v>
      </c>
      <c r="N911" s="30" t="s">
        <v>145</v>
      </c>
      <c r="O911" s="30" t="s">
        <v>145</v>
      </c>
      <c r="P911" s="30" t="s">
        <v>145</v>
      </c>
      <c r="Q911" s="30" t="s">
        <v>158</v>
      </c>
    </row>
    <row r="912" hidden="1">
      <c r="A912" s="33" t="str">
        <f>hyperlink("https://issues.sierrawireless.com/browse/OEMPRI-3317", "OEMPRI-3317")</f>
        <v>OEMPRI-3317</v>
      </c>
      <c r="B912" s="30" t="s">
        <v>139</v>
      </c>
      <c r="C912" s="30" t="s">
        <v>140</v>
      </c>
      <c r="D912" s="30" t="s">
        <v>140</v>
      </c>
      <c r="E912" s="35">
        <v>42860.0</v>
      </c>
      <c r="F912" s="37" t="s">
        <v>154</v>
      </c>
      <c r="G912" s="30" t="s">
        <v>146</v>
      </c>
      <c r="H912" s="30" t="s">
        <v>145</v>
      </c>
      <c r="I912" s="30" t="s">
        <v>145</v>
      </c>
      <c r="J912" s="30" t="s">
        <v>145</v>
      </c>
      <c r="K912" s="30" t="s">
        <v>145</v>
      </c>
      <c r="L912" s="30" t="s">
        <v>145</v>
      </c>
      <c r="M912" s="30" t="s">
        <v>145</v>
      </c>
      <c r="N912" s="30" t="s">
        <v>145</v>
      </c>
      <c r="O912" s="30" t="s">
        <v>145</v>
      </c>
      <c r="P912" s="30" t="s">
        <v>145</v>
      </c>
      <c r="Q912" s="30" t="s">
        <v>146</v>
      </c>
    </row>
    <row r="913" hidden="1">
      <c r="A913" s="33" t="s">
        <v>4816</v>
      </c>
      <c r="B913" s="30" t="s">
        <v>139</v>
      </c>
      <c r="C913" s="30" t="s">
        <v>453</v>
      </c>
      <c r="D913" s="30" t="s">
        <v>244</v>
      </c>
      <c r="E913" s="35">
        <v>42859.0</v>
      </c>
      <c r="F913" s="37" t="s">
        <v>154</v>
      </c>
      <c r="G913" s="30" t="s">
        <v>4984</v>
      </c>
      <c r="H913" s="30" t="s">
        <v>145</v>
      </c>
      <c r="I913" s="30" t="s">
        <v>145</v>
      </c>
      <c r="J913" s="30" t="s">
        <v>145</v>
      </c>
      <c r="K913" s="30" t="s">
        <v>145</v>
      </c>
      <c r="L913" s="30" t="s">
        <v>145</v>
      </c>
      <c r="M913" s="30" t="s">
        <v>145</v>
      </c>
      <c r="N913" s="30" t="s">
        <v>145</v>
      </c>
      <c r="O913" s="30" t="s">
        <v>145</v>
      </c>
      <c r="P913" s="30" t="s">
        <v>145</v>
      </c>
      <c r="Q913" s="30" t="s">
        <v>2544</v>
      </c>
    </row>
    <row r="914" hidden="1">
      <c r="A914" s="33" t="s">
        <v>4822</v>
      </c>
      <c r="B914" s="30" t="s">
        <v>139</v>
      </c>
      <c r="C914" s="30" t="s">
        <v>244</v>
      </c>
      <c r="D914" s="30" t="s">
        <v>244</v>
      </c>
      <c r="E914" s="35">
        <v>42859.0</v>
      </c>
      <c r="F914" s="37" t="s">
        <v>150</v>
      </c>
      <c r="G914" s="30" t="s">
        <v>5199</v>
      </c>
      <c r="H914" s="30" t="s">
        <v>145</v>
      </c>
      <c r="I914" s="30" t="s">
        <v>145</v>
      </c>
      <c r="J914" s="30" t="s">
        <v>145</v>
      </c>
      <c r="K914" s="30" t="s">
        <v>145</v>
      </c>
      <c r="L914" s="30" t="s">
        <v>145</v>
      </c>
      <c r="M914" s="30" t="s">
        <v>145</v>
      </c>
      <c r="N914" s="30" t="s">
        <v>145</v>
      </c>
      <c r="O914" s="30" t="s">
        <v>145</v>
      </c>
      <c r="P914" s="30" t="s">
        <v>145</v>
      </c>
      <c r="Q914" s="30" t="s">
        <v>2544</v>
      </c>
    </row>
    <row r="915" hidden="1">
      <c r="A915" s="33" t="str">
        <f>hyperlink("https://issues.sierrawireless.com/browse/OEMPRI-3299", "OEMPRI-3299")</f>
        <v>OEMPRI-3299</v>
      </c>
      <c r="B915" s="30" t="s">
        <v>139</v>
      </c>
      <c r="C915" s="30" t="s">
        <v>140</v>
      </c>
      <c r="D915" s="30" t="s">
        <v>177</v>
      </c>
      <c r="E915" s="35">
        <v>42859.0</v>
      </c>
      <c r="F915" s="37" t="s">
        <v>154</v>
      </c>
      <c r="G915" s="30" t="s">
        <v>185</v>
      </c>
      <c r="H915" s="30" t="s">
        <v>145</v>
      </c>
      <c r="I915" s="30" t="s">
        <v>145</v>
      </c>
      <c r="J915" s="30" t="s">
        <v>145</v>
      </c>
      <c r="K915" s="30" t="s">
        <v>145</v>
      </c>
      <c r="L915" s="30" t="s">
        <v>145</v>
      </c>
      <c r="M915" s="30" t="s">
        <v>145</v>
      </c>
      <c r="N915" s="30" t="s">
        <v>145</v>
      </c>
      <c r="O915" s="30" t="s">
        <v>145</v>
      </c>
      <c r="P915" s="30" t="s">
        <v>145</v>
      </c>
      <c r="Q915" s="30" t="s">
        <v>146</v>
      </c>
    </row>
    <row r="916" hidden="1">
      <c r="A916" s="33" t="str">
        <f>hyperlink("https://issues.sierrawireless.com/browse/OEMPRI-6922", "OEMPRI-6922")</f>
        <v>OEMPRI-6922</v>
      </c>
      <c r="B916" s="30" t="s">
        <v>139</v>
      </c>
      <c r="C916" s="30" t="s">
        <v>148</v>
      </c>
      <c r="D916" s="30" t="s">
        <v>170</v>
      </c>
      <c r="E916" s="35">
        <v>43216.0</v>
      </c>
      <c r="F916" s="37" t="s">
        <v>150</v>
      </c>
      <c r="G916" s="30" t="s">
        <v>1611</v>
      </c>
      <c r="H916" s="30" t="s">
        <v>145</v>
      </c>
      <c r="I916" s="30" t="s">
        <v>152</v>
      </c>
      <c r="J916" s="30" t="s">
        <v>4374</v>
      </c>
      <c r="K916" s="30" t="s">
        <v>1611</v>
      </c>
      <c r="L916" s="30" t="s">
        <v>152</v>
      </c>
      <c r="M916" s="30" t="s">
        <v>152</v>
      </c>
      <c r="N916" s="30" t="s">
        <v>145</v>
      </c>
      <c r="O916" s="30" t="s">
        <v>145</v>
      </c>
      <c r="P916" s="30" t="s">
        <v>145</v>
      </c>
      <c r="Q916" s="30" t="s">
        <v>197</v>
      </c>
    </row>
    <row r="917" hidden="1">
      <c r="A917" s="33" t="str">
        <f>hyperlink("https://issues.sierrawireless.com/browse/OEMPRI-3292", "OEMPRI-3292")</f>
        <v>OEMPRI-3292</v>
      </c>
      <c r="B917" s="30" t="s">
        <v>139</v>
      </c>
      <c r="C917" s="30" t="s">
        <v>140</v>
      </c>
      <c r="D917" s="30" t="s">
        <v>5220</v>
      </c>
      <c r="E917" s="35">
        <v>42858.0</v>
      </c>
      <c r="F917" s="37" t="s">
        <v>154</v>
      </c>
      <c r="G917" s="30" t="s">
        <v>144</v>
      </c>
      <c r="H917" s="30" t="s">
        <v>145</v>
      </c>
      <c r="I917" s="30" t="s">
        <v>145</v>
      </c>
      <c r="J917" s="30" t="s">
        <v>145</v>
      </c>
      <c r="K917" s="30" t="s">
        <v>145</v>
      </c>
      <c r="L917" s="30" t="s">
        <v>145</v>
      </c>
      <c r="M917" s="30" t="s">
        <v>145</v>
      </c>
      <c r="N917" s="30" t="s">
        <v>145</v>
      </c>
      <c r="O917" s="30" t="s">
        <v>145</v>
      </c>
      <c r="P917" s="30" t="s">
        <v>145</v>
      </c>
      <c r="Q917" s="30" t="s">
        <v>146</v>
      </c>
    </row>
    <row r="918" hidden="1">
      <c r="A918" s="33" t="str">
        <f>hyperlink("https://issues.sierrawireless.com/browse/OEMPRI-3259", "OEMPRI-3259")</f>
        <v>OEMPRI-3259</v>
      </c>
      <c r="B918" s="30" t="s">
        <v>139</v>
      </c>
      <c r="C918" s="30" t="s">
        <v>140</v>
      </c>
      <c r="D918" s="30" t="s">
        <v>5220</v>
      </c>
      <c r="E918" s="35">
        <v>42853.0</v>
      </c>
      <c r="F918" s="37" t="s">
        <v>154</v>
      </c>
      <c r="G918" s="30" t="s">
        <v>654</v>
      </c>
      <c r="H918" s="30" t="s">
        <v>145</v>
      </c>
      <c r="I918" s="30" t="s">
        <v>145</v>
      </c>
      <c r="J918" s="30" t="s">
        <v>145</v>
      </c>
      <c r="K918" s="30" t="s">
        <v>145</v>
      </c>
      <c r="L918" s="30" t="s">
        <v>145</v>
      </c>
      <c r="M918" s="30" t="s">
        <v>145</v>
      </c>
      <c r="N918" s="30" t="s">
        <v>145</v>
      </c>
      <c r="O918" s="30" t="s">
        <v>145</v>
      </c>
      <c r="P918" s="30" t="s">
        <v>145</v>
      </c>
      <c r="Q918" s="30" t="s">
        <v>146</v>
      </c>
    </row>
    <row r="919" hidden="1">
      <c r="A919" s="33" t="s">
        <v>4825</v>
      </c>
      <c r="B919" s="30" t="s">
        <v>139</v>
      </c>
      <c r="C919" s="30" t="s">
        <v>4827</v>
      </c>
      <c r="D919" s="30" t="s">
        <v>140</v>
      </c>
      <c r="E919" s="35">
        <v>42851.0</v>
      </c>
      <c r="F919" s="37" t="s">
        <v>154</v>
      </c>
      <c r="G919" s="30" t="s">
        <v>185</v>
      </c>
      <c r="H919" s="30" t="s">
        <v>145</v>
      </c>
      <c r="I919" s="30" t="s">
        <v>145</v>
      </c>
      <c r="J919" s="30" t="s">
        <v>145</v>
      </c>
      <c r="K919" s="30" t="s">
        <v>145</v>
      </c>
      <c r="L919" s="30" t="s">
        <v>145</v>
      </c>
      <c r="M919" s="30" t="s">
        <v>145</v>
      </c>
      <c r="N919" s="30" t="s">
        <v>145</v>
      </c>
      <c r="O919" s="30" t="s">
        <v>145</v>
      </c>
      <c r="P919" s="30" t="s">
        <v>145</v>
      </c>
      <c r="Q919" s="30" t="s">
        <v>146</v>
      </c>
    </row>
    <row r="920" hidden="1">
      <c r="A920" s="33" t="s">
        <v>4830</v>
      </c>
      <c r="B920" s="30" t="s">
        <v>139</v>
      </c>
      <c r="C920" s="30" t="s">
        <v>155</v>
      </c>
      <c r="D920" s="30" t="s">
        <v>140</v>
      </c>
      <c r="E920" s="35">
        <v>42851.0</v>
      </c>
      <c r="F920" s="37" t="s">
        <v>154</v>
      </c>
      <c r="G920" s="30" t="s">
        <v>159</v>
      </c>
      <c r="H920" s="30" t="s">
        <v>145</v>
      </c>
      <c r="I920" s="30" t="s">
        <v>145</v>
      </c>
      <c r="J920" s="30" t="s">
        <v>145</v>
      </c>
      <c r="K920" s="30" t="s">
        <v>145</v>
      </c>
      <c r="L920" s="30" t="s">
        <v>145</v>
      </c>
      <c r="M920" s="30" t="s">
        <v>145</v>
      </c>
      <c r="N920" s="30" t="s">
        <v>145</v>
      </c>
      <c r="O920" s="30" t="s">
        <v>145</v>
      </c>
      <c r="P920" s="30" t="s">
        <v>145</v>
      </c>
      <c r="Q920" s="30" t="s">
        <v>158</v>
      </c>
    </row>
    <row r="921" hidden="1">
      <c r="A921" s="33" t="s">
        <v>4834</v>
      </c>
      <c r="B921" s="30" t="s">
        <v>139</v>
      </c>
      <c r="C921" s="30" t="s">
        <v>4838</v>
      </c>
      <c r="D921" s="30" t="s">
        <v>140</v>
      </c>
      <c r="E921" s="35">
        <v>42850.0</v>
      </c>
      <c r="F921" s="37" t="s">
        <v>154</v>
      </c>
      <c r="G921" s="30" t="s">
        <v>438</v>
      </c>
      <c r="H921" s="30" t="s">
        <v>145</v>
      </c>
      <c r="I921" s="30" t="s">
        <v>145</v>
      </c>
      <c r="J921" s="30" t="s">
        <v>145</v>
      </c>
      <c r="K921" s="30" t="s">
        <v>145</v>
      </c>
      <c r="L921" s="30" t="s">
        <v>145</v>
      </c>
      <c r="M921" s="30" t="s">
        <v>145</v>
      </c>
      <c r="N921" s="30" t="s">
        <v>145</v>
      </c>
      <c r="O921" s="30" t="s">
        <v>145</v>
      </c>
      <c r="P921" s="30" t="s">
        <v>145</v>
      </c>
      <c r="Q921" s="30" t="s">
        <v>146</v>
      </c>
    </row>
    <row r="922" hidden="1">
      <c r="A922" s="33" t="s">
        <v>4839</v>
      </c>
      <c r="B922" s="30" t="s">
        <v>139</v>
      </c>
      <c r="C922" s="30" t="s">
        <v>337</v>
      </c>
      <c r="D922" s="30" t="s">
        <v>140</v>
      </c>
      <c r="E922" s="35">
        <v>42850.0</v>
      </c>
      <c r="F922" s="37" t="s">
        <v>154</v>
      </c>
      <c r="G922" s="30" t="s">
        <v>438</v>
      </c>
      <c r="H922" s="30" t="s">
        <v>145</v>
      </c>
      <c r="I922" s="30" t="s">
        <v>145</v>
      </c>
      <c r="J922" s="30" t="s">
        <v>145</v>
      </c>
      <c r="K922" s="30" t="s">
        <v>145</v>
      </c>
      <c r="L922" s="30" t="s">
        <v>145</v>
      </c>
      <c r="M922" s="30" t="s">
        <v>145</v>
      </c>
      <c r="N922" s="30" t="s">
        <v>145</v>
      </c>
      <c r="O922" s="30" t="s">
        <v>145</v>
      </c>
      <c r="P922" s="30" t="s">
        <v>145</v>
      </c>
      <c r="Q922" s="30" t="s">
        <v>146</v>
      </c>
    </row>
    <row r="923" hidden="1">
      <c r="A923" s="33" t="s">
        <v>4842</v>
      </c>
      <c r="B923" s="30" t="s">
        <v>139</v>
      </c>
      <c r="C923" s="30" t="s">
        <v>453</v>
      </c>
      <c r="D923" s="30" t="s">
        <v>4728</v>
      </c>
      <c r="E923" s="35">
        <v>42850.0</v>
      </c>
      <c r="F923" s="37" t="s">
        <v>452</v>
      </c>
      <c r="G923" s="30" t="s">
        <v>2991</v>
      </c>
      <c r="H923" s="30" t="s">
        <v>146</v>
      </c>
      <c r="I923" s="30" t="s">
        <v>5254</v>
      </c>
      <c r="J923" s="162" t="s">
        <v>145</v>
      </c>
      <c r="K923" s="162" t="s">
        <v>145</v>
      </c>
      <c r="L923" s="162" t="s">
        <v>145</v>
      </c>
      <c r="M923" s="162" t="s">
        <v>145</v>
      </c>
      <c r="N923" s="162" t="s">
        <v>145</v>
      </c>
      <c r="O923" s="162" t="s">
        <v>145</v>
      </c>
      <c r="P923" s="30" t="s">
        <v>145</v>
      </c>
      <c r="Q923" s="30" t="s">
        <v>457</v>
      </c>
    </row>
    <row r="924" hidden="1">
      <c r="A924" s="33" t="s">
        <v>4846</v>
      </c>
      <c r="B924" s="30" t="s">
        <v>139</v>
      </c>
      <c r="C924" s="30" t="s">
        <v>609</v>
      </c>
      <c r="D924" s="30" t="s">
        <v>609</v>
      </c>
      <c r="E924" s="35">
        <v>42850.0</v>
      </c>
      <c r="F924" s="37" t="s">
        <v>150</v>
      </c>
      <c r="G924" s="30" t="s">
        <v>5259</v>
      </c>
      <c r="H924" s="162" t="s">
        <v>145</v>
      </c>
      <c r="I924" s="30" t="s">
        <v>5261</v>
      </c>
      <c r="J924" s="30" t="s">
        <v>5261</v>
      </c>
      <c r="K924" s="30" t="s">
        <v>5264</v>
      </c>
      <c r="L924" s="30" t="s">
        <v>3019</v>
      </c>
      <c r="M924" s="30" t="s">
        <v>540</v>
      </c>
      <c r="N924" s="30" t="s">
        <v>145</v>
      </c>
      <c r="O924" s="30" t="s">
        <v>145</v>
      </c>
      <c r="P924" s="30" t="s">
        <v>145</v>
      </c>
      <c r="Q924" s="30" t="s">
        <v>1898</v>
      </c>
    </row>
    <row r="925" hidden="1">
      <c r="A925" s="33" t="str">
        <f>hyperlink("https://issues.sierrawireless.com/browse/OEMPRI-3203", "OEMPRI-3203")</f>
        <v>OEMPRI-3203</v>
      </c>
      <c r="B925" s="30" t="s">
        <v>139</v>
      </c>
      <c r="C925" s="30" t="s">
        <v>140</v>
      </c>
      <c r="D925" s="30" t="s">
        <v>5220</v>
      </c>
      <c r="E925" s="35">
        <v>42850.0</v>
      </c>
      <c r="F925" s="37" t="s">
        <v>154</v>
      </c>
      <c r="G925" s="30" t="s">
        <v>146</v>
      </c>
      <c r="H925" s="30" t="s">
        <v>145</v>
      </c>
      <c r="I925" s="30" t="s">
        <v>145</v>
      </c>
      <c r="J925" s="30" t="s">
        <v>145</v>
      </c>
      <c r="K925" s="30" t="s">
        <v>145</v>
      </c>
      <c r="L925" s="30" t="s">
        <v>145</v>
      </c>
      <c r="M925" s="30" t="s">
        <v>145</v>
      </c>
      <c r="N925" s="30" t="s">
        <v>145</v>
      </c>
      <c r="O925" s="30" t="s">
        <v>145</v>
      </c>
      <c r="P925" s="30" t="s">
        <v>145</v>
      </c>
      <c r="Q925" s="30" t="s">
        <v>146</v>
      </c>
    </row>
    <row r="926" hidden="1">
      <c r="A926" s="33" t="str">
        <f>hyperlink("https://issues.sierrawireless.com/browse/OEMPRI-3206", "OEMPRI-3206")</f>
        <v>OEMPRI-3206</v>
      </c>
      <c r="B926" s="30" t="s">
        <v>139</v>
      </c>
      <c r="C926" s="30" t="s">
        <v>140</v>
      </c>
      <c r="D926" s="30" t="s">
        <v>5220</v>
      </c>
      <c r="E926" s="35">
        <v>42850.0</v>
      </c>
      <c r="F926" s="37" t="s">
        <v>154</v>
      </c>
      <c r="G926" s="30" t="s">
        <v>146</v>
      </c>
      <c r="H926" s="30" t="s">
        <v>145</v>
      </c>
      <c r="I926" s="30" t="s">
        <v>145</v>
      </c>
      <c r="J926" s="30" t="s">
        <v>145</v>
      </c>
      <c r="K926" s="30" t="s">
        <v>145</v>
      </c>
      <c r="L926" s="30" t="s">
        <v>145</v>
      </c>
      <c r="M926" s="30" t="s">
        <v>145</v>
      </c>
      <c r="N926" s="30" t="s">
        <v>145</v>
      </c>
      <c r="O926" s="30" t="s">
        <v>145</v>
      </c>
      <c r="P926" s="30" t="s">
        <v>145</v>
      </c>
      <c r="Q926" s="30" t="s">
        <v>146</v>
      </c>
    </row>
    <row r="927" hidden="1">
      <c r="A927" s="33" t="s">
        <v>4850</v>
      </c>
      <c r="B927" s="30" t="s">
        <v>139</v>
      </c>
      <c r="C927" s="30" t="s">
        <v>155</v>
      </c>
      <c r="D927" s="30" t="s">
        <v>140</v>
      </c>
      <c r="E927" s="35">
        <v>42849.0</v>
      </c>
      <c r="F927" s="37" t="s">
        <v>154</v>
      </c>
      <c r="G927" s="30" t="s">
        <v>146</v>
      </c>
      <c r="H927" s="30" t="s">
        <v>145</v>
      </c>
      <c r="I927" s="30" t="s">
        <v>145</v>
      </c>
      <c r="J927" s="30" t="s">
        <v>145</v>
      </c>
      <c r="K927" s="30" t="s">
        <v>145</v>
      </c>
      <c r="L927" s="30" t="s">
        <v>145</v>
      </c>
      <c r="M927" s="30" t="s">
        <v>145</v>
      </c>
      <c r="N927" s="30" t="s">
        <v>145</v>
      </c>
      <c r="O927" s="30" t="s">
        <v>145</v>
      </c>
      <c r="P927" s="30" t="s">
        <v>145</v>
      </c>
      <c r="Q927" s="30" t="s">
        <v>146</v>
      </c>
    </row>
    <row r="928" hidden="1">
      <c r="A928" s="33" t="s">
        <v>4854</v>
      </c>
      <c r="B928" s="30" t="s">
        <v>139</v>
      </c>
      <c r="C928" s="30" t="s">
        <v>155</v>
      </c>
      <c r="D928" s="30" t="s">
        <v>140</v>
      </c>
      <c r="E928" s="35">
        <v>42849.0</v>
      </c>
      <c r="F928" s="37" t="s">
        <v>154</v>
      </c>
      <c r="G928" s="30" t="s">
        <v>2578</v>
      </c>
      <c r="H928" s="30" t="s">
        <v>145</v>
      </c>
      <c r="I928" s="30" t="s">
        <v>145</v>
      </c>
      <c r="J928" s="30" t="s">
        <v>145</v>
      </c>
      <c r="K928" s="30" t="s">
        <v>145</v>
      </c>
      <c r="L928" s="30" t="s">
        <v>145</v>
      </c>
      <c r="M928" s="30" t="s">
        <v>145</v>
      </c>
      <c r="N928" s="30" t="s">
        <v>145</v>
      </c>
      <c r="O928" s="30" t="s">
        <v>145</v>
      </c>
      <c r="P928" s="30" t="s">
        <v>145</v>
      </c>
      <c r="Q928" s="30" t="s">
        <v>158</v>
      </c>
    </row>
    <row r="929" hidden="1">
      <c r="A929" s="33" t="s">
        <v>4858</v>
      </c>
      <c r="B929" s="30" t="s">
        <v>139</v>
      </c>
      <c r="C929" s="30" t="s">
        <v>337</v>
      </c>
      <c r="D929" s="30" t="s">
        <v>140</v>
      </c>
      <c r="E929" s="35">
        <v>42849.0</v>
      </c>
      <c r="F929" s="37" t="s">
        <v>154</v>
      </c>
      <c r="G929" s="30" t="s">
        <v>146</v>
      </c>
      <c r="H929" s="30" t="s">
        <v>145</v>
      </c>
      <c r="I929" s="30" t="s">
        <v>145</v>
      </c>
      <c r="J929" s="30" t="s">
        <v>145</v>
      </c>
      <c r="K929" s="30" t="s">
        <v>145</v>
      </c>
      <c r="L929" s="30" t="s">
        <v>145</v>
      </c>
      <c r="M929" s="30" t="s">
        <v>145</v>
      </c>
      <c r="N929" s="30" t="s">
        <v>145</v>
      </c>
      <c r="O929" s="30" t="s">
        <v>145</v>
      </c>
      <c r="P929" s="30" t="s">
        <v>145</v>
      </c>
      <c r="Q929" s="30" t="s">
        <v>146</v>
      </c>
    </row>
    <row r="930" hidden="1">
      <c r="A930" s="33" t="s">
        <v>4860</v>
      </c>
      <c r="B930" s="30" t="s">
        <v>139</v>
      </c>
      <c r="C930" s="30" t="s">
        <v>140</v>
      </c>
      <c r="D930" s="30" t="s">
        <v>216</v>
      </c>
      <c r="E930" s="35">
        <v>42846.0</v>
      </c>
      <c r="F930" s="37" t="s">
        <v>184</v>
      </c>
      <c r="G930" s="30" t="s">
        <v>1203</v>
      </c>
      <c r="H930" s="30" t="s">
        <v>146</v>
      </c>
      <c r="I930" s="30" t="s">
        <v>5299</v>
      </c>
      <c r="J930" s="30" t="s">
        <v>4762</v>
      </c>
      <c r="K930" s="30" t="s">
        <v>1831</v>
      </c>
      <c r="L930" s="2" t="s">
        <v>1322</v>
      </c>
      <c r="M930" s="30" t="s">
        <v>145</v>
      </c>
      <c r="N930" s="30" t="s">
        <v>145</v>
      </c>
      <c r="O930" s="30" t="s">
        <v>145</v>
      </c>
      <c r="P930" s="30" t="s">
        <v>145</v>
      </c>
      <c r="Q930" s="30" t="s">
        <v>146</v>
      </c>
    </row>
    <row r="931" hidden="1">
      <c r="A931" s="33" t="s">
        <v>4864</v>
      </c>
      <c r="B931" s="30" t="s">
        <v>139</v>
      </c>
      <c r="C931" s="30" t="s">
        <v>155</v>
      </c>
      <c r="D931" s="30" t="s">
        <v>155</v>
      </c>
      <c r="E931" s="35">
        <v>42845.0</v>
      </c>
      <c r="F931" s="37" t="s">
        <v>150</v>
      </c>
      <c r="G931" s="30" t="s">
        <v>140</v>
      </c>
      <c r="H931" s="30" t="s">
        <v>5307</v>
      </c>
      <c r="I931" s="30" t="s">
        <v>503</v>
      </c>
      <c r="J931" s="30" t="s">
        <v>146</v>
      </c>
      <c r="K931" s="30" t="s">
        <v>146</v>
      </c>
      <c r="L931" s="30" t="s">
        <v>146</v>
      </c>
      <c r="M931" s="30" t="s">
        <v>2329</v>
      </c>
      <c r="N931" s="30" t="s">
        <v>145</v>
      </c>
      <c r="O931" s="30" t="s">
        <v>145</v>
      </c>
      <c r="P931" s="30" t="s">
        <v>145</v>
      </c>
      <c r="Q931" s="30" t="s">
        <v>158</v>
      </c>
    </row>
    <row r="932" hidden="1">
      <c r="A932" s="33" t="s">
        <v>4868</v>
      </c>
      <c r="B932" s="30" t="s">
        <v>139</v>
      </c>
      <c r="C932" s="30" t="s">
        <v>609</v>
      </c>
      <c r="D932" s="30" t="s">
        <v>609</v>
      </c>
      <c r="E932" s="35">
        <v>42843.0</v>
      </c>
      <c r="F932" s="37" t="s">
        <v>150</v>
      </c>
      <c r="G932" s="30" t="s">
        <v>5313</v>
      </c>
      <c r="H932" s="30" t="s">
        <v>5314</v>
      </c>
      <c r="I932" s="30" t="s">
        <v>503</v>
      </c>
      <c r="J932" s="30" t="s">
        <v>5314</v>
      </c>
      <c r="K932" s="30" t="s">
        <v>5318</v>
      </c>
      <c r="L932" s="30" t="s">
        <v>1348</v>
      </c>
      <c r="M932" s="30" t="s">
        <v>1036</v>
      </c>
      <c r="N932" s="30" t="s">
        <v>145</v>
      </c>
      <c r="O932" s="30" t="s">
        <v>145</v>
      </c>
      <c r="P932" s="30" t="s">
        <v>145</v>
      </c>
      <c r="Q932" s="30" t="s">
        <v>1898</v>
      </c>
    </row>
    <row r="933" hidden="1">
      <c r="A933" s="33" t="s">
        <v>4872</v>
      </c>
      <c r="B933" s="30" t="s">
        <v>139</v>
      </c>
      <c r="C933" s="30" t="s">
        <v>216</v>
      </c>
      <c r="D933" s="30" t="s">
        <v>216</v>
      </c>
      <c r="E933" s="35">
        <v>42842.0</v>
      </c>
      <c r="F933" s="37" t="s">
        <v>150</v>
      </c>
      <c r="G933" s="30" t="s">
        <v>140</v>
      </c>
      <c r="H933" s="30" t="s">
        <v>146</v>
      </c>
      <c r="I933" s="30" t="s">
        <v>264</v>
      </c>
      <c r="J933" s="30" t="s">
        <v>146</v>
      </c>
      <c r="K933" s="30" t="s">
        <v>5324</v>
      </c>
      <c r="L933" s="30" t="s">
        <v>3019</v>
      </c>
      <c r="M933" s="30" t="s">
        <v>540</v>
      </c>
      <c r="N933" s="30" t="s">
        <v>145</v>
      </c>
      <c r="O933" s="30" t="s">
        <v>145</v>
      </c>
      <c r="P933" s="30" t="s">
        <v>145</v>
      </c>
      <c r="Q933" s="30" t="s">
        <v>1898</v>
      </c>
    </row>
    <row r="934" hidden="1">
      <c r="A934" s="33" t="s">
        <v>4876</v>
      </c>
      <c r="B934" s="30" t="s">
        <v>139</v>
      </c>
      <c r="C934" s="30" t="s">
        <v>155</v>
      </c>
      <c r="D934" s="30" t="s">
        <v>155</v>
      </c>
      <c r="E934" s="35">
        <v>42839.0</v>
      </c>
      <c r="F934" s="37" t="s">
        <v>150</v>
      </c>
      <c r="G934" s="30" t="s">
        <v>155</v>
      </c>
      <c r="H934" s="30" t="s">
        <v>146</v>
      </c>
      <c r="I934" s="30" t="s">
        <v>163</v>
      </c>
      <c r="J934" s="30" t="s">
        <v>146</v>
      </c>
      <c r="K934" s="30" t="s">
        <v>3845</v>
      </c>
      <c r="L934" s="30" t="s">
        <v>158</v>
      </c>
      <c r="M934" s="30" t="s">
        <v>3670</v>
      </c>
      <c r="N934" s="30" t="s">
        <v>145</v>
      </c>
      <c r="O934" s="30" t="s">
        <v>145</v>
      </c>
      <c r="P934" s="30" t="s">
        <v>145</v>
      </c>
      <c r="Q934" s="30" t="s">
        <v>158</v>
      </c>
    </row>
    <row r="935" hidden="1">
      <c r="A935" s="33" t="s">
        <v>4877</v>
      </c>
      <c r="B935" s="30" t="s">
        <v>139</v>
      </c>
      <c r="C935" s="30" t="s">
        <v>155</v>
      </c>
      <c r="D935" s="30" t="s">
        <v>155</v>
      </c>
      <c r="E935" s="35">
        <v>42839.0</v>
      </c>
      <c r="F935" s="37" t="s">
        <v>150</v>
      </c>
      <c r="G935" s="30" t="s">
        <v>5335</v>
      </c>
      <c r="H935" s="30" t="s">
        <v>4738</v>
      </c>
      <c r="I935" s="30" t="s">
        <v>4738</v>
      </c>
      <c r="J935" s="30" t="s">
        <v>5307</v>
      </c>
      <c r="K935" s="30" t="s">
        <v>159</v>
      </c>
      <c r="L935" s="30" t="s">
        <v>158</v>
      </c>
      <c r="M935" s="30" t="s">
        <v>4762</v>
      </c>
      <c r="N935" s="30" t="s">
        <v>145</v>
      </c>
      <c r="O935" s="30" t="s">
        <v>145</v>
      </c>
      <c r="P935" s="30" t="s">
        <v>145</v>
      </c>
      <c r="Q935" s="30" t="s">
        <v>158</v>
      </c>
    </row>
    <row r="936" hidden="1">
      <c r="A936" s="33" t="s">
        <v>4881</v>
      </c>
      <c r="B936" s="30" t="s">
        <v>139</v>
      </c>
      <c r="C936" s="30" t="s">
        <v>155</v>
      </c>
      <c r="D936" s="30" t="s">
        <v>155</v>
      </c>
      <c r="E936" s="35">
        <v>42839.0</v>
      </c>
      <c r="F936" s="37" t="s">
        <v>150</v>
      </c>
      <c r="G936" s="30" t="s">
        <v>503</v>
      </c>
      <c r="H936" s="30" t="s">
        <v>146</v>
      </c>
      <c r="I936" s="30" t="s">
        <v>163</v>
      </c>
      <c r="J936" s="30" t="s">
        <v>163</v>
      </c>
      <c r="K936" s="30" t="s">
        <v>375</v>
      </c>
      <c r="L936" s="30" t="s">
        <v>158</v>
      </c>
      <c r="M936" s="30" t="s">
        <v>5343</v>
      </c>
      <c r="N936" s="30" t="s">
        <v>145</v>
      </c>
      <c r="O936" s="30" t="s">
        <v>145</v>
      </c>
      <c r="P936" s="30" t="s">
        <v>145</v>
      </c>
      <c r="Q936" s="30" t="s">
        <v>158</v>
      </c>
    </row>
    <row r="937" hidden="1">
      <c r="A937" s="33" t="s">
        <v>4886</v>
      </c>
      <c r="B937" s="30" t="s">
        <v>139</v>
      </c>
      <c r="C937" s="30" t="s">
        <v>609</v>
      </c>
      <c r="D937" s="30" t="s">
        <v>609</v>
      </c>
      <c r="E937" s="35">
        <v>42839.0</v>
      </c>
      <c r="F937" s="37" t="s">
        <v>150</v>
      </c>
      <c r="G937" s="30" t="s">
        <v>140</v>
      </c>
      <c r="H937" s="30" t="s">
        <v>4738</v>
      </c>
      <c r="I937" s="30" t="s">
        <v>171</v>
      </c>
      <c r="J937" s="30" t="s">
        <v>146</v>
      </c>
      <c r="K937" s="30" t="s">
        <v>5350</v>
      </c>
      <c r="L937" s="30" t="s">
        <v>5351</v>
      </c>
      <c r="M937" s="30" t="s">
        <v>1036</v>
      </c>
      <c r="N937" s="30" t="s">
        <v>145</v>
      </c>
      <c r="O937" s="30" t="s">
        <v>145</v>
      </c>
      <c r="P937" s="30" t="s">
        <v>145</v>
      </c>
      <c r="Q937" s="30" t="s">
        <v>1898</v>
      </c>
    </row>
    <row r="938" hidden="1">
      <c r="A938" s="33" t="str">
        <f>hyperlink("https://issues.sierrawireless.com/browse/OEMPRI-3075", "OEMPRI-3075")</f>
        <v>OEMPRI-3075</v>
      </c>
      <c r="B938" s="30" t="s">
        <v>139</v>
      </c>
      <c r="C938" s="30" t="s">
        <v>140</v>
      </c>
      <c r="D938" s="30" t="s">
        <v>140</v>
      </c>
      <c r="E938" s="35">
        <v>42836.0</v>
      </c>
      <c r="F938" s="37" t="s">
        <v>154</v>
      </c>
      <c r="G938" s="30" t="s">
        <v>146</v>
      </c>
      <c r="H938" s="30" t="s">
        <v>145</v>
      </c>
      <c r="I938" s="30" t="s">
        <v>145</v>
      </c>
      <c r="J938" s="30" t="s">
        <v>145</v>
      </c>
      <c r="K938" s="30" t="s">
        <v>145</v>
      </c>
      <c r="L938" s="30" t="s">
        <v>145</v>
      </c>
      <c r="M938" s="30" t="s">
        <v>145</v>
      </c>
      <c r="N938" s="30" t="s">
        <v>145</v>
      </c>
      <c r="O938" s="30" t="s">
        <v>145</v>
      </c>
      <c r="P938" s="30" t="s">
        <v>145</v>
      </c>
      <c r="Q938" s="30" t="s">
        <v>146</v>
      </c>
    </row>
    <row r="939" hidden="1">
      <c r="A939" s="33" t="s">
        <v>4890</v>
      </c>
      <c r="B939" s="30" t="s">
        <v>139</v>
      </c>
      <c r="C939" s="30" t="s">
        <v>453</v>
      </c>
      <c r="D939" s="30" t="s">
        <v>177</v>
      </c>
      <c r="E939" s="35">
        <v>42835.0</v>
      </c>
      <c r="F939" s="37" t="s">
        <v>154</v>
      </c>
      <c r="G939" s="30" t="s">
        <v>1471</v>
      </c>
      <c r="H939" s="30" t="s">
        <v>145</v>
      </c>
      <c r="I939" s="30" t="s">
        <v>145</v>
      </c>
      <c r="J939" s="30" t="s">
        <v>145</v>
      </c>
      <c r="K939" s="30" t="s">
        <v>145</v>
      </c>
      <c r="L939" s="30" t="s">
        <v>145</v>
      </c>
      <c r="M939" s="30" t="s">
        <v>145</v>
      </c>
      <c r="N939" s="30" t="s">
        <v>145</v>
      </c>
      <c r="O939" s="30" t="s">
        <v>145</v>
      </c>
      <c r="P939" s="30" t="s">
        <v>145</v>
      </c>
      <c r="Q939" s="30" t="s">
        <v>1471</v>
      </c>
    </row>
    <row r="940" hidden="1">
      <c r="A940" s="33" t="s">
        <v>4893</v>
      </c>
      <c r="B940" s="30" t="s">
        <v>139</v>
      </c>
      <c r="C940" s="30" t="s">
        <v>453</v>
      </c>
      <c r="D940" s="30" t="s">
        <v>177</v>
      </c>
      <c r="E940" s="35">
        <v>42835.0</v>
      </c>
      <c r="F940" s="37" t="s">
        <v>154</v>
      </c>
      <c r="G940" s="30" t="s">
        <v>1471</v>
      </c>
      <c r="H940" s="30" t="s">
        <v>145</v>
      </c>
      <c r="I940" s="30" t="s">
        <v>145</v>
      </c>
      <c r="J940" s="30" t="s">
        <v>145</v>
      </c>
      <c r="K940" s="30" t="s">
        <v>145</v>
      </c>
      <c r="L940" s="30" t="s">
        <v>145</v>
      </c>
      <c r="M940" s="30" t="s">
        <v>145</v>
      </c>
      <c r="N940" s="30" t="s">
        <v>145</v>
      </c>
      <c r="O940" s="30" t="s">
        <v>145</v>
      </c>
      <c r="P940" s="30" t="s">
        <v>145</v>
      </c>
      <c r="Q940" s="30" t="s">
        <v>1471</v>
      </c>
    </row>
    <row r="941" hidden="1">
      <c r="A941" s="33" t="s">
        <v>4896</v>
      </c>
      <c r="B941" s="30" t="s">
        <v>139</v>
      </c>
      <c r="C941" s="30" t="s">
        <v>453</v>
      </c>
      <c r="D941" s="30" t="s">
        <v>140</v>
      </c>
      <c r="E941" s="35">
        <v>42835.0</v>
      </c>
      <c r="F941" s="37" t="s">
        <v>154</v>
      </c>
      <c r="G941" s="30" t="s">
        <v>146</v>
      </c>
      <c r="H941" s="30" t="s">
        <v>145</v>
      </c>
      <c r="I941" s="30" t="s">
        <v>145</v>
      </c>
      <c r="J941" s="30" t="s">
        <v>145</v>
      </c>
      <c r="K941" s="30" t="s">
        <v>145</v>
      </c>
      <c r="L941" s="30" t="s">
        <v>145</v>
      </c>
      <c r="M941" s="30" t="s">
        <v>145</v>
      </c>
      <c r="N941" s="30" t="s">
        <v>145</v>
      </c>
      <c r="O941" s="30" t="s">
        <v>145</v>
      </c>
      <c r="P941" s="30" t="s">
        <v>145</v>
      </c>
      <c r="Q941" s="30" t="s">
        <v>146</v>
      </c>
    </row>
    <row r="942" hidden="1">
      <c r="A942" s="33" t="s">
        <v>4900</v>
      </c>
      <c r="B942" s="30" t="s">
        <v>139</v>
      </c>
      <c r="C942" s="30" t="s">
        <v>453</v>
      </c>
      <c r="D942" s="30" t="s">
        <v>140</v>
      </c>
      <c r="E942" s="35">
        <v>42835.0</v>
      </c>
      <c r="F942" s="37" t="s">
        <v>154</v>
      </c>
      <c r="G942" s="30" t="s">
        <v>146</v>
      </c>
      <c r="H942" s="30" t="s">
        <v>145</v>
      </c>
      <c r="I942" s="30" t="s">
        <v>145</v>
      </c>
      <c r="J942" s="30" t="s">
        <v>145</v>
      </c>
      <c r="K942" s="30" t="s">
        <v>145</v>
      </c>
      <c r="L942" s="30" t="s">
        <v>145</v>
      </c>
      <c r="M942" s="30" t="s">
        <v>145</v>
      </c>
      <c r="N942" s="30" t="s">
        <v>145</v>
      </c>
      <c r="O942" s="30" t="s">
        <v>145</v>
      </c>
      <c r="P942" s="30" t="s">
        <v>145</v>
      </c>
      <c r="Q942" s="30" t="s">
        <v>146</v>
      </c>
    </row>
    <row r="943" hidden="1">
      <c r="A943" s="33" t="str">
        <f>hyperlink("https://issues.sierrawireless.com/browse/EEL-202", "EEL-202")</f>
        <v>EEL-202</v>
      </c>
      <c r="B943" s="30" t="s">
        <v>252</v>
      </c>
      <c r="C943" s="30" t="s">
        <v>140</v>
      </c>
      <c r="D943" s="30" t="s">
        <v>5388</v>
      </c>
      <c r="E943" s="35">
        <v>43074.0</v>
      </c>
      <c r="F943" s="37" t="s">
        <v>162</v>
      </c>
      <c r="G943" s="2" t="s">
        <v>5390</v>
      </c>
      <c r="H943" s="30" t="s">
        <v>145</v>
      </c>
      <c r="I943" s="30" t="s">
        <v>145</v>
      </c>
      <c r="J943" s="30" t="s">
        <v>145</v>
      </c>
      <c r="K943" s="30" t="s">
        <v>145</v>
      </c>
      <c r="L943" s="30" t="s">
        <v>145</v>
      </c>
      <c r="M943" s="30" t="s">
        <v>145</v>
      </c>
      <c r="N943" s="30" t="s">
        <v>145</v>
      </c>
      <c r="O943" s="30" t="s">
        <v>145</v>
      </c>
      <c r="P943" s="30" t="s">
        <v>145</v>
      </c>
      <c r="Q943" s="30" t="s">
        <v>166</v>
      </c>
    </row>
    <row r="944" hidden="1">
      <c r="A944" s="33" t="s">
        <v>4904</v>
      </c>
      <c r="B944" s="30" t="s">
        <v>139</v>
      </c>
      <c r="C944" s="30" t="s">
        <v>177</v>
      </c>
      <c r="D944" s="30" t="s">
        <v>177</v>
      </c>
      <c r="E944" s="35">
        <v>42835.0</v>
      </c>
      <c r="F944" s="37" t="s">
        <v>150</v>
      </c>
      <c r="G944" s="30" t="s">
        <v>5395</v>
      </c>
      <c r="H944" s="30" t="s">
        <v>1471</v>
      </c>
      <c r="I944" s="30" t="s">
        <v>1536</v>
      </c>
      <c r="J944" s="30" t="s">
        <v>163</v>
      </c>
      <c r="K944" s="30" t="s">
        <v>2419</v>
      </c>
      <c r="L944" s="30" t="s">
        <v>550</v>
      </c>
      <c r="M944" s="30" t="s">
        <v>1000</v>
      </c>
      <c r="N944" s="30" t="s">
        <v>145</v>
      </c>
      <c r="O944" s="30" t="s">
        <v>145</v>
      </c>
      <c r="P944" s="30" t="s">
        <v>145</v>
      </c>
      <c r="Q944" s="30" t="s">
        <v>1898</v>
      </c>
    </row>
    <row r="945" hidden="1">
      <c r="A945" s="33" t="s">
        <v>4909</v>
      </c>
      <c r="B945" s="30" t="s">
        <v>139</v>
      </c>
      <c r="C945" s="30" t="s">
        <v>177</v>
      </c>
      <c r="D945" s="30" t="s">
        <v>177</v>
      </c>
      <c r="E945" s="35">
        <v>42835.0</v>
      </c>
      <c r="F945" s="37" t="s">
        <v>150</v>
      </c>
      <c r="G945" s="30" t="s">
        <v>3180</v>
      </c>
      <c r="H945" s="30" t="s">
        <v>1471</v>
      </c>
      <c r="I945" s="30" t="s">
        <v>521</v>
      </c>
      <c r="J945" s="30" t="s">
        <v>163</v>
      </c>
      <c r="K945" s="30" t="s">
        <v>5402</v>
      </c>
      <c r="L945" s="30" t="s">
        <v>849</v>
      </c>
      <c r="M945" s="30" t="s">
        <v>432</v>
      </c>
      <c r="N945" s="30" t="s">
        <v>145</v>
      </c>
      <c r="O945" s="30" t="s">
        <v>145</v>
      </c>
      <c r="P945" s="30" t="s">
        <v>145</v>
      </c>
      <c r="Q945" s="30" t="s">
        <v>1898</v>
      </c>
    </row>
    <row r="946" hidden="1">
      <c r="A946" s="33" t="s">
        <v>4913</v>
      </c>
      <c r="B946" s="30" t="s">
        <v>139</v>
      </c>
      <c r="C946" s="30" t="s">
        <v>453</v>
      </c>
      <c r="D946" s="30" t="s">
        <v>244</v>
      </c>
      <c r="E946" s="35">
        <v>42831.0</v>
      </c>
      <c r="F946" s="37" t="s">
        <v>154</v>
      </c>
      <c r="G946" s="30" t="s">
        <v>1749</v>
      </c>
      <c r="H946" s="30" t="s">
        <v>145</v>
      </c>
      <c r="I946" s="30" t="s">
        <v>145</v>
      </c>
      <c r="J946" s="30" t="s">
        <v>145</v>
      </c>
      <c r="K946" s="30" t="s">
        <v>145</v>
      </c>
      <c r="L946" s="30" t="s">
        <v>145</v>
      </c>
      <c r="M946" s="30" t="s">
        <v>145</v>
      </c>
      <c r="N946" s="30" t="s">
        <v>145</v>
      </c>
      <c r="O946" s="30" t="s">
        <v>145</v>
      </c>
      <c r="P946" s="30" t="s">
        <v>145</v>
      </c>
      <c r="Q946" s="30" t="s">
        <v>2544</v>
      </c>
    </row>
    <row r="947" hidden="1">
      <c r="A947" s="33" t="s">
        <v>4916</v>
      </c>
      <c r="B947" s="30" t="s">
        <v>139</v>
      </c>
      <c r="C947" s="30" t="s">
        <v>141</v>
      </c>
      <c r="D947" s="30" t="s">
        <v>244</v>
      </c>
      <c r="E947" s="35">
        <v>42831.0</v>
      </c>
      <c r="F947" s="37" t="s">
        <v>154</v>
      </c>
      <c r="G947" s="30" t="s">
        <v>1749</v>
      </c>
      <c r="H947" s="30" t="s">
        <v>145</v>
      </c>
      <c r="I947" s="30" t="s">
        <v>145</v>
      </c>
      <c r="J947" s="30" t="s">
        <v>145</v>
      </c>
      <c r="K947" s="30" t="s">
        <v>145</v>
      </c>
      <c r="L947" s="30" t="s">
        <v>145</v>
      </c>
      <c r="M947" s="30" t="s">
        <v>145</v>
      </c>
      <c r="N947" s="30" t="s">
        <v>145</v>
      </c>
      <c r="O947" s="30" t="s">
        <v>145</v>
      </c>
      <c r="P947" s="30" t="s">
        <v>145</v>
      </c>
      <c r="Q947" s="30" t="s">
        <v>5412</v>
      </c>
    </row>
    <row r="948" hidden="1">
      <c r="A948" s="33" t="s">
        <v>4919</v>
      </c>
      <c r="B948" s="30" t="s">
        <v>139</v>
      </c>
      <c r="C948" s="30" t="s">
        <v>453</v>
      </c>
      <c r="D948" s="30" t="s">
        <v>244</v>
      </c>
      <c r="E948" s="35">
        <v>42831.0</v>
      </c>
      <c r="F948" s="37" t="s">
        <v>154</v>
      </c>
      <c r="G948" s="30" t="s">
        <v>1749</v>
      </c>
      <c r="H948" s="30" t="s">
        <v>145</v>
      </c>
      <c r="I948" s="30" t="s">
        <v>145</v>
      </c>
      <c r="J948" s="30" t="s">
        <v>145</v>
      </c>
      <c r="K948" s="30" t="s">
        <v>145</v>
      </c>
      <c r="L948" s="30" t="s">
        <v>145</v>
      </c>
      <c r="M948" s="30" t="s">
        <v>145</v>
      </c>
      <c r="N948" s="30" t="s">
        <v>145</v>
      </c>
      <c r="O948" s="30" t="s">
        <v>145</v>
      </c>
      <c r="P948" s="30" t="s">
        <v>145</v>
      </c>
      <c r="Q948" s="30" t="s">
        <v>2544</v>
      </c>
    </row>
    <row r="949" hidden="1">
      <c r="A949" s="33" t="s">
        <v>4922</v>
      </c>
      <c r="B949" s="30" t="s">
        <v>139</v>
      </c>
      <c r="C949" s="30" t="s">
        <v>141</v>
      </c>
      <c r="D949" s="30" t="s">
        <v>244</v>
      </c>
      <c r="E949" s="35">
        <v>42831.0</v>
      </c>
      <c r="F949" s="37" t="s">
        <v>154</v>
      </c>
      <c r="G949" s="30" t="s">
        <v>4984</v>
      </c>
      <c r="H949" s="30" t="s">
        <v>145</v>
      </c>
      <c r="I949" s="30" t="s">
        <v>145</v>
      </c>
      <c r="J949" s="30" t="s">
        <v>145</v>
      </c>
      <c r="K949" s="30" t="s">
        <v>145</v>
      </c>
      <c r="L949" s="30" t="s">
        <v>145</v>
      </c>
      <c r="M949" s="30" t="s">
        <v>145</v>
      </c>
      <c r="N949" s="30" t="s">
        <v>145</v>
      </c>
      <c r="O949" s="30" t="s">
        <v>145</v>
      </c>
      <c r="P949" s="30" t="s">
        <v>145</v>
      </c>
      <c r="Q949" s="30" t="s">
        <v>2544</v>
      </c>
    </row>
    <row r="950" hidden="1">
      <c r="A950" s="33" t="s">
        <v>4926</v>
      </c>
      <c r="B950" s="30" t="s">
        <v>139</v>
      </c>
      <c r="C950" s="30" t="s">
        <v>453</v>
      </c>
      <c r="D950" s="30" t="s">
        <v>244</v>
      </c>
      <c r="E950" s="35">
        <v>42831.0</v>
      </c>
      <c r="F950" s="37" t="s">
        <v>154</v>
      </c>
      <c r="G950" s="30" t="s">
        <v>1749</v>
      </c>
      <c r="H950" s="30" t="s">
        <v>145</v>
      </c>
      <c r="I950" s="30" t="s">
        <v>145</v>
      </c>
      <c r="J950" s="30" t="s">
        <v>145</v>
      </c>
      <c r="K950" s="30" t="s">
        <v>145</v>
      </c>
      <c r="L950" s="30" t="s">
        <v>145</v>
      </c>
      <c r="M950" s="30" t="s">
        <v>145</v>
      </c>
      <c r="N950" s="30" t="s">
        <v>145</v>
      </c>
      <c r="O950" s="30" t="s">
        <v>145</v>
      </c>
      <c r="P950" s="30" t="s">
        <v>145</v>
      </c>
      <c r="Q950" s="30" t="s">
        <v>2544</v>
      </c>
    </row>
    <row r="951" hidden="1">
      <c r="A951" s="33" t="s">
        <v>4930</v>
      </c>
      <c r="B951" s="30" t="s">
        <v>139</v>
      </c>
      <c r="C951" s="30" t="s">
        <v>141</v>
      </c>
      <c r="D951" s="30" t="s">
        <v>244</v>
      </c>
      <c r="E951" s="35">
        <v>42831.0</v>
      </c>
      <c r="F951" s="37" t="s">
        <v>154</v>
      </c>
      <c r="G951" s="30" t="s">
        <v>4984</v>
      </c>
      <c r="H951" s="30" t="s">
        <v>145</v>
      </c>
      <c r="I951" s="30" t="s">
        <v>145</v>
      </c>
      <c r="J951" s="30" t="s">
        <v>145</v>
      </c>
      <c r="K951" s="30" t="s">
        <v>145</v>
      </c>
      <c r="L951" s="30" t="s">
        <v>145</v>
      </c>
      <c r="M951" s="30" t="s">
        <v>145</v>
      </c>
      <c r="N951" s="30" t="s">
        <v>145</v>
      </c>
      <c r="O951" s="30" t="s">
        <v>145</v>
      </c>
      <c r="P951" s="30" t="s">
        <v>145</v>
      </c>
      <c r="Q951" s="30" t="s">
        <v>2544</v>
      </c>
    </row>
    <row r="952" hidden="1">
      <c r="A952" s="33" t="s">
        <v>4934</v>
      </c>
      <c r="B952" s="30" t="s">
        <v>139</v>
      </c>
      <c r="C952" s="30" t="s">
        <v>453</v>
      </c>
      <c r="D952" s="30" t="s">
        <v>244</v>
      </c>
      <c r="E952" s="35">
        <v>42831.0</v>
      </c>
      <c r="F952" s="37" t="s">
        <v>154</v>
      </c>
      <c r="G952" s="30" t="s">
        <v>2544</v>
      </c>
      <c r="H952" s="30" t="s">
        <v>145</v>
      </c>
      <c r="I952" s="30" t="s">
        <v>145</v>
      </c>
      <c r="J952" s="30" t="s">
        <v>145</v>
      </c>
      <c r="K952" s="30" t="s">
        <v>145</v>
      </c>
      <c r="L952" s="30" t="s">
        <v>145</v>
      </c>
      <c r="M952" s="30" t="s">
        <v>145</v>
      </c>
      <c r="N952" s="30" t="s">
        <v>145</v>
      </c>
      <c r="O952" s="30" t="s">
        <v>145</v>
      </c>
      <c r="P952" s="30" t="s">
        <v>145</v>
      </c>
      <c r="Q952" s="30" t="s">
        <v>2544</v>
      </c>
    </row>
    <row r="953" hidden="1">
      <c r="A953" s="33" t="s">
        <v>4937</v>
      </c>
      <c r="B953" s="30" t="s">
        <v>139</v>
      </c>
      <c r="C953" s="30" t="s">
        <v>453</v>
      </c>
      <c r="D953" s="30" t="s">
        <v>177</v>
      </c>
      <c r="E953" s="35">
        <v>42831.0</v>
      </c>
      <c r="F953" s="37" t="s">
        <v>154</v>
      </c>
      <c r="G953" s="30" t="s">
        <v>1471</v>
      </c>
      <c r="H953" s="30" t="s">
        <v>145</v>
      </c>
      <c r="I953" s="30" t="s">
        <v>145</v>
      </c>
      <c r="J953" s="30" t="s">
        <v>145</v>
      </c>
      <c r="K953" s="30" t="s">
        <v>145</v>
      </c>
      <c r="L953" s="30" t="s">
        <v>145</v>
      </c>
      <c r="M953" s="30" t="s">
        <v>145</v>
      </c>
      <c r="N953" s="30" t="s">
        <v>145</v>
      </c>
      <c r="O953" s="30" t="s">
        <v>145</v>
      </c>
      <c r="P953" s="30" t="s">
        <v>145</v>
      </c>
      <c r="Q953" s="30" t="s">
        <v>1471</v>
      </c>
    </row>
    <row r="954" hidden="1">
      <c r="A954" s="33" t="s">
        <v>4940</v>
      </c>
      <c r="B954" s="30" t="s">
        <v>139</v>
      </c>
      <c r="C954" s="30" t="s">
        <v>453</v>
      </c>
      <c r="D954" s="30" t="s">
        <v>177</v>
      </c>
      <c r="E954" s="35">
        <v>42831.0</v>
      </c>
      <c r="F954" s="37" t="s">
        <v>154</v>
      </c>
      <c r="G954" s="30" t="s">
        <v>1471</v>
      </c>
      <c r="H954" s="30" t="s">
        <v>145</v>
      </c>
      <c r="I954" s="30" t="s">
        <v>145</v>
      </c>
      <c r="J954" s="30" t="s">
        <v>145</v>
      </c>
      <c r="K954" s="30" t="s">
        <v>145</v>
      </c>
      <c r="L954" s="30" t="s">
        <v>145</v>
      </c>
      <c r="M954" s="30" t="s">
        <v>145</v>
      </c>
      <c r="N954" s="30" t="s">
        <v>145</v>
      </c>
      <c r="O954" s="30" t="s">
        <v>145</v>
      </c>
      <c r="P954" s="30" t="s">
        <v>145</v>
      </c>
      <c r="Q954" s="30" t="s">
        <v>1471</v>
      </c>
    </row>
    <row r="955" hidden="1">
      <c r="A955" s="33" t="s">
        <v>4942</v>
      </c>
      <c r="B955" s="30" t="s">
        <v>139</v>
      </c>
      <c r="C955" s="30" t="s">
        <v>337</v>
      </c>
      <c r="D955" s="30" t="s">
        <v>177</v>
      </c>
      <c r="E955" s="35">
        <v>42831.0</v>
      </c>
      <c r="F955" s="37" t="s">
        <v>154</v>
      </c>
      <c r="G955" s="30" t="s">
        <v>1471</v>
      </c>
      <c r="H955" s="30" t="s">
        <v>145</v>
      </c>
      <c r="I955" s="30" t="s">
        <v>145</v>
      </c>
      <c r="J955" s="30" t="s">
        <v>145</v>
      </c>
      <c r="K955" s="30" t="s">
        <v>145</v>
      </c>
      <c r="L955" s="30" t="s">
        <v>145</v>
      </c>
      <c r="M955" s="30" t="s">
        <v>145</v>
      </c>
      <c r="N955" s="30" t="s">
        <v>145</v>
      </c>
      <c r="O955" s="30" t="s">
        <v>145</v>
      </c>
      <c r="P955" s="30" t="s">
        <v>145</v>
      </c>
      <c r="Q955" s="30" t="s">
        <v>1471</v>
      </c>
    </row>
    <row r="956" hidden="1">
      <c r="A956" s="33" t="s">
        <v>4944</v>
      </c>
      <c r="B956" s="30" t="s">
        <v>139</v>
      </c>
      <c r="C956" s="30" t="s">
        <v>453</v>
      </c>
      <c r="D956" s="30" t="s">
        <v>177</v>
      </c>
      <c r="E956" s="35">
        <v>42831.0</v>
      </c>
      <c r="F956" s="37" t="s">
        <v>154</v>
      </c>
      <c r="G956" s="30" t="s">
        <v>1471</v>
      </c>
      <c r="H956" s="30" t="s">
        <v>145</v>
      </c>
      <c r="I956" s="30" t="s">
        <v>145</v>
      </c>
      <c r="J956" s="30" t="s">
        <v>145</v>
      </c>
      <c r="K956" s="30" t="s">
        <v>145</v>
      </c>
      <c r="L956" s="30" t="s">
        <v>145</v>
      </c>
      <c r="M956" s="30" t="s">
        <v>145</v>
      </c>
      <c r="N956" s="30" t="s">
        <v>145</v>
      </c>
      <c r="O956" s="30" t="s">
        <v>145</v>
      </c>
      <c r="P956" s="30" t="s">
        <v>145</v>
      </c>
      <c r="Q956" s="30" t="s">
        <v>1471</v>
      </c>
    </row>
    <row r="957" hidden="1">
      <c r="A957" s="33" t="s">
        <v>4948</v>
      </c>
      <c r="B957" s="30" t="s">
        <v>139</v>
      </c>
      <c r="C957" s="30" t="s">
        <v>170</v>
      </c>
      <c r="D957" s="30" t="s">
        <v>337</v>
      </c>
      <c r="E957" s="35">
        <v>42831.0</v>
      </c>
      <c r="F957" s="37" t="s">
        <v>150</v>
      </c>
      <c r="G957" s="30" t="s">
        <v>5061</v>
      </c>
      <c r="H957" s="30" t="s">
        <v>146</v>
      </c>
      <c r="I957" s="30" t="s">
        <v>5307</v>
      </c>
      <c r="J957" s="30" t="s">
        <v>4739</v>
      </c>
      <c r="K957" s="30" t="s">
        <v>4738</v>
      </c>
      <c r="L957" s="30" t="s">
        <v>4738</v>
      </c>
      <c r="M957" s="30" t="s">
        <v>5456</v>
      </c>
      <c r="N957" s="30" t="s">
        <v>145</v>
      </c>
      <c r="O957" s="30" t="s">
        <v>145</v>
      </c>
      <c r="P957" s="30" t="s">
        <v>145</v>
      </c>
      <c r="Q957" s="30" t="s">
        <v>743</v>
      </c>
    </row>
    <row r="958" hidden="1">
      <c r="A958" s="33" t="s">
        <v>4952</v>
      </c>
      <c r="B958" s="30" t="s">
        <v>139</v>
      </c>
      <c r="C958" s="30" t="s">
        <v>170</v>
      </c>
      <c r="D958" s="30" t="s">
        <v>337</v>
      </c>
      <c r="E958" s="35">
        <v>42831.0</v>
      </c>
      <c r="F958" s="37" t="s">
        <v>150</v>
      </c>
      <c r="G958" s="30" t="s">
        <v>140</v>
      </c>
      <c r="H958" s="30" t="s">
        <v>163</v>
      </c>
      <c r="I958" s="30" t="s">
        <v>146</v>
      </c>
      <c r="J958" s="30" t="s">
        <v>146</v>
      </c>
      <c r="K958" s="30" t="s">
        <v>146</v>
      </c>
      <c r="L958" s="30" t="s">
        <v>228</v>
      </c>
      <c r="M958" s="30" t="s">
        <v>5456</v>
      </c>
      <c r="N958" s="30" t="s">
        <v>145</v>
      </c>
      <c r="O958" s="30" t="s">
        <v>145</v>
      </c>
      <c r="P958" s="30" t="s">
        <v>145</v>
      </c>
      <c r="Q958" s="30" t="s">
        <v>743</v>
      </c>
    </row>
    <row r="959" hidden="1">
      <c r="A959" s="33" t="s">
        <v>4957</v>
      </c>
      <c r="B959" s="30" t="s">
        <v>139</v>
      </c>
      <c r="C959" s="30" t="s">
        <v>244</v>
      </c>
      <c r="D959" s="30" t="s">
        <v>244</v>
      </c>
      <c r="E959" s="35">
        <v>42831.0</v>
      </c>
      <c r="F959" s="37" t="s">
        <v>150</v>
      </c>
      <c r="G959" s="30" t="s">
        <v>5469</v>
      </c>
      <c r="H959" s="30" t="s">
        <v>2544</v>
      </c>
      <c r="I959" s="30" t="s">
        <v>1441</v>
      </c>
      <c r="J959" s="30" t="s">
        <v>146</v>
      </c>
      <c r="K959" s="30" t="s">
        <v>5471</v>
      </c>
      <c r="L959" s="30" t="s">
        <v>1934</v>
      </c>
      <c r="M959" s="30" t="s">
        <v>1536</v>
      </c>
      <c r="N959" s="30" t="s">
        <v>145</v>
      </c>
      <c r="O959" s="30" t="s">
        <v>145</v>
      </c>
      <c r="P959" s="30" t="s">
        <v>145</v>
      </c>
      <c r="Q959" s="30" t="s">
        <v>1898</v>
      </c>
    </row>
    <row r="960" hidden="1">
      <c r="A960" s="33" t="s">
        <v>4959</v>
      </c>
      <c r="B960" s="30" t="s">
        <v>139</v>
      </c>
      <c r="C960" s="30" t="s">
        <v>244</v>
      </c>
      <c r="D960" s="30" t="s">
        <v>244</v>
      </c>
      <c r="E960" s="35">
        <v>42831.0</v>
      </c>
      <c r="F960" s="37" t="s">
        <v>150</v>
      </c>
      <c r="G960" s="30" t="s">
        <v>5469</v>
      </c>
      <c r="H960" s="30" t="s">
        <v>2544</v>
      </c>
      <c r="I960" s="30" t="s">
        <v>626</v>
      </c>
      <c r="J960" s="30" t="s">
        <v>163</v>
      </c>
      <c r="K960" s="30" t="s">
        <v>5477</v>
      </c>
      <c r="L960" s="30" t="s">
        <v>3019</v>
      </c>
      <c r="M960" s="30" t="s">
        <v>540</v>
      </c>
      <c r="N960" s="30" t="s">
        <v>145</v>
      </c>
      <c r="O960" s="30" t="s">
        <v>145</v>
      </c>
      <c r="P960" s="30" t="s">
        <v>145</v>
      </c>
      <c r="Q960" s="30" t="s">
        <v>1898</v>
      </c>
    </row>
    <row r="961" hidden="1">
      <c r="A961" s="33" t="s">
        <v>4963</v>
      </c>
      <c r="B961" s="30" t="s">
        <v>139</v>
      </c>
      <c r="C961" s="30" t="s">
        <v>244</v>
      </c>
      <c r="D961" s="30" t="s">
        <v>244</v>
      </c>
      <c r="E961" s="35">
        <v>42831.0</v>
      </c>
      <c r="F961" s="37" t="s">
        <v>150</v>
      </c>
      <c r="G961" s="30" t="s">
        <v>5469</v>
      </c>
      <c r="H961" s="30" t="s">
        <v>2544</v>
      </c>
      <c r="I961" s="30" t="s">
        <v>5482</v>
      </c>
      <c r="J961" s="30" t="s">
        <v>163</v>
      </c>
      <c r="K961" s="30" t="s">
        <v>438</v>
      </c>
      <c r="L961" s="30" t="s">
        <v>3019</v>
      </c>
      <c r="M961" s="30" t="s">
        <v>540</v>
      </c>
      <c r="N961" s="30" t="s">
        <v>145</v>
      </c>
      <c r="O961" s="30" t="s">
        <v>145</v>
      </c>
      <c r="P961" s="30" t="s">
        <v>145</v>
      </c>
      <c r="Q961" s="30" t="s">
        <v>1898</v>
      </c>
    </row>
    <row r="962" hidden="1">
      <c r="A962" s="33" t="s">
        <v>4967</v>
      </c>
      <c r="B962" s="30" t="s">
        <v>139</v>
      </c>
      <c r="C962" s="30" t="s">
        <v>177</v>
      </c>
      <c r="D962" s="30" t="s">
        <v>177</v>
      </c>
      <c r="E962" s="35">
        <v>42831.0</v>
      </c>
      <c r="F962" s="37" t="s">
        <v>150</v>
      </c>
      <c r="G962" s="30" t="s">
        <v>140</v>
      </c>
      <c r="H962" s="30" t="s">
        <v>3247</v>
      </c>
      <c r="I962" s="30" t="s">
        <v>146</v>
      </c>
      <c r="J962" s="30" t="s">
        <v>5487</v>
      </c>
      <c r="K962" s="30" t="s">
        <v>146</v>
      </c>
      <c r="L962" s="30" t="s">
        <v>146</v>
      </c>
      <c r="M962" s="30" t="s">
        <v>540</v>
      </c>
      <c r="N962" s="30" t="s">
        <v>145</v>
      </c>
      <c r="O962" s="30" t="s">
        <v>145</v>
      </c>
      <c r="P962" s="30" t="s">
        <v>145</v>
      </c>
      <c r="Q962" s="30" t="s">
        <v>1898</v>
      </c>
    </row>
    <row r="963" hidden="1">
      <c r="A963" s="33" t="s">
        <v>4970</v>
      </c>
      <c r="B963" s="30" t="s">
        <v>139</v>
      </c>
      <c r="C963" s="30" t="s">
        <v>177</v>
      </c>
      <c r="D963" s="30" t="s">
        <v>177</v>
      </c>
      <c r="E963" s="35">
        <v>42831.0</v>
      </c>
      <c r="F963" s="37" t="s">
        <v>150</v>
      </c>
      <c r="G963" s="30" t="s">
        <v>140</v>
      </c>
      <c r="H963" s="30" t="s">
        <v>264</v>
      </c>
      <c r="I963" s="30" t="s">
        <v>2419</v>
      </c>
      <c r="J963" s="30" t="s">
        <v>146</v>
      </c>
      <c r="K963" s="30" t="s">
        <v>5496</v>
      </c>
      <c r="L963" s="30" t="s">
        <v>5497</v>
      </c>
      <c r="M963" s="30" t="s">
        <v>432</v>
      </c>
      <c r="N963" s="30" t="s">
        <v>145</v>
      </c>
      <c r="O963" s="30" t="s">
        <v>145</v>
      </c>
      <c r="P963" s="30" t="s">
        <v>145</v>
      </c>
      <c r="Q963" s="30" t="s">
        <v>1898</v>
      </c>
    </row>
    <row r="964" hidden="1">
      <c r="A964" s="33" t="s">
        <v>4973</v>
      </c>
      <c r="B964" s="30" t="s">
        <v>139</v>
      </c>
      <c r="C964" s="30" t="s">
        <v>177</v>
      </c>
      <c r="D964" s="30" t="s">
        <v>177</v>
      </c>
      <c r="E964" s="35">
        <v>42831.0</v>
      </c>
      <c r="F964" s="37" t="s">
        <v>150</v>
      </c>
      <c r="G964" s="30" t="s">
        <v>5502</v>
      </c>
      <c r="H964" s="30" t="s">
        <v>4738</v>
      </c>
      <c r="I964" s="30" t="s">
        <v>5504</v>
      </c>
      <c r="J964" s="30" t="s">
        <v>5261</v>
      </c>
      <c r="K964" s="30" t="s">
        <v>5505</v>
      </c>
      <c r="L964" s="30" t="s">
        <v>849</v>
      </c>
      <c r="M964" s="30" t="s">
        <v>432</v>
      </c>
      <c r="N964" s="30" t="s">
        <v>145</v>
      </c>
      <c r="O964" s="30" t="s">
        <v>145</v>
      </c>
      <c r="P964" s="30" t="s">
        <v>145</v>
      </c>
      <c r="Q964" s="30" t="s">
        <v>1898</v>
      </c>
    </row>
    <row r="965" hidden="1">
      <c r="A965" s="33" t="s">
        <v>4974</v>
      </c>
      <c r="B965" s="30" t="s">
        <v>139</v>
      </c>
      <c r="C965" s="30" t="s">
        <v>337</v>
      </c>
      <c r="D965" s="30" t="s">
        <v>337</v>
      </c>
      <c r="E965" s="35">
        <v>42831.0</v>
      </c>
      <c r="F965" s="37" t="s">
        <v>150</v>
      </c>
      <c r="G965" s="30" t="s">
        <v>140</v>
      </c>
      <c r="H965" s="30" t="s">
        <v>146</v>
      </c>
      <c r="I965" s="30" t="s">
        <v>146</v>
      </c>
      <c r="J965" s="30" t="s">
        <v>4040</v>
      </c>
      <c r="K965" s="30" t="s">
        <v>407</v>
      </c>
      <c r="L965" s="30" t="s">
        <v>407</v>
      </c>
      <c r="M965" s="30" t="s">
        <v>5516</v>
      </c>
      <c r="N965" s="30" t="s">
        <v>145</v>
      </c>
      <c r="O965" s="30" t="s">
        <v>145</v>
      </c>
      <c r="P965" s="30" t="s">
        <v>145</v>
      </c>
      <c r="Q965" s="30" t="s">
        <v>1898</v>
      </c>
    </row>
    <row r="966" hidden="1">
      <c r="A966" s="33" t="s">
        <v>4977</v>
      </c>
      <c r="B966" s="30" t="s">
        <v>139</v>
      </c>
      <c r="C966" s="30" t="s">
        <v>244</v>
      </c>
      <c r="D966" s="30" t="s">
        <v>244</v>
      </c>
      <c r="E966" s="35">
        <v>42831.0</v>
      </c>
      <c r="F966" s="37" t="s">
        <v>150</v>
      </c>
      <c r="G966" s="30" t="s">
        <v>5469</v>
      </c>
      <c r="H966" s="30" t="s">
        <v>2544</v>
      </c>
      <c r="I966" s="30" t="s">
        <v>2419</v>
      </c>
      <c r="J966" s="30" t="s">
        <v>146</v>
      </c>
      <c r="K966" s="30" t="s">
        <v>5521</v>
      </c>
      <c r="L966" s="30" t="s">
        <v>5522</v>
      </c>
      <c r="M966" s="30" t="s">
        <v>2944</v>
      </c>
      <c r="N966" s="30" t="s">
        <v>145</v>
      </c>
      <c r="O966" s="30" t="s">
        <v>145</v>
      </c>
      <c r="P966" s="30" t="s">
        <v>145</v>
      </c>
      <c r="Q966" s="30" t="s">
        <v>1898</v>
      </c>
    </row>
    <row r="967" hidden="1">
      <c r="A967" s="33" t="s">
        <v>4981</v>
      </c>
      <c r="B967" s="30" t="s">
        <v>139</v>
      </c>
      <c r="C967" s="30" t="s">
        <v>453</v>
      </c>
      <c r="D967" s="30" t="s">
        <v>244</v>
      </c>
      <c r="E967" s="35">
        <v>42830.0</v>
      </c>
      <c r="F967" s="37" t="s">
        <v>154</v>
      </c>
      <c r="G967" s="30" t="s">
        <v>1749</v>
      </c>
      <c r="H967" s="30" t="s">
        <v>145</v>
      </c>
      <c r="I967" s="30" t="s">
        <v>145</v>
      </c>
      <c r="J967" s="30" t="s">
        <v>145</v>
      </c>
      <c r="K967" s="30" t="s">
        <v>145</v>
      </c>
      <c r="L967" s="30" t="s">
        <v>145</v>
      </c>
      <c r="M967" s="30" t="s">
        <v>145</v>
      </c>
      <c r="N967" s="30" t="s">
        <v>145</v>
      </c>
      <c r="O967" s="30" t="s">
        <v>145</v>
      </c>
      <c r="P967" s="30" t="s">
        <v>145</v>
      </c>
      <c r="Q967" s="30" t="s">
        <v>2544</v>
      </c>
    </row>
    <row r="968" hidden="1">
      <c r="A968" s="33" t="s">
        <v>4985</v>
      </c>
      <c r="B968" s="30" t="s">
        <v>139</v>
      </c>
      <c r="C968" s="30" t="s">
        <v>141</v>
      </c>
      <c r="D968" s="30" t="s">
        <v>244</v>
      </c>
      <c r="E968" s="35">
        <v>42830.0</v>
      </c>
      <c r="F968" s="37" t="s">
        <v>154</v>
      </c>
      <c r="G968" s="30" t="s">
        <v>1749</v>
      </c>
      <c r="H968" s="30" t="s">
        <v>145</v>
      </c>
      <c r="I968" s="30" t="s">
        <v>145</v>
      </c>
      <c r="J968" s="30" t="s">
        <v>145</v>
      </c>
      <c r="K968" s="30" t="s">
        <v>145</v>
      </c>
      <c r="L968" s="30" t="s">
        <v>145</v>
      </c>
      <c r="M968" s="30" t="s">
        <v>145</v>
      </c>
      <c r="N968" s="30" t="s">
        <v>145</v>
      </c>
      <c r="O968" s="30" t="s">
        <v>145</v>
      </c>
      <c r="P968" s="30" t="s">
        <v>145</v>
      </c>
      <c r="Q968" s="30" t="s">
        <v>2544</v>
      </c>
    </row>
    <row r="969" hidden="1">
      <c r="A969" s="33" t="s">
        <v>4989</v>
      </c>
      <c r="B969" s="30" t="s">
        <v>139</v>
      </c>
      <c r="C969" s="30" t="s">
        <v>453</v>
      </c>
      <c r="D969" s="30" t="s">
        <v>244</v>
      </c>
      <c r="E969" s="35">
        <v>42830.0</v>
      </c>
      <c r="F969" s="37" t="s">
        <v>154</v>
      </c>
      <c r="G969" s="30" t="s">
        <v>1749</v>
      </c>
      <c r="H969" s="30" t="s">
        <v>145</v>
      </c>
      <c r="I969" s="30" t="s">
        <v>145</v>
      </c>
      <c r="J969" s="30" t="s">
        <v>145</v>
      </c>
      <c r="K969" s="30" t="s">
        <v>145</v>
      </c>
      <c r="L969" s="30" t="s">
        <v>145</v>
      </c>
      <c r="M969" s="30" t="s">
        <v>145</v>
      </c>
      <c r="N969" s="30" t="s">
        <v>145</v>
      </c>
      <c r="O969" s="30" t="s">
        <v>145</v>
      </c>
      <c r="P969" s="30" t="s">
        <v>145</v>
      </c>
      <c r="Q969" s="30" t="s">
        <v>2544</v>
      </c>
    </row>
    <row r="970" hidden="1">
      <c r="A970" s="33" t="s">
        <v>4993</v>
      </c>
      <c r="B970" s="30" t="s">
        <v>139</v>
      </c>
      <c r="C970" s="30" t="s">
        <v>141</v>
      </c>
      <c r="D970" s="30" t="s">
        <v>244</v>
      </c>
      <c r="E970" s="35">
        <v>42830.0</v>
      </c>
      <c r="F970" s="37" t="s">
        <v>154</v>
      </c>
      <c r="G970" s="30" t="s">
        <v>1749</v>
      </c>
      <c r="H970" s="30" t="s">
        <v>145</v>
      </c>
      <c r="I970" s="30" t="s">
        <v>145</v>
      </c>
      <c r="J970" s="30" t="s">
        <v>145</v>
      </c>
      <c r="K970" s="30" t="s">
        <v>145</v>
      </c>
      <c r="L970" s="30" t="s">
        <v>145</v>
      </c>
      <c r="M970" s="30" t="s">
        <v>145</v>
      </c>
      <c r="N970" s="30" t="s">
        <v>145</v>
      </c>
      <c r="O970" s="30" t="s">
        <v>145</v>
      </c>
      <c r="P970" s="30" t="s">
        <v>145</v>
      </c>
      <c r="Q970" s="30" t="s">
        <v>2544</v>
      </c>
    </row>
    <row r="971" hidden="1">
      <c r="A971" s="33" t="s">
        <v>4997</v>
      </c>
      <c r="B971" s="30" t="s">
        <v>139</v>
      </c>
      <c r="C971" s="30" t="s">
        <v>453</v>
      </c>
      <c r="D971" s="30" t="s">
        <v>244</v>
      </c>
      <c r="E971" s="35">
        <v>42830.0</v>
      </c>
      <c r="F971" s="37" t="s">
        <v>154</v>
      </c>
      <c r="G971" s="30" t="s">
        <v>1749</v>
      </c>
      <c r="H971" s="30" t="s">
        <v>145</v>
      </c>
      <c r="I971" s="30" t="s">
        <v>145</v>
      </c>
      <c r="J971" s="30" t="s">
        <v>145</v>
      </c>
      <c r="K971" s="30" t="s">
        <v>145</v>
      </c>
      <c r="L971" s="30" t="s">
        <v>145</v>
      </c>
      <c r="M971" s="30" t="s">
        <v>145</v>
      </c>
      <c r="N971" s="30" t="s">
        <v>145</v>
      </c>
      <c r="O971" s="30" t="s">
        <v>145</v>
      </c>
      <c r="P971" s="30" t="s">
        <v>145</v>
      </c>
      <c r="Q971" s="30" t="s">
        <v>2544</v>
      </c>
    </row>
    <row r="972" hidden="1">
      <c r="A972" s="33" t="s">
        <v>5000</v>
      </c>
      <c r="B972" s="30" t="s">
        <v>139</v>
      </c>
      <c r="C972" s="30" t="s">
        <v>141</v>
      </c>
      <c r="D972" s="30" t="s">
        <v>244</v>
      </c>
      <c r="E972" s="35">
        <v>42830.0</v>
      </c>
      <c r="F972" s="37" t="s">
        <v>154</v>
      </c>
      <c r="G972" s="30" t="s">
        <v>1749</v>
      </c>
      <c r="H972" s="30" t="s">
        <v>145</v>
      </c>
      <c r="I972" s="30" t="s">
        <v>145</v>
      </c>
      <c r="J972" s="30" t="s">
        <v>145</v>
      </c>
      <c r="K972" s="30" t="s">
        <v>145</v>
      </c>
      <c r="L972" s="30" t="s">
        <v>145</v>
      </c>
      <c r="M972" s="30" t="s">
        <v>145</v>
      </c>
      <c r="N972" s="30" t="s">
        <v>145</v>
      </c>
      <c r="O972" s="30" t="s">
        <v>145</v>
      </c>
      <c r="P972" s="30" t="s">
        <v>145</v>
      </c>
      <c r="Q972" s="30" t="s">
        <v>2544</v>
      </c>
    </row>
    <row r="973" hidden="1">
      <c r="A973" s="33" t="s">
        <v>5003</v>
      </c>
      <c r="B973" s="30" t="s">
        <v>139</v>
      </c>
      <c r="C973" s="30" t="s">
        <v>453</v>
      </c>
      <c r="D973" s="30" t="s">
        <v>244</v>
      </c>
      <c r="E973" s="35">
        <v>42830.0</v>
      </c>
      <c r="F973" s="37" t="s">
        <v>154</v>
      </c>
      <c r="G973" s="30" t="s">
        <v>2544</v>
      </c>
      <c r="H973" s="30" t="s">
        <v>145</v>
      </c>
      <c r="I973" s="30" t="s">
        <v>145</v>
      </c>
      <c r="J973" s="30" t="s">
        <v>145</v>
      </c>
      <c r="K973" s="30" t="s">
        <v>145</v>
      </c>
      <c r="L973" s="30" t="s">
        <v>145</v>
      </c>
      <c r="M973" s="30" t="s">
        <v>145</v>
      </c>
      <c r="N973" s="30" t="s">
        <v>145</v>
      </c>
      <c r="O973" s="30" t="s">
        <v>145</v>
      </c>
      <c r="P973" s="30" t="s">
        <v>145</v>
      </c>
      <c r="Q973" s="30" t="s">
        <v>2544</v>
      </c>
    </row>
    <row r="974" hidden="1">
      <c r="A974" s="33" t="s">
        <v>5007</v>
      </c>
      <c r="B974" s="30" t="s">
        <v>139</v>
      </c>
      <c r="C974" s="30" t="s">
        <v>141</v>
      </c>
      <c r="D974" s="30" t="s">
        <v>244</v>
      </c>
      <c r="E974" s="35">
        <v>42830.0</v>
      </c>
      <c r="F974" s="37" t="s">
        <v>154</v>
      </c>
      <c r="G974" s="30" t="s">
        <v>1749</v>
      </c>
      <c r="H974" s="30" t="s">
        <v>145</v>
      </c>
      <c r="I974" s="30" t="s">
        <v>145</v>
      </c>
      <c r="J974" s="30" t="s">
        <v>145</v>
      </c>
      <c r="K974" s="30" t="s">
        <v>145</v>
      </c>
      <c r="L974" s="30" t="s">
        <v>145</v>
      </c>
      <c r="M974" s="30" t="s">
        <v>145</v>
      </c>
      <c r="N974" s="30" t="s">
        <v>145</v>
      </c>
      <c r="O974" s="30" t="s">
        <v>145</v>
      </c>
      <c r="P974" s="30" t="s">
        <v>145</v>
      </c>
      <c r="Q974" s="30" t="s">
        <v>2544</v>
      </c>
    </row>
    <row r="975" hidden="1">
      <c r="A975" s="33" t="s">
        <v>5010</v>
      </c>
      <c r="B975" s="30" t="s">
        <v>139</v>
      </c>
      <c r="C975" s="30" t="s">
        <v>453</v>
      </c>
      <c r="D975" s="30" t="s">
        <v>244</v>
      </c>
      <c r="E975" s="35">
        <v>42830.0</v>
      </c>
      <c r="F975" s="37" t="s">
        <v>154</v>
      </c>
      <c r="G975" s="30" t="s">
        <v>5572</v>
      </c>
      <c r="H975" s="30" t="s">
        <v>145</v>
      </c>
      <c r="I975" s="30" t="s">
        <v>145</v>
      </c>
      <c r="J975" s="30" t="s">
        <v>145</v>
      </c>
      <c r="K975" s="30" t="s">
        <v>145</v>
      </c>
      <c r="L975" s="30" t="s">
        <v>145</v>
      </c>
      <c r="M975" s="30" t="s">
        <v>145</v>
      </c>
      <c r="N975" s="30" t="s">
        <v>145</v>
      </c>
      <c r="O975" s="30" t="s">
        <v>145</v>
      </c>
      <c r="P975" s="30" t="s">
        <v>145</v>
      </c>
      <c r="Q975" s="30" t="s">
        <v>2544</v>
      </c>
    </row>
    <row r="976" hidden="1">
      <c r="A976" s="33" t="s">
        <v>5014</v>
      </c>
      <c r="B976" s="30" t="s">
        <v>139</v>
      </c>
      <c r="C976" s="30" t="s">
        <v>141</v>
      </c>
      <c r="D976" s="30" t="s">
        <v>244</v>
      </c>
      <c r="E976" s="35">
        <v>42830.0</v>
      </c>
      <c r="F976" s="37" t="s">
        <v>154</v>
      </c>
      <c r="G976" s="30" t="s">
        <v>1749</v>
      </c>
      <c r="H976" s="30" t="s">
        <v>145</v>
      </c>
      <c r="I976" s="30" t="s">
        <v>145</v>
      </c>
      <c r="J976" s="30" t="s">
        <v>145</v>
      </c>
      <c r="K976" s="30" t="s">
        <v>145</v>
      </c>
      <c r="L976" s="30" t="s">
        <v>145</v>
      </c>
      <c r="M976" s="30" t="s">
        <v>145</v>
      </c>
      <c r="N976" s="30" t="s">
        <v>145</v>
      </c>
      <c r="O976" s="30" t="s">
        <v>145</v>
      </c>
      <c r="P976" s="30" t="s">
        <v>145</v>
      </c>
      <c r="Q976" s="30" t="s">
        <v>2544</v>
      </c>
    </row>
    <row r="977" hidden="1">
      <c r="A977" s="33" t="s">
        <v>5018</v>
      </c>
      <c r="B977" s="30" t="s">
        <v>139</v>
      </c>
      <c r="C977" s="30" t="s">
        <v>244</v>
      </c>
      <c r="D977" s="30" t="s">
        <v>244</v>
      </c>
      <c r="E977" s="35">
        <v>42830.0</v>
      </c>
      <c r="F977" s="37" t="s">
        <v>184</v>
      </c>
      <c r="G977" s="30" t="s">
        <v>2544</v>
      </c>
      <c r="H977" s="30" t="s">
        <v>145</v>
      </c>
      <c r="I977" s="30" t="s">
        <v>145</v>
      </c>
      <c r="J977" s="30" t="s">
        <v>145</v>
      </c>
      <c r="K977" s="30" t="s">
        <v>145</v>
      </c>
      <c r="L977" s="30" t="s">
        <v>145</v>
      </c>
      <c r="M977" s="30" t="s">
        <v>145</v>
      </c>
      <c r="N977" s="30" t="s">
        <v>145</v>
      </c>
      <c r="O977" s="30" t="s">
        <v>145</v>
      </c>
      <c r="P977" s="30" t="s">
        <v>145</v>
      </c>
      <c r="Q977" s="30" t="s">
        <v>2544</v>
      </c>
    </row>
    <row r="978" hidden="1">
      <c r="A978" s="33" t="s">
        <v>5022</v>
      </c>
      <c r="B978" s="30" t="s">
        <v>139</v>
      </c>
      <c r="C978" s="30" t="s">
        <v>453</v>
      </c>
      <c r="D978" s="30" t="s">
        <v>244</v>
      </c>
      <c r="E978" s="35">
        <v>42830.0</v>
      </c>
      <c r="F978" s="37" t="s">
        <v>154</v>
      </c>
      <c r="G978" s="30" t="s">
        <v>2544</v>
      </c>
      <c r="H978" s="30" t="s">
        <v>145</v>
      </c>
      <c r="I978" s="30" t="s">
        <v>145</v>
      </c>
      <c r="J978" s="30" t="s">
        <v>145</v>
      </c>
      <c r="K978" s="30" t="s">
        <v>145</v>
      </c>
      <c r="L978" s="30" t="s">
        <v>145</v>
      </c>
      <c r="M978" s="30" t="s">
        <v>145</v>
      </c>
      <c r="N978" s="30" t="s">
        <v>145</v>
      </c>
      <c r="O978" s="30" t="s">
        <v>145</v>
      </c>
      <c r="P978" s="30" t="s">
        <v>145</v>
      </c>
      <c r="Q978" s="30" t="s">
        <v>2544</v>
      </c>
    </row>
    <row r="979" hidden="1">
      <c r="A979" s="33" t="s">
        <v>5024</v>
      </c>
      <c r="B979" s="30" t="s">
        <v>139</v>
      </c>
      <c r="C979" s="30" t="s">
        <v>141</v>
      </c>
      <c r="D979" s="30" t="s">
        <v>244</v>
      </c>
      <c r="E979" s="35">
        <v>42830.0</v>
      </c>
      <c r="F979" s="37" t="s">
        <v>154</v>
      </c>
      <c r="G979" s="30" t="s">
        <v>1749</v>
      </c>
      <c r="H979" s="30" t="s">
        <v>145</v>
      </c>
      <c r="I979" s="30" t="s">
        <v>145</v>
      </c>
      <c r="J979" s="30" t="s">
        <v>145</v>
      </c>
      <c r="K979" s="30" t="s">
        <v>145</v>
      </c>
      <c r="L979" s="30" t="s">
        <v>145</v>
      </c>
      <c r="M979" s="30" t="s">
        <v>145</v>
      </c>
      <c r="N979" s="30" t="s">
        <v>145</v>
      </c>
      <c r="O979" s="30" t="s">
        <v>145</v>
      </c>
      <c r="P979" s="30" t="s">
        <v>145</v>
      </c>
      <c r="Q979" s="30" t="s">
        <v>2544</v>
      </c>
    </row>
    <row r="980" hidden="1">
      <c r="A980" s="33" t="s">
        <v>5028</v>
      </c>
      <c r="B980" s="30" t="s">
        <v>139</v>
      </c>
      <c r="C980" s="30" t="s">
        <v>453</v>
      </c>
      <c r="D980" s="30" t="s">
        <v>244</v>
      </c>
      <c r="E980" s="35">
        <v>42830.0</v>
      </c>
      <c r="F980" s="37" t="s">
        <v>154</v>
      </c>
      <c r="G980" s="30" t="s">
        <v>2544</v>
      </c>
      <c r="H980" s="30" t="s">
        <v>145</v>
      </c>
      <c r="I980" s="30" t="s">
        <v>145</v>
      </c>
      <c r="J980" s="30" t="s">
        <v>145</v>
      </c>
      <c r="K980" s="30" t="s">
        <v>145</v>
      </c>
      <c r="L980" s="30" t="s">
        <v>145</v>
      </c>
      <c r="M980" s="30" t="s">
        <v>145</v>
      </c>
      <c r="N980" s="30" t="s">
        <v>145</v>
      </c>
      <c r="O980" s="30" t="s">
        <v>145</v>
      </c>
      <c r="P980" s="30" t="s">
        <v>145</v>
      </c>
      <c r="Q980" s="30" t="s">
        <v>2544</v>
      </c>
    </row>
    <row r="981" hidden="1">
      <c r="A981" s="33" t="s">
        <v>5030</v>
      </c>
      <c r="B981" s="30" t="s">
        <v>139</v>
      </c>
      <c r="C981" s="30" t="s">
        <v>141</v>
      </c>
      <c r="D981" s="30" t="s">
        <v>244</v>
      </c>
      <c r="E981" s="35">
        <v>42830.0</v>
      </c>
      <c r="F981" s="37" t="s">
        <v>154</v>
      </c>
      <c r="G981" s="30" t="s">
        <v>2587</v>
      </c>
      <c r="H981" s="30" t="s">
        <v>145</v>
      </c>
      <c r="I981" s="30" t="s">
        <v>145</v>
      </c>
      <c r="J981" s="30" t="s">
        <v>145</v>
      </c>
      <c r="K981" s="30" t="s">
        <v>145</v>
      </c>
      <c r="L981" s="30" t="s">
        <v>145</v>
      </c>
      <c r="M981" s="30" t="s">
        <v>145</v>
      </c>
      <c r="N981" s="30" t="s">
        <v>145</v>
      </c>
      <c r="O981" s="30" t="s">
        <v>145</v>
      </c>
      <c r="P981" s="30" t="s">
        <v>145</v>
      </c>
      <c r="Q981" s="30" t="s">
        <v>180</v>
      </c>
    </row>
    <row r="982" hidden="1">
      <c r="A982" s="33" t="s">
        <v>5034</v>
      </c>
      <c r="B982" s="30" t="s">
        <v>139</v>
      </c>
      <c r="C982" s="30" t="s">
        <v>453</v>
      </c>
      <c r="D982" s="30" t="s">
        <v>244</v>
      </c>
      <c r="E982" s="35">
        <v>42830.0</v>
      </c>
      <c r="F982" s="37" t="s">
        <v>154</v>
      </c>
      <c r="G982" s="30" t="s">
        <v>2544</v>
      </c>
      <c r="H982" s="30" t="s">
        <v>145</v>
      </c>
      <c r="I982" s="30" t="s">
        <v>145</v>
      </c>
      <c r="J982" s="30" t="s">
        <v>145</v>
      </c>
      <c r="K982" s="30" t="s">
        <v>145</v>
      </c>
      <c r="L982" s="30" t="s">
        <v>145</v>
      </c>
      <c r="M982" s="30" t="s">
        <v>145</v>
      </c>
      <c r="N982" s="30" t="s">
        <v>145</v>
      </c>
      <c r="O982" s="30" t="s">
        <v>145</v>
      </c>
      <c r="P982" s="30" t="s">
        <v>145</v>
      </c>
      <c r="Q982" s="30" t="s">
        <v>2544</v>
      </c>
    </row>
    <row r="983" hidden="1">
      <c r="A983" s="33" t="s">
        <v>5039</v>
      </c>
      <c r="B983" s="30" t="s">
        <v>139</v>
      </c>
      <c r="C983" s="30" t="s">
        <v>141</v>
      </c>
      <c r="D983" s="30" t="s">
        <v>244</v>
      </c>
      <c r="E983" s="35">
        <v>42830.0</v>
      </c>
      <c r="F983" s="37" t="s">
        <v>154</v>
      </c>
      <c r="G983" s="30" t="s">
        <v>1749</v>
      </c>
      <c r="H983" s="30" t="s">
        <v>145</v>
      </c>
      <c r="I983" s="30" t="s">
        <v>145</v>
      </c>
      <c r="J983" s="30" t="s">
        <v>145</v>
      </c>
      <c r="K983" s="30" t="s">
        <v>145</v>
      </c>
      <c r="L983" s="30" t="s">
        <v>145</v>
      </c>
      <c r="M983" s="30" t="s">
        <v>145</v>
      </c>
      <c r="N983" s="30" t="s">
        <v>145</v>
      </c>
      <c r="O983" s="30" t="s">
        <v>145</v>
      </c>
      <c r="P983" s="30" t="s">
        <v>145</v>
      </c>
      <c r="Q983" s="30" t="s">
        <v>5608</v>
      </c>
    </row>
    <row r="984" hidden="1">
      <c r="A984" s="33" t="s">
        <v>5043</v>
      </c>
      <c r="B984" s="30" t="s">
        <v>139</v>
      </c>
      <c r="C984" s="30" t="s">
        <v>453</v>
      </c>
      <c r="D984" s="30" t="s">
        <v>244</v>
      </c>
      <c r="E984" s="35">
        <v>42830.0</v>
      </c>
      <c r="F984" s="37" t="s">
        <v>154</v>
      </c>
      <c r="G984" s="30" t="s">
        <v>2544</v>
      </c>
      <c r="H984" s="30" t="s">
        <v>145</v>
      </c>
      <c r="I984" s="30" t="s">
        <v>145</v>
      </c>
      <c r="J984" s="30" t="s">
        <v>145</v>
      </c>
      <c r="K984" s="30" t="s">
        <v>145</v>
      </c>
      <c r="L984" s="30" t="s">
        <v>145</v>
      </c>
      <c r="M984" s="30" t="s">
        <v>145</v>
      </c>
      <c r="N984" s="30" t="s">
        <v>145</v>
      </c>
      <c r="O984" s="30" t="s">
        <v>145</v>
      </c>
      <c r="P984" s="30" t="s">
        <v>145</v>
      </c>
      <c r="Q984" s="30" t="s">
        <v>2544</v>
      </c>
    </row>
    <row r="985" hidden="1">
      <c r="A985" s="33" t="s">
        <v>5047</v>
      </c>
      <c r="B985" s="30" t="s">
        <v>139</v>
      </c>
      <c r="C985" s="30" t="s">
        <v>141</v>
      </c>
      <c r="D985" s="30" t="s">
        <v>244</v>
      </c>
      <c r="E985" s="35">
        <v>42830.0</v>
      </c>
      <c r="F985" s="37" t="s">
        <v>154</v>
      </c>
      <c r="G985" s="30" t="s">
        <v>1749</v>
      </c>
      <c r="H985" s="30" t="s">
        <v>145</v>
      </c>
      <c r="I985" s="30" t="s">
        <v>145</v>
      </c>
      <c r="J985" s="30" t="s">
        <v>145</v>
      </c>
      <c r="K985" s="30" t="s">
        <v>145</v>
      </c>
      <c r="L985" s="30" t="s">
        <v>145</v>
      </c>
      <c r="M985" s="30" t="s">
        <v>145</v>
      </c>
      <c r="N985" s="30" t="s">
        <v>145</v>
      </c>
      <c r="O985" s="30" t="s">
        <v>145</v>
      </c>
      <c r="P985" s="30" t="s">
        <v>145</v>
      </c>
      <c r="Q985" s="30" t="s">
        <v>2544</v>
      </c>
    </row>
    <row r="986" hidden="1">
      <c r="A986" s="33" t="s">
        <v>5049</v>
      </c>
      <c r="B986" s="30" t="s">
        <v>139</v>
      </c>
      <c r="C986" s="30" t="s">
        <v>140</v>
      </c>
      <c r="D986" s="30" t="s">
        <v>244</v>
      </c>
      <c r="E986" s="35">
        <v>42830.0</v>
      </c>
      <c r="F986" s="37" t="s">
        <v>150</v>
      </c>
      <c r="G986" s="30" t="s">
        <v>438</v>
      </c>
      <c r="H986" s="30" t="s">
        <v>146</v>
      </c>
      <c r="I986" s="2" t="s">
        <v>144</v>
      </c>
      <c r="J986" s="30" t="s">
        <v>145</v>
      </c>
      <c r="K986" s="30" t="s">
        <v>145</v>
      </c>
      <c r="L986" s="30" t="s">
        <v>145</v>
      </c>
      <c r="M986" s="30" t="s">
        <v>145</v>
      </c>
      <c r="N986" s="30" t="s">
        <v>145</v>
      </c>
      <c r="O986" s="30" t="s">
        <v>145</v>
      </c>
      <c r="P986" s="30" t="s">
        <v>145</v>
      </c>
      <c r="Q986" s="30" t="s">
        <v>146</v>
      </c>
    </row>
    <row r="987" hidden="1">
      <c r="A987" s="33" t="s">
        <v>5053</v>
      </c>
      <c r="B987" s="30" t="s">
        <v>139</v>
      </c>
      <c r="C987" s="30" t="s">
        <v>453</v>
      </c>
      <c r="D987" s="30" t="s">
        <v>244</v>
      </c>
      <c r="E987" s="35">
        <v>42830.0</v>
      </c>
      <c r="F987" s="37" t="s">
        <v>154</v>
      </c>
      <c r="G987" s="30" t="s">
        <v>2544</v>
      </c>
      <c r="H987" s="30" t="s">
        <v>145</v>
      </c>
      <c r="I987" s="30" t="s">
        <v>145</v>
      </c>
      <c r="J987" s="30" t="s">
        <v>145</v>
      </c>
      <c r="K987" s="30" t="s">
        <v>145</v>
      </c>
      <c r="L987" s="30" t="s">
        <v>145</v>
      </c>
      <c r="M987" s="30" t="s">
        <v>145</v>
      </c>
      <c r="N987" s="30" t="s">
        <v>145</v>
      </c>
      <c r="O987" s="30" t="s">
        <v>145</v>
      </c>
      <c r="P987" s="30" t="s">
        <v>145</v>
      </c>
      <c r="Q987" s="30" t="s">
        <v>2544</v>
      </c>
    </row>
    <row r="988" hidden="1">
      <c r="A988" s="33" t="str">
        <f>hyperlink("https://issues.sierrawireless.com/browse/QTI9X40-2658", "QTI9X40-2658")</f>
        <v>QTI9X40-2658</v>
      </c>
      <c r="B988" s="30" t="s">
        <v>139</v>
      </c>
      <c r="C988" s="30" t="s">
        <v>206</v>
      </c>
      <c r="D988" s="30" t="s">
        <v>1203</v>
      </c>
      <c r="E988" s="43">
        <v>43033.0</v>
      </c>
      <c r="F988" s="44" t="s">
        <v>207</v>
      </c>
      <c r="G988" s="30" t="s">
        <v>5633</v>
      </c>
      <c r="H988" s="30" t="s">
        <v>145</v>
      </c>
      <c r="I988" s="30" t="s">
        <v>145</v>
      </c>
      <c r="J988" s="30" t="s">
        <v>145</v>
      </c>
      <c r="K988" s="30" t="s">
        <v>145</v>
      </c>
      <c r="L988" s="30" t="s">
        <v>5487</v>
      </c>
      <c r="M988" s="2" t="s">
        <v>5636</v>
      </c>
      <c r="N988" s="30" t="s">
        <v>145</v>
      </c>
      <c r="O988" s="30" t="s">
        <v>145</v>
      </c>
      <c r="P988" s="30" t="s">
        <v>145</v>
      </c>
      <c r="Q988" s="30" t="s">
        <v>209</v>
      </c>
    </row>
    <row r="989" hidden="1">
      <c r="A989" s="33" t="s">
        <v>5057</v>
      </c>
      <c r="B989" s="30" t="s">
        <v>139</v>
      </c>
      <c r="C989" s="30" t="s">
        <v>141</v>
      </c>
      <c r="D989" s="30" t="s">
        <v>244</v>
      </c>
      <c r="E989" s="35">
        <v>42830.0</v>
      </c>
      <c r="F989" s="37" t="s">
        <v>154</v>
      </c>
      <c r="G989" s="30" t="s">
        <v>1749</v>
      </c>
      <c r="H989" s="30" t="s">
        <v>145</v>
      </c>
      <c r="I989" s="30" t="s">
        <v>145</v>
      </c>
      <c r="J989" s="30" t="s">
        <v>145</v>
      </c>
      <c r="K989" s="30" t="s">
        <v>145</v>
      </c>
      <c r="L989" s="30" t="s">
        <v>145</v>
      </c>
      <c r="M989" s="30" t="s">
        <v>145</v>
      </c>
      <c r="N989" s="30" t="s">
        <v>145</v>
      </c>
      <c r="O989" s="30" t="s">
        <v>145</v>
      </c>
      <c r="P989" s="30" t="s">
        <v>145</v>
      </c>
      <c r="Q989" s="30" t="s">
        <v>2544</v>
      </c>
    </row>
    <row r="990" hidden="1">
      <c r="A990" s="33" t="s">
        <v>5062</v>
      </c>
      <c r="B990" s="30" t="s">
        <v>139</v>
      </c>
      <c r="C990" s="30" t="s">
        <v>453</v>
      </c>
      <c r="D990" s="30" t="s">
        <v>244</v>
      </c>
      <c r="E990" s="35">
        <v>42830.0</v>
      </c>
      <c r="F990" s="37" t="s">
        <v>154</v>
      </c>
      <c r="G990" s="30" t="s">
        <v>2544</v>
      </c>
      <c r="H990" s="30" t="s">
        <v>145</v>
      </c>
      <c r="I990" s="30" t="s">
        <v>145</v>
      </c>
      <c r="J990" s="30" t="s">
        <v>145</v>
      </c>
      <c r="K990" s="30" t="s">
        <v>145</v>
      </c>
      <c r="L990" s="30" t="s">
        <v>145</v>
      </c>
      <c r="M990" s="30" t="s">
        <v>145</v>
      </c>
      <c r="N990" s="30" t="s">
        <v>145</v>
      </c>
      <c r="O990" s="30" t="s">
        <v>145</v>
      </c>
      <c r="P990" s="30" t="s">
        <v>145</v>
      </c>
      <c r="Q990" s="30" t="s">
        <v>2544</v>
      </c>
    </row>
    <row r="991" hidden="1">
      <c r="A991" s="33" t="s">
        <v>5066</v>
      </c>
      <c r="B991" s="30" t="s">
        <v>139</v>
      </c>
      <c r="C991" s="30" t="s">
        <v>244</v>
      </c>
      <c r="D991" s="30" t="s">
        <v>244</v>
      </c>
      <c r="E991" s="35">
        <v>42830.0</v>
      </c>
      <c r="F991" s="37" t="s">
        <v>150</v>
      </c>
      <c r="G991" s="30" t="s">
        <v>438</v>
      </c>
      <c r="H991" s="30" t="s">
        <v>146</v>
      </c>
      <c r="I991" s="30" t="s">
        <v>352</v>
      </c>
      <c r="J991" s="30" t="s">
        <v>503</v>
      </c>
      <c r="K991" s="30" t="s">
        <v>2804</v>
      </c>
      <c r="L991" s="30" t="s">
        <v>5651</v>
      </c>
      <c r="M991" s="30" t="s">
        <v>2361</v>
      </c>
      <c r="N991" s="30" t="s">
        <v>145</v>
      </c>
      <c r="O991" s="30" t="s">
        <v>145</v>
      </c>
      <c r="P991" s="30" t="s">
        <v>145</v>
      </c>
      <c r="Q991" s="30" t="s">
        <v>1898</v>
      </c>
    </row>
    <row r="992" hidden="1">
      <c r="A992" s="33" t="s">
        <v>5070</v>
      </c>
      <c r="B992" s="30" t="s">
        <v>139</v>
      </c>
      <c r="C992" s="30" t="s">
        <v>244</v>
      </c>
      <c r="D992" s="30" t="s">
        <v>244</v>
      </c>
      <c r="E992" s="35">
        <v>42830.0</v>
      </c>
      <c r="F992" s="37" t="s">
        <v>150</v>
      </c>
      <c r="G992" s="30" t="s">
        <v>5097</v>
      </c>
      <c r="H992" s="30" t="s">
        <v>2544</v>
      </c>
      <c r="I992" s="30" t="s">
        <v>1441</v>
      </c>
      <c r="J992" s="30" t="s">
        <v>146</v>
      </c>
      <c r="K992" s="30" t="s">
        <v>5471</v>
      </c>
      <c r="L992" s="30" t="s">
        <v>3019</v>
      </c>
      <c r="M992" s="30" t="s">
        <v>540</v>
      </c>
      <c r="N992" s="30" t="s">
        <v>145</v>
      </c>
      <c r="O992" s="30" t="s">
        <v>145</v>
      </c>
      <c r="P992" s="30" t="s">
        <v>145</v>
      </c>
      <c r="Q992" s="30" t="s">
        <v>1898</v>
      </c>
    </row>
    <row r="993" hidden="1">
      <c r="A993" s="33" t="s">
        <v>5075</v>
      </c>
      <c r="B993" s="30" t="s">
        <v>139</v>
      </c>
      <c r="C993" s="30" t="s">
        <v>244</v>
      </c>
      <c r="D993" s="30" t="s">
        <v>244</v>
      </c>
      <c r="E993" s="35">
        <v>42830.0</v>
      </c>
      <c r="F993" s="37" t="s">
        <v>150</v>
      </c>
      <c r="G993" s="30" t="s">
        <v>5097</v>
      </c>
      <c r="H993" s="30" t="s">
        <v>2544</v>
      </c>
      <c r="I993" s="30" t="s">
        <v>626</v>
      </c>
      <c r="J993" s="30" t="s">
        <v>146</v>
      </c>
      <c r="K993" s="30" t="s">
        <v>5659</v>
      </c>
      <c r="L993" s="30" t="s">
        <v>1348</v>
      </c>
      <c r="M993" s="30" t="s">
        <v>1036</v>
      </c>
      <c r="N993" s="30" t="s">
        <v>145</v>
      </c>
      <c r="O993" s="30" t="s">
        <v>145</v>
      </c>
      <c r="P993" s="30" t="s">
        <v>145</v>
      </c>
      <c r="Q993" s="30" t="s">
        <v>1898</v>
      </c>
    </row>
    <row r="994" hidden="1">
      <c r="A994" s="33" t="s">
        <v>5078</v>
      </c>
      <c r="B994" s="30" t="s">
        <v>139</v>
      </c>
      <c r="C994" s="30" t="s">
        <v>244</v>
      </c>
      <c r="D994" s="30" t="s">
        <v>244</v>
      </c>
      <c r="E994" s="35">
        <v>42830.0</v>
      </c>
      <c r="F994" s="37" t="s">
        <v>150</v>
      </c>
      <c r="G994" s="30" t="s">
        <v>140</v>
      </c>
      <c r="H994" s="30" t="s">
        <v>2544</v>
      </c>
      <c r="I994" s="30" t="s">
        <v>1831</v>
      </c>
      <c r="J994" s="30" t="s">
        <v>146</v>
      </c>
      <c r="K994" s="30" t="s">
        <v>5664</v>
      </c>
      <c r="L994" s="30" t="s">
        <v>1348</v>
      </c>
      <c r="M994" s="30" t="s">
        <v>1036</v>
      </c>
      <c r="N994" s="30" t="s">
        <v>145</v>
      </c>
      <c r="O994" s="30" t="s">
        <v>145</v>
      </c>
      <c r="P994" s="30" t="s">
        <v>145</v>
      </c>
      <c r="Q994" s="30" t="s">
        <v>1898</v>
      </c>
    </row>
    <row r="995" hidden="1">
      <c r="A995" s="33" t="s">
        <v>5082</v>
      </c>
      <c r="B995" s="30" t="s">
        <v>139</v>
      </c>
      <c r="C995" s="30" t="s">
        <v>244</v>
      </c>
      <c r="D995" s="30" t="s">
        <v>244</v>
      </c>
      <c r="E995" s="35">
        <v>42830.0</v>
      </c>
      <c r="F995" s="37" t="s">
        <v>150</v>
      </c>
      <c r="G995" s="30" t="s">
        <v>140</v>
      </c>
      <c r="H995" s="30" t="s">
        <v>144</v>
      </c>
      <c r="I995" s="30" t="s">
        <v>146</v>
      </c>
      <c r="J995" s="30" t="s">
        <v>146</v>
      </c>
      <c r="K995" s="30" t="s">
        <v>5670</v>
      </c>
      <c r="L995" s="30" t="s">
        <v>1348</v>
      </c>
      <c r="M995" s="30" t="s">
        <v>1036</v>
      </c>
      <c r="N995" s="30" t="s">
        <v>145</v>
      </c>
      <c r="O995" s="30" t="s">
        <v>145</v>
      </c>
      <c r="P995" s="30" t="s">
        <v>145</v>
      </c>
      <c r="Q995" s="30" t="s">
        <v>1898</v>
      </c>
    </row>
    <row r="996" hidden="1">
      <c r="A996" s="33" t="s">
        <v>5087</v>
      </c>
      <c r="B996" s="30" t="s">
        <v>139</v>
      </c>
      <c r="C996" s="30" t="s">
        <v>244</v>
      </c>
      <c r="D996" s="30" t="s">
        <v>244</v>
      </c>
      <c r="E996" s="35">
        <v>42830.0</v>
      </c>
      <c r="F996" s="37" t="s">
        <v>150</v>
      </c>
      <c r="G996" s="30" t="s">
        <v>626</v>
      </c>
      <c r="H996" s="30" t="s">
        <v>146</v>
      </c>
      <c r="I996" s="30" t="s">
        <v>264</v>
      </c>
      <c r="J996" s="30" t="s">
        <v>163</v>
      </c>
      <c r="K996" s="30" t="s">
        <v>5677</v>
      </c>
      <c r="L996" s="30" t="s">
        <v>1348</v>
      </c>
      <c r="M996" s="30" t="s">
        <v>1036</v>
      </c>
      <c r="N996" s="30" t="s">
        <v>145</v>
      </c>
      <c r="O996" s="30" t="s">
        <v>145</v>
      </c>
      <c r="P996" s="30" t="s">
        <v>145</v>
      </c>
      <c r="Q996" s="30" t="s">
        <v>1898</v>
      </c>
    </row>
    <row r="997" hidden="1">
      <c r="A997" s="33" t="s">
        <v>5091</v>
      </c>
      <c r="B997" s="30" t="s">
        <v>139</v>
      </c>
      <c r="C997" s="30" t="s">
        <v>244</v>
      </c>
      <c r="D997" s="30" t="s">
        <v>244</v>
      </c>
      <c r="E997" s="35">
        <v>42830.0</v>
      </c>
      <c r="F997" s="37" t="s">
        <v>150</v>
      </c>
      <c r="G997" s="30" t="s">
        <v>4095</v>
      </c>
      <c r="H997" s="30" t="s">
        <v>2544</v>
      </c>
      <c r="I997" s="30" t="s">
        <v>185</v>
      </c>
      <c r="J997" s="30" t="s">
        <v>146</v>
      </c>
      <c r="K997" s="30" t="s">
        <v>5686</v>
      </c>
      <c r="L997" s="30" t="s">
        <v>2944</v>
      </c>
      <c r="M997" s="30" t="s">
        <v>5522</v>
      </c>
      <c r="N997" s="30" t="s">
        <v>145</v>
      </c>
      <c r="O997" s="30" t="s">
        <v>145</v>
      </c>
      <c r="P997" s="30" t="s">
        <v>145</v>
      </c>
      <c r="Q997" s="30" t="s">
        <v>1898</v>
      </c>
    </row>
    <row r="998" hidden="1">
      <c r="A998" s="33" t="s">
        <v>5095</v>
      </c>
      <c r="B998" s="30" t="s">
        <v>139</v>
      </c>
      <c r="C998" s="30" t="s">
        <v>609</v>
      </c>
      <c r="D998" s="30" t="s">
        <v>609</v>
      </c>
      <c r="E998" s="35">
        <v>42830.0</v>
      </c>
      <c r="F998" s="37" t="s">
        <v>150</v>
      </c>
      <c r="G998" s="30" t="s">
        <v>5696</v>
      </c>
      <c r="H998" s="30" t="s">
        <v>4738</v>
      </c>
      <c r="I998" s="30" t="s">
        <v>185</v>
      </c>
      <c r="J998" s="30" t="s">
        <v>4736</v>
      </c>
      <c r="K998" s="30" t="s">
        <v>5697</v>
      </c>
      <c r="L998" s="30" t="s">
        <v>5351</v>
      </c>
      <c r="M998" s="30" t="s">
        <v>1036</v>
      </c>
      <c r="N998" s="30" t="s">
        <v>145</v>
      </c>
      <c r="O998" s="30" t="s">
        <v>145</v>
      </c>
      <c r="P998" s="30" t="s">
        <v>145</v>
      </c>
      <c r="Q998" s="30" t="s">
        <v>1898</v>
      </c>
    </row>
    <row r="999" hidden="1">
      <c r="A999" s="33" t="s">
        <v>5100</v>
      </c>
      <c r="B999" s="30" t="s">
        <v>139</v>
      </c>
      <c r="C999" s="30" t="s">
        <v>244</v>
      </c>
      <c r="D999" s="30" t="s">
        <v>244</v>
      </c>
      <c r="E999" s="35">
        <v>42830.0</v>
      </c>
      <c r="F999" s="37" t="s">
        <v>150</v>
      </c>
      <c r="G999" s="30" t="s">
        <v>626</v>
      </c>
      <c r="H999" s="30" t="s">
        <v>146</v>
      </c>
      <c r="I999" s="30" t="s">
        <v>163</v>
      </c>
      <c r="J999" s="30" t="s">
        <v>4738</v>
      </c>
      <c r="K999" s="30" t="s">
        <v>5705</v>
      </c>
      <c r="L999" s="30" t="s">
        <v>1348</v>
      </c>
      <c r="M999" s="30" t="s">
        <v>1036</v>
      </c>
      <c r="N999" s="30" t="s">
        <v>145</v>
      </c>
      <c r="O999" s="30" t="s">
        <v>145</v>
      </c>
      <c r="P999" s="30" t="s">
        <v>145</v>
      </c>
      <c r="Q999" s="30" t="s">
        <v>1898</v>
      </c>
    </row>
    <row r="1000" hidden="1">
      <c r="A1000" s="33" t="s">
        <v>5103</v>
      </c>
      <c r="B1000" s="30" t="s">
        <v>139</v>
      </c>
      <c r="C1000" s="30" t="s">
        <v>244</v>
      </c>
      <c r="D1000" s="30" t="s">
        <v>244</v>
      </c>
      <c r="E1000" s="35">
        <v>42830.0</v>
      </c>
      <c r="F1000" s="37" t="s">
        <v>150</v>
      </c>
      <c r="G1000" s="30" t="s">
        <v>5097</v>
      </c>
      <c r="H1000" s="30" t="s">
        <v>2544</v>
      </c>
      <c r="I1000" s="30" t="s">
        <v>2419</v>
      </c>
      <c r="J1000" s="30" t="s">
        <v>146</v>
      </c>
      <c r="K1000" s="30" t="s">
        <v>5521</v>
      </c>
      <c r="L1000" s="30" t="s">
        <v>1348</v>
      </c>
      <c r="M1000" s="30" t="s">
        <v>1036</v>
      </c>
      <c r="N1000" s="30" t="s">
        <v>145</v>
      </c>
      <c r="O1000" s="30" t="s">
        <v>145</v>
      </c>
      <c r="P1000" s="30" t="s">
        <v>145</v>
      </c>
      <c r="Q1000" s="30" t="s">
        <v>1898</v>
      </c>
    </row>
    <row r="1001" hidden="1">
      <c r="A1001" s="33" t="s">
        <v>5109</v>
      </c>
      <c r="B1001" s="30" t="s">
        <v>139</v>
      </c>
      <c r="C1001" s="30" t="s">
        <v>140</v>
      </c>
      <c r="D1001" s="30" t="s">
        <v>140</v>
      </c>
      <c r="E1001" s="35">
        <v>42825.0</v>
      </c>
      <c r="F1001" s="37" t="s">
        <v>184</v>
      </c>
      <c r="G1001" s="30" t="s">
        <v>1322</v>
      </c>
      <c r="H1001" s="30" t="s">
        <v>145</v>
      </c>
      <c r="I1001" s="30" t="s">
        <v>146</v>
      </c>
      <c r="J1001" s="30" t="s">
        <v>146</v>
      </c>
      <c r="K1001" s="30" t="s">
        <v>146</v>
      </c>
      <c r="L1001" s="2" t="s">
        <v>146</v>
      </c>
      <c r="M1001" s="30" t="s">
        <v>145</v>
      </c>
      <c r="N1001" s="30" t="s">
        <v>145</v>
      </c>
      <c r="O1001" s="30" t="s">
        <v>145</v>
      </c>
      <c r="P1001" s="30" t="s">
        <v>145</v>
      </c>
      <c r="Q1001" s="30" t="s">
        <v>146</v>
      </c>
    </row>
    <row r="1002" hidden="1">
      <c r="A1002" s="33" t="s">
        <v>5112</v>
      </c>
      <c r="B1002" s="30" t="s">
        <v>139</v>
      </c>
      <c r="C1002" s="30" t="s">
        <v>155</v>
      </c>
      <c r="D1002" s="30" t="s">
        <v>141</v>
      </c>
      <c r="E1002" s="35">
        <v>42824.0</v>
      </c>
      <c r="F1002" s="37" t="s">
        <v>150</v>
      </c>
      <c r="G1002" s="30" t="s">
        <v>140</v>
      </c>
      <c r="H1002" s="30" t="s">
        <v>180</v>
      </c>
      <c r="I1002" s="30" t="s">
        <v>550</v>
      </c>
      <c r="J1002" s="30" t="s">
        <v>146</v>
      </c>
      <c r="K1002" s="30" t="s">
        <v>163</v>
      </c>
      <c r="L1002" s="30" t="s">
        <v>146</v>
      </c>
      <c r="M1002" s="30" t="s">
        <v>2329</v>
      </c>
      <c r="N1002" s="30" t="s">
        <v>145</v>
      </c>
      <c r="O1002" s="30" t="s">
        <v>145</v>
      </c>
      <c r="P1002" s="30" t="s">
        <v>145</v>
      </c>
      <c r="Q1002" s="30" t="s">
        <v>158</v>
      </c>
    </row>
    <row r="1003" hidden="1">
      <c r="A1003" s="33" t="s">
        <v>5115</v>
      </c>
      <c r="B1003" s="30" t="s">
        <v>139</v>
      </c>
      <c r="C1003" s="30" t="s">
        <v>337</v>
      </c>
      <c r="D1003" s="30" t="s">
        <v>177</v>
      </c>
      <c r="E1003" s="35">
        <v>42823.0</v>
      </c>
      <c r="F1003" s="37" t="s">
        <v>154</v>
      </c>
      <c r="G1003" s="30" t="s">
        <v>4642</v>
      </c>
      <c r="H1003" s="30" t="s">
        <v>145</v>
      </c>
      <c r="I1003" s="30" t="s">
        <v>145</v>
      </c>
      <c r="J1003" s="30" t="s">
        <v>145</v>
      </c>
      <c r="K1003" s="30" t="s">
        <v>145</v>
      </c>
      <c r="L1003" s="30" t="s">
        <v>145</v>
      </c>
      <c r="M1003" s="30" t="s">
        <v>145</v>
      </c>
      <c r="N1003" s="30" t="s">
        <v>145</v>
      </c>
      <c r="O1003" s="30" t="s">
        <v>145</v>
      </c>
      <c r="P1003" s="30" t="s">
        <v>145</v>
      </c>
      <c r="Q1003" s="30" t="s">
        <v>1471</v>
      </c>
    </row>
    <row r="1004" hidden="1">
      <c r="A1004" s="33" t="s">
        <v>5119</v>
      </c>
      <c r="B1004" s="30" t="s">
        <v>139</v>
      </c>
      <c r="C1004" s="30" t="s">
        <v>453</v>
      </c>
      <c r="D1004" s="30" t="s">
        <v>177</v>
      </c>
      <c r="E1004" s="35">
        <v>42823.0</v>
      </c>
      <c r="F1004" s="37" t="s">
        <v>154</v>
      </c>
      <c r="G1004" s="30" t="s">
        <v>4642</v>
      </c>
      <c r="H1004" s="30" t="s">
        <v>145</v>
      </c>
      <c r="I1004" s="30" t="s">
        <v>145</v>
      </c>
      <c r="J1004" s="30" t="s">
        <v>145</v>
      </c>
      <c r="K1004" s="30" t="s">
        <v>145</v>
      </c>
      <c r="L1004" s="30" t="s">
        <v>145</v>
      </c>
      <c r="M1004" s="30" t="s">
        <v>145</v>
      </c>
      <c r="N1004" s="30" t="s">
        <v>145</v>
      </c>
      <c r="O1004" s="30" t="s">
        <v>145</v>
      </c>
      <c r="P1004" s="30" t="s">
        <v>145</v>
      </c>
      <c r="Q1004" s="30" t="s">
        <v>1471</v>
      </c>
    </row>
    <row r="1005" hidden="1">
      <c r="A1005" s="33" t="s">
        <v>5121</v>
      </c>
      <c r="B1005" s="30" t="s">
        <v>139</v>
      </c>
      <c r="C1005" s="30" t="s">
        <v>140</v>
      </c>
      <c r="D1005" s="30" t="s">
        <v>177</v>
      </c>
      <c r="E1005" s="35">
        <v>42823.0</v>
      </c>
      <c r="F1005" s="37" t="s">
        <v>150</v>
      </c>
      <c r="G1005" s="30" t="s">
        <v>140</v>
      </c>
      <c r="H1005" s="30" t="s">
        <v>1036</v>
      </c>
      <c r="I1005" s="30" t="s">
        <v>171</v>
      </c>
      <c r="J1005" s="30" t="s">
        <v>146</v>
      </c>
      <c r="K1005" s="30" t="s">
        <v>146</v>
      </c>
      <c r="L1005" s="30" t="s">
        <v>146</v>
      </c>
      <c r="M1005" s="30" t="s">
        <v>1493</v>
      </c>
      <c r="N1005" s="30" t="s">
        <v>145</v>
      </c>
      <c r="O1005" s="30" t="s">
        <v>145</v>
      </c>
      <c r="P1005" s="30" t="s">
        <v>145</v>
      </c>
      <c r="Q1005" s="30" t="s">
        <v>146</v>
      </c>
    </row>
    <row r="1006" hidden="1">
      <c r="A1006" s="33" t="s">
        <v>5124</v>
      </c>
      <c r="B1006" s="30" t="s">
        <v>139</v>
      </c>
      <c r="C1006" s="30" t="s">
        <v>609</v>
      </c>
      <c r="D1006" s="30" t="s">
        <v>609</v>
      </c>
      <c r="E1006" s="35">
        <v>42823.0</v>
      </c>
      <c r="F1006" s="37" t="s">
        <v>150</v>
      </c>
      <c r="G1006" s="30" t="s">
        <v>163</v>
      </c>
      <c r="H1006" s="162" t="s">
        <v>145</v>
      </c>
      <c r="I1006" s="30" t="s">
        <v>146</v>
      </c>
      <c r="J1006" s="30" t="s">
        <v>5307</v>
      </c>
      <c r="K1006" s="30" t="s">
        <v>5307</v>
      </c>
      <c r="L1006" s="30" t="s">
        <v>5749</v>
      </c>
      <c r="M1006" s="30" t="s">
        <v>1831</v>
      </c>
      <c r="N1006" s="30" t="s">
        <v>145</v>
      </c>
      <c r="O1006" s="30" t="s">
        <v>145</v>
      </c>
      <c r="P1006" s="30" t="s">
        <v>145</v>
      </c>
      <c r="Q1006" s="30" t="s">
        <v>1898</v>
      </c>
    </row>
    <row r="1007" hidden="1">
      <c r="A1007" s="33" t="s">
        <v>5127</v>
      </c>
      <c r="B1007" s="30" t="s">
        <v>139</v>
      </c>
      <c r="C1007" s="30" t="s">
        <v>609</v>
      </c>
      <c r="D1007" s="30" t="s">
        <v>609</v>
      </c>
      <c r="E1007" s="35">
        <v>42823.0</v>
      </c>
      <c r="F1007" s="37" t="s">
        <v>150</v>
      </c>
      <c r="G1007" s="30" t="s">
        <v>163</v>
      </c>
      <c r="H1007" s="30" t="s">
        <v>146</v>
      </c>
      <c r="I1007" s="30" t="s">
        <v>146</v>
      </c>
      <c r="J1007" s="30" t="s">
        <v>5307</v>
      </c>
      <c r="K1007" s="30" t="s">
        <v>5756</v>
      </c>
      <c r="L1007" s="30" t="s">
        <v>2419</v>
      </c>
      <c r="M1007" s="30" t="s">
        <v>1831</v>
      </c>
      <c r="N1007" s="30" t="s">
        <v>145</v>
      </c>
      <c r="O1007" s="30" t="s">
        <v>145</v>
      </c>
      <c r="P1007" s="30" t="s">
        <v>145</v>
      </c>
      <c r="Q1007" s="30" t="s">
        <v>1898</v>
      </c>
    </row>
    <row r="1008" hidden="1">
      <c r="A1008" s="33" t="s">
        <v>5133</v>
      </c>
      <c r="B1008" s="30" t="s">
        <v>139</v>
      </c>
      <c r="C1008" s="30" t="s">
        <v>177</v>
      </c>
      <c r="D1008" s="30" t="s">
        <v>177</v>
      </c>
      <c r="E1008" s="35">
        <v>42823.0</v>
      </c>
      <c r="F1008" s="37" t="s">
        <v>150</v>
      </c>
      <c r="G1008" s="30" t="s">
        <v>5763</v>
      </c>
      <c r="H1008" s="30" t="s">
        <v>4738</v>
      </c>
      <c r="I1008" s="30" t="s">
        <v>654</v>
      </c>
      <c r="J1008" s="30" t="s">
        <v>146</v>
      </c>
      <c r="K1008" s="30" t="s">
        <v>5765</v>
      </c>
      <c r="L1008" s="30" t="s">
        <v>2419</v>
      </c>
      <c r="M1008" s="30" t="s">
        <v>1831</v>
      </c>
      <c r="N1008" s="30" t="s">
        <v>145</v>
      </c>
      <c r="O1008" s="30" t="s">
        <v>145</v>
      </c>
      <c r="P1008" s="30" t="s">
        <v>145</v>
      </c>
      <c r="Q1008" s="30" t="s">
        <v>1898</v>
      </c>
    </row>
    <row r="1009" hidden="1">
      <c r="A1009" s="33" t="s">
        <v>5140</v>
      </c>
      <c r="B1009" s="30" t="s">
        <v>139</v>
      </c>
      <c r="C1009" s="30" t="s">
        <v>609</v>
      </c>
      <c r="D1009" s="30" t="s">
        <v>609</v>
      </c>
      <c r="E1009" s="35">
        <v>42823.0</v>
      </c>
      <c r="F1009" s="37" t="s">
        <v>150</v>
      </c>
      <c r="G1009" s="30" t="s">
        <v>163</v>
      </c>
      <c r="H1009" s="30" t="s">
        <v>146</v>
      </c>
      <c r="I1009" s="30" t="s">
        <v>4738</v>
      </c>
      <c r="J1009" s="30" t="s">
        <v>5307</v>
      </c>
      <c r="K1009" s="30" t="s">
        <v>5307</v>
      </c>
      <c r="L1009" s="30" t="s">
        <v>5749</v>
      </c>
      <c r="M1009" s="30" t="s">
        <v>1831</v>
      </c>
      <c r="N1009" s="30" t="s">
        <v>145</v>
      </c>
      <c r="O1009" s="30" t="s">
        <v>145</v>
      </c>
      <c r="P1009" s="30" t="s">
        <v>145</v>
      </c>
      <c r="Q1009" s="30" t="s">
        <v>1898</v>
      </c>
    </row>
    <row r="1010" hidden="1">
      <c r="A1010" s="33" t="s">
        <v>5142</v>
      </c>
      <c r="B1010" s="30" t="s">
        <v>139</v>
      </c>
      <c r="C1010" s="30" t="s">
        <v>453</v>
      </c>
      <c r="D1010" s="30" t="s">
        <v>453</v>
      </c>
      <c r="E1010" s="35">
        <v>42817.0</v>
      </c>
      <c r="F1010" s="37" t="s">
        <v>143</v>
      </c>
      <c r="G1010" s="30" t="s">
        <v>5779</v>
      </c>
      <c r="H1010" s="30" t="s">
        <v>145</v>
      </c>
      <c r="I1010" s="30" t="s">
        <v>145</v>
      </c>
      <c r="J1010" s="30" t="s">
        <v>145</v>
      </c>
      <c r="K1010" s="30" t="s">
        <v>145</v>
      </c>
      <c r="L1010" s="30" t="s">
        <v>145</v>
      </c>
      <c r="M1010" s="30" t="s">
        <v>145</v>
      </c>
      <c r="N1010" s="30" t="s">
        <v>145</v>
      </c>
      <c r="O1010" s="30" t="s">
        <v>145</v>
      </c>
      <c r="P1010" s="30" t="s">
        <v>145</v>
      </c>
      <c r="Q1010" s="30" t="s">
        <v>457</v>
      </c>
    </row>
    <row r="1011" hidden="1">
      <c r="A1011" s="33" t="s">
        <v>5147</v>
      </c>
      <c r="B1011" s="30" t="s">
        <v>139</v>
      </c>
      <c r="C1011" s="30" t="s">
        <v>283</v>
      </c>
      <c r="D1011" s="30" t="s">
        <v>216</v>
      </c>
      <c r="E1011" s="35">
        <v>42817.0</v>
      </c>
      <c r="F1011" s="37" t="s">
        <v>150</v>
      </c>
      <c r="G1011" s="30" t="s">
        <v>5788</v>
      </c>
      <c r="H1011" s="30" t="s">
        <v>4738</v>
      </c>
      <c r="I1011" s="30" t="s">
        <v>4738</v>
      </c>
      <c r="J1011" s="30" t="s">
        <v>5789</v>
      </c>
      <c r="K1011" s="30" t="s">
        <v>4738</v>
      </c>
      <c r="L1011" s="30" t="s">
        <v>4738</v>
      </c>
      <c r="M1011" s="30" t="s">
        <v>5792</v>
      </c>
      <c r="N1011" s="30" t="s">
        <v>145</v>
      </c>
      <c r="O1011" s="30" t="s">
        <v>145</v>
      </c>
      <c r="P1011" s="30" t="s">
        <v>145</v>
      </c>
      <c r="Q1011" s="30" t="s">
        <v>407</v>
      </c>
    </row>
    <row r="1012" hidden="1">
      <c r="A1012" s="33" t="s">
        <v>5152</v>
      </c>
      <c r="B1012" s="30" t="s">
        <v>139</v>
      </c>
      <c r="C1012" s="30" t="s">
        <v>4827</v>
      </c>
      <c r="D1012" s="30" t="s">
        <v>140</v>
      </c>
      <c r="E1012" s="35">
        <v>42815.0</v>
      </c>
      <c r="F1012" s="37" t="s">
        <v>154</v>
      </c>
      <c r="G1012" s="30" t="s">
        <v>146</v>
      </c>
      <c r="H1012" s="30" t="s">
        <v>145</v>
      </c>
      <c r="I1012" s="30" t="s">
        <v>145</v>
      </c>
      <c r="J1012" s="30" t="s">
        <v>145</v>
      </c>
      <c r="K1012" s="30" t="s">
        <v>145</v>
      </c>
      <c r="L1012" s="30" t="s">
        <v>145</v>
      </c>
      <c r="M1012" s="30" t="s">
        <v>145</v>
      </c>
      <c r="N1012" s="30" t="s">
        <v>145</v>
      </c>
      <c r="O1012" s="30" t="s">
        <v>145</v>
      </c>
      <c r="P1012" s="30" t="s">
        <v>145</v>
      </c>
      <c r="Q1012" s="30" t="s">
        <v>146</v>
      </c>
    </row>
    <row r="1013" hidden="1">
      <c r="A1013" s="33" t="s">
        <v>5155</v>
      </c>
      <c r="B1013" s="30" t="s">
        <v>139</v>
      </c>
      <c r="C1013" s="30" t="s">
        <v>140</v>
      </c>
      <c r="D1013" s="30" t="s">
        <v>140</v>
      </c>
      <c r="E1013" s="35">
        <v>42815.0</v>
      </c>
      <c r="F1013" s="37" t="s">
        <v>184</v>
      </c>
      <c r="G1013" s="30" t="s">
        <v>5807</v>
      </c>
      <c r="H1013" s="30" t="s">
        <v>145</v>
      </c>
      <c r="I1013" s="30" t="s">
        <v>146</v>
      </c>
      <c r="J1013" s="30" t="s">
        <v>1536</v>
      </c>
      <c r="K1013" s="2" t="s">
        <v>146</v>
      </c>
      <c r="L1013" s="30" t="s">
        <v>145</v>
      </c>
      <c r="M1013" s="30" t="s">
        <v>145</v>
      </c>
      <c r="N1013" s="30" t="s">
        <v>145</v>
      </c>
      <c r="O1013" s="30" t="s">
        <v>145</v>
      </c>
      <c r="P1013" s="30" t="s">
        <v>145</v>
      </c>
      <c r="Q1013" s="30" t="s">
        <v>146</v>
      </c>
    </row>
    <row r="1014" hidden="1">
      <c r="A1014" s="33" t="s">
        <v>5160</v>
      </c>
      <c r="B1014" s="30" t="s">
        <v>139</v>
      </c>
      <c r="C1014" s="30" t="s">
        <v>5164</v>
      </c>
      <c r="D1014" s="30" t="s">
        <v>141</v>
      </c>
      <c r="E1014" s="35">
        <v>42809.0</v>
      </c>
      <c r="F1014" s="37" t="s">
        <v>150</v>
      </c>
      <c r="G1014" s="30" t="s">
        <v>140</v>
      </c>
      <c r="H1014" s="30" t="s">
        <v>432</v>
      </c>
      <c r="I1014" s="30" t="s">
        <v>146</v>
      </c>
      <c r="J1014" s="30" t="s">
        <v>163</v>
      </c>
      <c r="K1014" s="30" t="s">
        <v>146</v>
      </c>
      <c r="L1014" s="30" t="s">
        <v>146</v>
      </c>
      <c r="M1014" s="30" t="s">
        <v>4018</v>
      </c>
      <c r="N1014" s="30" t="s">
        <v>145</v>
      </c>
      <c r="O1014" s="30" t="s">
        <v>145</v>
      </c>
      <c r="P1014" s="30" t="s">
        <v>145</v>
      </c>
      <c r="Q1014" s="30" t="s">
        <v>5813</v>
      </c>
    </row>
    <row r="1015" hidden="1">
      <c r="A1015" s="33" t="s">
        <v>5165</v>
      </c>
      <c r="B1015" s="30" t="s">
        <v>139</v>
      </c>
      <c r="C1015" s="30" t="s">
        <v>141</v>
      </c>
      <c r="D1015" s="30" t="s">
        <v>141</v>
      </c>
      <c r="E1015" s="35">
        <v>42809.0</v>
      </c>
      <c r="F1015" s="37" t="s">
        <v>150</v>
      </c>
      <c r="G1015" s="30" t="s">
        <v>163</v>
      </c>
      <c r="H1015" s="30" t="s">
        <v>146</v>
      </c>
      <c r="I1015" s="30" t="s">
        <v>626</v>
      </c>
      <c r="J1015" s="30" t="s">
        <v>5819</v>
      </c>
      <c r="K1015" s="30" t="s">
        <v>5820</v>
      </c>
      <c r="L1015" s="30" t="s">
        <v>4762</v>
      </c>
      <c r="M1015" s="30" t="s">
        <v>5821</v>
      </c>
      <c r="N1015" s="30" t="s">
        <v>145</v>
      </c>
      <c r="O1015" s="30" t="s">
        <v>145</v>
      </c>
      <c r="P1015" s="30" t="s">
        <v>145</v>
      </c>
      <c r="Q1015" s="30" t="s">
        <v>180</v>
      </c>
    </row>
    <row r="1016" hidden="1">
      <c r="A1016" s="33" t="s">
        <v>5169</v>
      </c>
      <c r="B1016" s="30" t="s">
        <v>139</v>
      </c>
      <c r="C1016" s="30" t="s">
        <v>5164</v>
      </c>
      <c r="D1016" s="30" t="s">
        <v>141</v>
      </c>
      <c r="E1016" s="35">
        <v>42809.0</v>
      </c>
      <c r="F1016" s="37" t="s">
        <v>150</v>
      </c>
      <c r="G1016" s="30" t="s">
        <v>163</v>
      </c>
      <c r="H1016" s="30" t="s">
        <v>146</v>
      </c>
      <c r="I1016" s="30" t="s">
        <v>540</v>
      </c>
      <c r="J1016" s="30" t="s">
        <v>146</v>
      </c>
      <c r="K1016" s="30" t="s">
        <v>5820</v>
      </c>
      <c r="L1016" s="30" t="s">
        <v>5813</v>
      </c>
      <c r="M1016" s="30" t="s">
        <v>4762</v>
      </c>
      <c r="N1016" s="30" t="s">
        <v>145</v>
      </c>
      <c r="O1016" s="30" t="s">
        <v>145</v>
      </c>
      <c r="P1016" s="30" t="s">
        <v>145</v>
      </c>
      <c r="Q1016" s="30" t="s">
        <v>5813</v>
      </c>
    </row>
    <row r="1017" hidden="1">
      <c r="A1017" s="33" t="s">
        <v>5174</v>
      </c>
      <c r="B1017" s="30" t="s">
        <v>139</v>
      </c>
      <c r="C1017" s="30" t="s">
        <v>5164</v>
      </c>
      <c r="D1017" s="30" t="s">
        <v>141</v>
      </c>
      <c r="E1017" s="35">
        <v>42809.0</v>
      </c>
      <c r="F1017" s="37" t="s">
        <v>150</v>
      </c>
      <c r="G1017" s="30" t="s">
        <v>140</v>
      </c>
      <c r="H1017" s="30" t="s">
        <v>180</v>
      </c>
      <c r="I1017" s="30" t="s">
        <v>432</v>
      </c>
      <c r="J1017" s="30" t="s">
        <v>163</v>
      </c>
      <c r="K1017" s="30" t="s">
        <v>5819</v>
      </c>
      <c r="L1017" s="30" t="s">
        <v>5837</v>
      </c>
      <c r="M1017" s="30" t="s">
        <v>3846</v>
      </c>
      <c r="N1017" s="30" t="s">
        <v>145</v>
      </c>
      <c r="O1017" s="30" t="s">
        <v>145</v>
      </c>
      <c r="P1017" s="30" t="s">
        <v>145</v>
      </c>
      <c r="Q1017" s="30" t="s">
        <v>5813</v>
      </c>
    </row>
    <row r="1018" hidden="1">
      <c r="A1018" s="33" t="s">
        <v>5176</v>
      </c>
      <c r="B1018" s="30" t="s">
        <v>139</v>
      </c>
      <c r="C1018" s="30" t="s">
        <v>141</v>
      </c>
      <c r="D1018" s="30" t="s">
        <v>141</v>
      </c>
      <c r="E1018" s="35">
        <v>42807.0</v>
      </c>
      <c r="F1018" s="37" t="s">
        <v>150</v>
      </c>
      <c r="G1018" s="30" t="s">
        <v>2142</v>
      </c>
      <c r="H1018" s="30" t="s">
        <v>145</v>
      </c>
      <c r="I1018" s="30" t="s">
        <v>145</v>
      </c>
      <c r="J1018" s="30" t="s">
        <v>145</v>
      </c>
      <c r="K1018" s="30" t="s">
        <v>145</v>
      </c>
      <c r="L1018" s="30" t="s">
        <v>145</v>
      </c>
      <c r="M1018" s="30" t="s">
        <v>145</v>
      </c>
      <c r="N1018" s="30" t="s">
        <v>145</v>
      </c>
      <c r="O1018" s="30" t="s">
        <v>145</v>
      </c>
      <c r="P1018" s="30" t="s">
        <v>145</v>
      </c>
      <c r="Q1018" s="30" t="s">
        <v>180</v>
      </c>
    </row>
    <row r="1019" hidden="1">
      <c r="A1019" s="33" t="s">
        <v>5180</v>
      </c>
      <c r="B1019" s="30" t="s">
        <v>139</v>
      </c>
      <c r="C1019" s="30" t="s">
        <v>453</v>
      </c>
      <c r="D1019" s="30" t="s">
        <v>244</v>
      </c>
      <c r="E1019" s="35">
        <v>42807.0</v>
      </c>
      <c r="F1019" s="37" t="s">
        <v>154</v>
      </c>
      <c r="G1019" s="30" t="s">
        <v>1749</v>
      </c>
      <c r="H1019" s="30" t="s">
        <v>145</v>
      </c>
      <c r="I1019" s="30" t="s">
        <v>145</v>
      </c>
      <c r="J1019" s="30" t="s">
        <v>145</v>
      </c>
      <c r="K1019" s="30" t="s">
        <v>145</v>
      </c>
      <c r="L1019" s="30" t="s">
        <v>145</v>
      </c>
      <c r="M1019" s="30" t="s">
        <v>145</v>
      </c>
      <c r="N1019" s="30" t="s">
        <v>145</v>
      </c>
      <c r="O1019" s="30" t="s">
        <v>145</v>
      </c>
      <c r="P1019" s="30" t="s">
        <v>145</v>
      </c>
      <c r="Q1019" s="30" t="s">
        <v>2544</v>
      </c>
    </row>
    <row r="1020" hidden="1">
      <c r="A1020" s="33" t="s">
        <v>5182</v>
      </c>
      <c r="B1020" s="30" t="s">
        <v>139</v>
      </c>
      <c r="C1020" s="30" t="s">
        <v>155</v>
      </c>
      <c r="D1020" s="30" t="s">
        <v>141</v>
      </c>
      <c r="E1020" s="35">
        <v>42807.0</v>
      </c>
      <c r="F1020" s="37" t="s">
        <v>150</v>
      </c>
      <c r="G1020" s="30" t="s">
        <v>140</v>
      </c>
      <c r="H1020" s="30" t="s">
        <v>503</v>
      </c>
      <c r="I1020" s="30" t="s">
        <v>3076</v>
      </c>
      <c r="J1020" s="30" t="s">
        <v>146</v>
      </c>
      <c r="K1020" s="30" t="s">
        <v>158</v>
      </c>
      <c r="L1020" s="30" t="s">
        <v>158</v>
      </c>
      <c r="M1020" s="30" t="s">
        <v>5855</v>
      </c>
      <c r="N1020" s="30" t="s">
        <v>145</v>
      </c>
      <c r="O1020" s="30" t="s">
        <v>145</v>
      </c>
      <c r="P1020" s="30" t="s">
        <v>145</v>
      </c>
      <c r="Q1020" s="30" t="s">
        <v>158</v>
      </c>
    </row>
    <row r="1021" hidden="1">
      <c r="A1021" s="33" t="s">
        <v>5185</v>
      </c>
      <c r="B1021" s="30" t="s">
        <v>139</v>
      </c>
      <c r="C1021" s="30" t="s">
        <v>244</v>
      </c>
      <c r="D1021" s="30" t="s">
        <v>244</v>
      </c>
      <c r="E1021" s="35">
        <v>42807.0</v>
      </c>
      <c r="F1021" s="37" t="s">
        <v>150</v>
      </c>
      <c r="G1021" s="30" t="s">
        <v>5860</v>
      </c>
      <c r="H1021" s="30" t="s">
        <v>4738</v>
      </c>
      <c r="I1021" s="30" t="s">
        <v>743</v>
      </c>
      <c r="J1021" s="30" t="s">
        <v>407</v>
      </c>
      <c r="K1021" s="30" t="s">
        <v>5863</v>
      </c>
      <c r="L1021" s="30" t="s">
        <v>5864</v>
      </c>
      <c r="M1021" s="30" t="s">
        <v>5865</v>
      </c>
      <c r="N1021" s="30" t="s">
        <v>145</v>
      </c>
      <c r="O1021" s="30" t="s">
        <v>145</v>
      </c>
      <c r="P1021" s="30" t="s">
        <v>145</v>
      </c>
      <c r="Q1021" s="30" t="s">
        <v>1898</v>
      </c>
    </row>
    <row r="1022" hidden="1">
      <c r="A1022" s="33" t="s">
        <v>5188</v>
      </c>
      <c r="B1022" s="30" t="s">
        <v>139</v>
      </c>
      <c r="C1022" s="30" t="s">
        <v>140</v>
      </c>
      <c r="D1022" s="30" t="s">
        <v>4728</v>
      </c>
      <c r="E1022" s="35">
        <v>42804.0</v>
      </c>
      <c r="F1022" s="37" t="s">
        <v>269</v>
      </c>
      <c r="G1022" s="30" t="s">
        <v>5870</v>
      </c>
      <c r="H1022" s="2" t="s">
        <v>5871</v>
      </c>
      <c r="I1022" s="30" t="s">
        <v>145</v>
      </c>
      <c r="J1022" s="30" t="s">
        <v>145</v>
      </c>
      <c r="K1022" s="30" t="s">
        <v>145</v>
      </c>
      <c r="L1022" s="30" t="s">
        <v>145</v>
      </c>
      <c r="M1022" s="30" t="s">
        <v>145</v>
      </c>
      <c r="N1022" s="30" t="s">
        <v>145</v>
      </c>
      <c r="O1022" s="30" t="s">
        <v>145</v>
      </c>
      <c r="P1022" s="30" t="s">
        <v>145</v>
      </c>
      <c r="Q1022" s="30" t="s">
        <v>146</v>
      </c>
    </row>
    <row r="1023" hidden="1">
      <c r="A1023" s="33" t="s">
        <v>5192</v>
      </c>
      <c r="B1023" s="30" t="s">
        <v>139</v>
      </c>
      <c r="C1023" s="30" t="s">
        <v>5196</v>
      </c>
      <c r="D1023" s="30" t="s">
        <v>141</v>
      </c>
      <c r="E1023" s="35">
        <v>42803.0</v>
      </c>
      <c r="F1023" s="37" t="s">
        <v>150</v>
      </c>
      <c r="G1023" s="30" t="s">
        <v>180</v>
      </c>
      <c r="H1023" s="30" t="s">
        <v>145</v>
      </c>
      <c r="I1023" s="30" t="s">
        <v>145</v>
      </c>
      <c r="J1023" s="30" t="s">
        <v>145</v>
      </c>
      <c r="K1023" s="30" t="s">
        <v>145</v>
      </c>
      <c r="L1023" s="30" t="s">
        <v>145</v>
      </c>
      <c r="M1023" s="30" t="s">
        <v>145</v>
      </c>
      <c r="N1023" s="30" t="s">
        <v>145</v>
      </c>
      <c r="O1023" s="30" t="s">
        <v>145</v>
      </c>
      <c r="P1023" s="30" t="s">
        <v>145</v>
      </c>
      <c r="Q1023" s="30" t="s">
        <v>180</v>
      </c>
    </row>
    <row r="1024" hidden="1">
      <c r="A1024" s="33" t="s">
        <v>5197</v>
      </c>
      <c r="B1024" s="30" t="s">
        <v>139</v>
      </c>
      <c r="C1024" s="30" t="s">
        <v>140</v>
      </c>
      <c r="D1024" s="30" t="s">
        <v>216</v>
      </c>
      <c r="E1024" s="35">
        <v>42802.0</v>
      </c>
      <c r="F1024" s="37" t="s">
        <v>150</v>
      </c>
      <c r="G1024" s="30" t="s">
        <v>503</v>
      </c>
      <c r="H1024" s="30" t="s">
        <v>146</v>
      </c>
      <c r="I1024" s="30" t="s">
        <v>146</v>
      </c>
      <c r="J1024" s="30" t="s">
        <v>146</v>
      </c>
      <c r="K1024" s="30" t="s">
        <v>163</v>
      </c>
      <c r="L1024" s="30" t="s">
        <v>185</v>
      </c>
      <c r="M1024" s="30" t="s">
        <v>146</v>
      </c>
      <c r="N1024" s="30" t="s">
        <v>145</v>
      </c>
      <c r="O1024" s="30" t="s">
        <v>145</v>
      </c>
      <c r="P1024" s="30" t="s">
        <v>145</v>
      </c>
      <c r="Q1024" s="30" t="s">
        <v>146</v>
      </c>
    </row>
    <row r="1025" hidden="1">
      <c r="A1025" s="33" t="s">
        <v>5202</v>
      </c>
      <c r="B1025" s="30" t="s">
        <v>139</v>
      </c>
      <c r="C1025" s="30" t="s">
        <v>5164</v>
      </c>
      <c r="D1025" s="30" t="s">
        <v>141</v>
      </c>
      <c r="E1025" s="35">
        <v>42800.0</v>
      </c>
      <c r="F1025" s="37" t="s">
        <v>150</v>
      </c>
      <c r="G1025" s="30" t="s">
        <v>144</v>
      </c>
      <c r="H1025" s="30" t="s">
        <v>146</v>
      </c>
      <c r="I1025" s="30" t="s">
        <v>146</v>
      </c>
      <c r="J1025" s="30" t="s">
        <v>144</v>
      </c>
      <c r="K1025" s="30" t="s">
        <v>5763</v>
      </c>
      <c r="L1025" s="30" t="s">
        <v>4738</v>
      </c>
      <c r="M1025" s="30" t="s">
        <v>3846</v>
      </c>
      <c r="N1025" s="30" t="s">
        <v>145</v>
      </c>
      <c r="O1025" s="30" t="s">
        <v>145</v>
      </c>
      <c r="P1025" s="30" t="s">
        <v>145</v>
      </c>
      <c r="Q1025" s="30" t="s">
        <v>5813</v>
      </c>
    </row>
    <row r="1026" hidden="1">
      <c r="A1026" s="33" t="s">
        <v>5206</v>
      </c>
      <c r="B1026" s="30" t="s">
        <v>139</v>
      </c>
      <c r="C1026" s="30" t="s">
        <v>140</v>
      </c>
      <c r="D1026" s="30" t="s">
        <v>140</v>
      </c>
      <c r="E1026" s="35">
        <v>42800.0</v>
      </c>
      <c r="F1026" s="37" t="s">
        <v>154</v>
      </c>
      <c r="G1026" s="30" t="s">
        <v>5886</v>
      </c>
      <c r="H1026" s="30" t="s">
        <v>145</v>
      </c>
      <c r="I1026" s="30" t="s">
        <v>145</v>
      </c>
      <c r="J1026" s="30" t="s">
        <v>145</v>
      </c>
      <c r="K1026" s="30" t="s">
        <v>145</v>
      </c>
      <c r="L1026" s="30" t="s">
        <v>145</v>
      </c>
      <c r="M1026" s="30" t="s">
        <v>145</v>
      </c>
      <c r="N1026" s="30" t="s">
        <v>145</v>
      </c>
      <c r="O1026" s="30" t="s">
        <v>145</v>
      </c>
      <c r="P1026" s="30" t="s">
        <v>145</v>
      </c>
      <c r="Q1026" s="30" t="s">
        <v>146</v>
      </c>
    </row>
    <row r="1027" hidden="1">
      <c r="A1027" s="33" t="s">
        <v>5210</v>
      </c>
      <c r="B1027" s="30" t="s">
        <v>139</v>
      </c>
      <c r="C1027" s="30" t="s">
        <v>140</v>
      </c>
      <c r="D1027" s="30" t="s">
        <v>140</v>
      </c>
      <c r="E1027" s="35">
        <v>42797.0</v>
      </c>
      <c r="F1027" s="37" t="s">
        <v>1576</v>
      </c>
      <c r="G1027" s="30" t="s">
        <v>5889</v>
      </c>
      <c r="H1027" s="30" t="s">
        <v>145</v>
      </c>
      <c r="I1027" s="30" t="s">
        <v>146</v>
      </c>
      <c r="J1027" s="30" t="s">
        <v>1711</v>
      </c>
      <c r="K1027" s="2" t="s">
        <v>146</v>
      </c>
      <c r="L1027" s="30" t="s">
        <v>145</v>
      </c>
      <c r="M1027" s="30" t="s">
        <v>145</v>
      </c>
      <c r="N1027" s="30" t="s">
        <v>145</v>
      </c>
      <c r="O1027" s="30" t="s">
        <v>145</v>
      </c>
      <c r="P1027" s="30" t="s">
        <v>145</v>
      </c>
      <c r="Q1027" s="30" t="s">
        <v>146</v>
      </c>
    </row>
    <row r="1028" hidden="1">
      <c r="A1028" s="33" t="s">
        <v>5214</v>
      </c>
      <c r="B1028" s="30" t="s">
        <v>139</v>
      </c>
      <c r="C1028" s="30" t="s">
        <v>141</v>
      </c>
      <c r="D1028" s="30" t="s">
        <v>141</v>
      </c>
      <c r="E1028" s="35">
        <v>42796.0</v>
      </c>
      <c r="F1028" s="37" t="s">
        <v>143</v>
      </c>
      <c r="G1028" s="30" t="s">
        <v>5893</v>
      </c>
      <c r="H1028" s="30" t="s">
        <v>145</v>
      </c>
      <c r="I1028" s="30" t="s">
        <v>145</v>
      </c>
      <c r="J1028" s="30" t="s">
        <v>145</v>
      </c>
      <c r="K1028" s="30" t="s">
        <v>145</v>
      </c>
      <c r="L1028" s="30" t="s">
        <v>145</v>
      </c>
      <c r="M1028" s="30" t="s">
        <v>145</v>
      </c>
      <c r="N1028" s="30" t="s">
        <v>145</v>
      </c>
      <c r="O1028" s="30" t="s">
        <v>145</v>
      </c>
      <c r="P1028" s="30" t="s">
        <v>145</v>
      </c>
      <c r="Q1028" s="30" t="s">
        <v>180</v>
      </c>
    </row>
    <row r="1029" hidden="1">
      <c r="A1029" s="33" t="s">
        <v>5216</v>
      </c>
      <c r="B1029" s="30" t="s">
        <v>139</v>
      </c>
      <c r="C1029" s="30" t="s">
        <v>337</v>
      </c>
      <c r="D1029" s="30" t="s">
        <v>337</v>
      </c>
      <c r="E1029" s="35">
        <v>42796.0</v>
      </c>
      <c r="F1029" s="37" t="s">
        <v>150</v>
      </c>
      <c r="G1029" s="30" t="s">
        <v>140</v>
      </c>
      <c r="H1029" s="30" t="s">
        <v>171</v>
      </c>
      <c r="I1029" s="30" t="s">
        <v>146</v>
      </c>
      <c r="J1029" s="30" t="s">
        <v>5837</v>
      </c>
      <c r="K1029" s="30" t="s">
        <v>5819</v>
      </c>
      <c r="L1029" s="30" t="s">
        <v>146</v>
      </c>
      <c r="M1029" s="30" t="s">
        <v>5343</v>
      </c>
      <c r="N1029" s="30" t="s">
        <v>145</v>
      </c>
      <c r="O1029" s="30" t="s">
        <v>145</v>
      </c>
      <c r="P1029" s="30" t="s">
        <v>145</v>
      </c>
      <c r="Q1029" s="30" t="s">
        <v>404</v>
      </c>
    </row>
    <row r="1030" hidden="1">
      <c r="A1030" s="33" t="s">
        <v>5221</v>
      </c>
      <c r="B1030" s="30" t="s">
        <v>139</v>
      </c>
      <c r="C1030" s="30" t="s">
        <v>337</v>
      </c>
      <c r="D1030" s="30" t="s">
        <v>337</v>
      </c>
      <c r="E1030" s="35">
        <v>42796.0</v>
      </c>
      <c r="F1030" s="37" t="s">
        <v>150</v>
      </c>
      <c r="G1030" s="30" t="s">
        <v>5900</v>
      </c>
      <c r="H1030" s="30" t="s">
        <v>4738</v>
      </c>
      <c r="I1030" s="30" t="s">
        <v>185</v>
      </c>
      <c r="J1030" s="30" t="s">
        <v>3940</v>
      </c>
      <c r="K1030" s="30" t="s">
        <v>5902</v>
      </c>
      <c r="L1030" s="30" t="s">
        <v>5889</v>
      </c>
      <c r="M1030" s="30" t="s">
        <v>1831</v>
      </c>
      <c r="N1030" s="30" t="s">
        <v>145</v>
      </c>
      <c r="O1030" s="30" t="s">
        <v>145</v>
      </c>
      <c r="P1030" s="30" t="s">
        <v>145</v>
      </c>
      <c r="Q1030" s="30" t="s">
        <v>1898</v>
      </c>
    </row>
    <row r="1031" hidden="1">
      <c r="A1031" s="33" t="s">
        <v>5225</v>
      </c>
      <c r="B1031" s="30" t="s">
        <v>139</v>
      </c>
      <c r="C1031" s="30" t="s">
        <v>453</v>
      </c>
      <c r="D1031" s="30" t="s">
        <v>177</v>
      </c>
      <c r="E1031" s="35">
        <v>42795.0</v>
      </c>
      <c r="F1031" s="37" t="s">
        <v>154</v>
      </c>
      <c r="G1031" s="30" t="s">
        <v>5136</v>
      </c>
      <c r="H1031" s="30" t="s">
        <v>145</v>
      </c>
      <c r="I1031" s="30" t="s">
        <v>145</v>
      </c>
      <c r="J1031" s="30" t="s">
        <v>145</v>
      </c>
      <c r="K1031" s="30" t="s">
        <v>145</v>
      </c>
      <c r="L1031" s="30" t="s">
        <v>145</v>
      </c>
      <c r="M1031" s="30" t="s">
        <v>145</v>
      </c>
      <c r="N1031" s="30" t="s">
        <v>145</v>
      </c>
      <c r="O1031" s="30" t="s">
        <v>145</v>
      </c>
      <c r="P1031" s="30" t="s">
        <v>145</v>
      </c>
      <c r="Q1031" s="30" t="s">
        <v>1471</v>
      </c>
    </row>
    <row r="1032" hidden="1">
      <c r="A1032" s="33" t="s">
        <v>5229</v>
      </c>
      <c r="B1032" s="30" t="s">
        <v>139</v>
      </c>
      <c r="C1032" s="30" t="s">
        <v>453</v>
      </c>
      <c r="D1032" s="30" t="s">
        <v>177</v>
      </c>
      <c r="E1032" s="35">
        <v>42795.0</v>
      </c>
      <c r="F1032" s="37" t="s">
        <v>154</v>
      </c>
      <c r="G1032" s="30" t="s">
        <v>3175</v>
      </c>
      <c r="H1032" s="30" t="s">
        <v>145</v>
      </c>
      <c r="I1032" s="30" t="s">
        <v>145</v>
      </c>
      <c r="J1032" s="30" t="s">
        <v>145</v>
      </c>
      <c r="K1032" s="30" t="s">
        <v>145</v>
      </c>
      <c r="L1032" s="30" t="s">
        <v>145</v>
      </c>
      <c r="M1032" s="30" t="s">
        <v>145</v>
      </c>
      <c r="N1032" s="30" t="s">
        <v>145</v>
      </c>
      <c r="O1032" s="30" t="s">
        <v>145</v>
      </c>
      <c r="P1032" s="30" t="s">
        <v>145</v>
      </c>
      <c r="Q1032" s="30" t="s">
        <v>1471</v>
      </c>
    </row>
    <row r="1033" hidden="1">
      <c r="A1033" s="33" t="s">
        <v>5233</v>
      </c>
      <c r="B1033" s="30" t="s">
        <v>139</v>
      </c>
      <c r="C1033" s="30" t="s">
        <v>337</v>
      </c>
      <c r="D1033" s="30" t="s">
        <v>177</v>
      </c>
      <c r="E1033" s="35">
        <v>42795.0</v>
      </c>
      <c r="F1033" s="37" t="s">
        <v>154</v>
      </c>
      <c r="G1033" s="30" t="s">
        <v>1471</v>
      </c>
      <c r="H1033" s="30" t="s">
        <v>145</v>
      </c>
      <c r="I1033" s="30" t="s">
        <v>145</v>
      </c>
      <c r="J1033" s="30" t="s">
        <v>145</v>
      </c>
      <c r="K1033" s="30" t="s">
        <v>145</v>
      </c>
      <c r="L1033" s="30" t="s">
        <v>145</v>
      </c>
      <c r="M1033" s="30" t="s">
        <v>145</v>
      </c>
      <c r="N1033" s="30" t="s">
        <v>145</v>
      </c>
      <c r="O1033" s="30" t="s">
        <v>145</v>
      </c>
      <c r="P1033" s="30" t="s">
        <v>145</v>
      </c>
      <c r="Q1033" s="30" t="s">
        <v>1471</v>
      </c>
    </row>
    <row r="1034" hidden="1">
      <c r="A1034" s="33" t="s">
        <v>5237</v>
      </c>
      <c r="B1034" s="30" t="s">
        <v>139</v>
      </c>
      <c r="C1034" s="30" t="s">
        <v>453</v>
      </c>
      <c r="D1034" s="30" t="s">
        <v>177</v>
      </c>
      <c r="E1034" s="35">
        <v>42795.0</v>
      </c>
      <c r="F1034" s="37" t="s">
        <v>154</v>
      </c>
      <c r="G1034" s="30" t="s">
        <v>5136</v>
      </c>
      <c r="H1034" s="30" t="s">
        <v>145</v>
      </c>
      <c r="I1034" s="30" t="s">
        <v>145</v>
      </c>
      <c r="J1034" s="30" t="s">
        <v>145</v>
      </c>
      <c r="K1034" s="30" t="s">
        <v>145</v>
      </c>
      <c r="L1034" s="30" t="s">
        <v>145</v>
      </c>
      <c r="M1034" s="30" t="s">
        <v>145</v>
      </c>
      <c r="N1034" s="30" t="s">
        <v>145</v>
      </c>
      <c r="O1034" s="30" t="s">
        <v>145</v>
      </c>
      <c r="P1034" s="30" t="s">
        <v>145</v>
      </c>
      <c r="Q1034" s="30" t="s">
        <v>1471</v>
      </c>
    </row>
    <row r="1035" hidden="1">
      <c r="A1035" s="33" t="s">
        <v>5241</v>
      </c>
      <c r="B1035" s="30" t="s">
        <v>139</v>
      </c>
      <c r="C1035" s="30" t="s">
        <v>177</v>
      </c>
      <c r="D1035" s="30" t="s">
        <v>177</v>
      </c>
      <c r="E1035" s="35">
        <v>42795.0</v>
      </c>
      <c r="F1035" s="37" t="s">
        <v>150</v>
      </c>
      <c r="G1035" s="30" t="s">
        <v>140</v>
      </c>
      <c r="H1035" s="30" t="s">
        <v>171</v>
      </c>
      <c r="I1035" s="30" t="s">
        <v>146</v>
      </c>
      <c r="J1035" s="30" t="s">
        <v>4736</v>
      </c>
      <c r="K1035" s="30" t="s">
        <v>5917</v>
      </c>
      <c r="L1035" s="30" t="s">
        <v>5522</v>
      </c>
      <c r="M1035" s="30" t="s">
        <v>2944</v>
      </c>
      <c r="N1035" s="30" t="s">
        <v>145</v>
      </c>
      <c r="O1035" s="30" t="s">
        <v>145</v>
      </c>
      <c r="P1035" s="30" t="s">
        <v>145</v>
      </c>
      <c r="Q1035" s="30" t="s">
        <v>1898</v>
      </c>
    </row>
    <row r="1036" hidden="1">
      <c r="A1036" s="33" t="s">
        <v>5247</v>
      </c>
      <c r="B1036" s="30" t="s">
        <v>139</v>
      </c>
      <c r="C1036" s="30" t="s">
        <v>177</v>
      </c>
      <c r="D1036" s="30" t="s">
        <v>177</v>
      </c>
      <c r="E1036" s="35">
        <v>42795.0</v>
      </c>
      <c r="F1036" s="37" t="s">
        <v>150</v>
      </c>
      <c r="G1036" s="30" t="s">
        <v>140</v>
      </c>
      <c r="H1036" s="30" t="s">
        <v>144</v>
      </c>
      <c r="I1036" s="30" t="s">
        <v>146</v>
      </c>
      <c r="J1036" s="30" t="s">
        <v>5307</v>
      </c>
      <c r="K1036" s="30" t="s">
        <v>5922</v>
      </c>
      <c r="L1036" s="30" t="s">
        <v>550</v>
      </c>
      <c r="M1036" s="30" t="s">
        <v>1000</v>
      </c>
      <c r="N1036" s="30" t="s">
        <v>145</v>
      </c>
      <c r="O1036" s="30" t="s">
        <v>145</v>
      </c>
      <c r="P1036" s="30" t="s">
        <v>145</v>
      </c>
      <c r="Q1036" s="30" t="s">
        <v>1898</v>
      </c>
    </row>
    <row r="1037" hidden="1">
      <c r="A1037" s="33" t="s">
        <v>5251</v>
      </c>
      <c r="B1037" s="30" t="s">
        <v>139</v>
      </c>
      <c r="C1037" s="30" t="s">
        <v>177</v>
      </c>
      <c r="D1037" s="30" t="s">
        <v>177</v>
      </c>
      <c r="E1037" s="35">
        <v>42795.0</v>
      </c>
      <c r="F1037" s="37" t="s">
        <v>150</v>
      </c>
      <c r="G1037" s="30" t="s">
        <v>140</v>
      </c>
      <c r="H1037" s="30" t="s">
        <v>163</v>
      </c>
      <c r="I1037" s="30" t="s">
        <v>146</v>
      </c>
      <c r="J1037" s="30" t="s">
        <v>5696</v>
      </c>
      <c r="K1037" s="30" t="s">
        <v>5917</v>
      </c>
      <c r="L1037" s="30" t="s">
        <v>550</v>
      </c>
      <c r="M1037" s="30" t="s">
        <v>1000</v>
      </c>
      <c r="N1037" s="30" t="s">
        <v>145</v>
      </c>
      <c r="O1037" s="30" t="s">
        <v>145</v>
      </c>
      <c r="P1037" s="30" t="s">
        <v>145</v>
      </c>
      <c r="Q1037" s="30" t="s">
        <v>1898</v>
      </c>
    </row>
    <row r="1038" hidden="1">
      <c r="A1038" s="33" t="s">
        <v>5255</v>
      </c>
      <c r="B1038" s="30" t="s">
        <v>139</v>
      </c>
      <c r="C1038" s="30" t="s">
        <v>337</v>
      </c>
      <c r="D1038" s="30" t="s">
        <v>337</v>
      </c>
      <c r="E1038" s="35">
        <v>42794.0</v>
      </c>
      <c r="F1038" s="37" t="s">
        <v>150</v>
      </c>
      <c r="G1038" s="30" t="s">
        <v>185</v>
      </c>
      <c r="H1038" s="30" t="s">
        <v>146</v>
      </c>
      <c r="I1038" s="30" t="s">
        <v>264</v>
      </c>
      <c r="J1038" s="30" t="s">
        <v>185</v>
      </c>
      <c r="K1038" s="30" t="s">
        <v>144</v>
      </c>
      <c r="L1038" s="30" t="s">
        <v>185</v>
      </c>
      <c r="M1038" s="30" t="s">
        <v>3846</v>
      </c>
      <c r="N1038" s="30" t="s">
        <v>145</v>
      </c>
      <c r="O1038" s="30" t="s">
        <v>145</v>
      </c>
      <c r="P1038" s="30" t="s">
        <v>145</v>
      </c>
      <c r="Q1038" s="30" t="s">
        <v>1898</v>
      </c>
    </row>
    <row r="1039" hidden="1">
      <c r="A1039" s="33" t="s">
        <v>5260</v>
      </c>
      <c r="B1039" s="30" t="s">
        <v>139</v>
      </c>
      <c r="C1039" s="30" t="s">
        <v>140</v>
      </c>
      <c r="D1039" s="30" t="s">
        <v>140</v>
      </c>
      <c r="E1039" s="35">
        <v>42793.0</v>
      </c>
      <c r="F1039" s="37" t="s">
        <v>154</v>
      </c>
      <c r="G1039" s="30" t="s">
        <v>5934</v>
      </c>
      <c r="H1039" s="30" t="s">
        <v>145</v>
      </c>
      <c r="I1039" s="30" t="s">
        <v>145</v>
      </c>
      <c r="J1039" s="30" t="s">
        <v>145</v>
      </c>
      <c r="K1039" s="30" t="s">
        <v>145</v>
      </c>
      <c r="L1039" s="30" t="s">
        <v>145</v>
      </c>
      <c r="M1039" s="30" t="s">
        <v>145</v>
      </c>
      <c r="N1039" s="30" t="s">
        <v>145</v>
      </c>
      <c r="O1039" s="30" t="s">
        <v>145</v>
      </c>
      <c r="P1039" s="30" t="s">
        <v>145</v>
      </c>
      <c r="Q1039" s="30" t="s">
        <v>146</v>
      </c>
    </row>
    <row r="1040" hidden="1">
      <c r="A1040" s="33" t="s">
        <v>5267</v>
      </c>
      <c r="B1040" s="30" t="s">
        <v>139</v>
      </c>
      <c r="C1040" s="30" t="s">
        <v>140</v>
      </c>
      <c r="D1040" s="30" t="s">
        <v>5270</v>
      </c>
      <c r="E1040" s="35">
        <v>42790.0</v>
      </c>
      <c r="F1040" s="37" t="s">
        <v>150</v>
      </c>
      <c r="G1040" s="30" t="s">
        <v>144</v>
      </c>
      <c r="H1040" s="30" t="s">
        <v>145</v>
      </c>
      <c r="I1040" s="30" t="s">
        <v>146</v>
      </c>
      <c r="J1040" s="30" t="s">
        <v>146</v>
      </c>
      <c r="K1040" s="30" t="s">
        <v>146</v>
      </c>
      <c r="L1040" s="30" t="s">
        <v>1493</v>
      </c>
      <c r="M1040" s="30" t="s">
        <v>146</v>
      </c>
      <c r="N1040" s="30" t="s">
        <v>145</v>
      </c>
      <c r="O1040" s="30" t="s">
        <v>145</v>
      </c>
      <c r="P1040" s="30" t="s">
        <v>145</v>
      </c>
      <c r="Q1040" s="30" t="s">
        <v>146</v>
      </c>
    </row>
    <row r="1041" hidden="1">
      <c r="A1041" s="33" t="s">
        <v>5273</v>
      </c>
      <c r="B1041" s="30" t="s">
        <v>139</v>
      </c>
      <c r="C1041" s="30" t="s">
        <v>453</v>
      </c>
      <c r="D1041" s="30" t="s">
        <v>177</v>
      </c>
      <c r="E1041" s="35">
        <v>42789.0</v>
      </c>
      <c r="F1041" s="37" t="s">
        <v>154</v>
      </c>
      <c r="G1041" s="30" t="s">
        <v>3180</v>
      </c>
      <c r="H1041" s="30" t="s">
        <v>145</v>
      </c>
      <c r="I1041" s="30" t="s">
        <v>145</v>
      </c>
      <c r="J1041" s="30" t="s">
        <v>145</v>
      </c>
      <c r="K1041" s="30" t="s">
        <v>145</v>
      </c>
      <c r="L1041" s="30" t="s">
        <v>145</v>
      </c>
      <c r="M1041" s="30" t="s">
        <v>145</v>
      </c>
      <c r="N1041" s="30" t="s">
        <v>145</v>
      </c>
      <c r="O1041" s="30" t="s">
        <v>145</v>
      </c>
      <c r="P1041" s="30" t="s">
        <v>145</v>
      </c>
      <c r="Q1041" s="30" t="s">
        <v>1471</v>
      </c>
    </row>
    <row r="1042" hidden="1">
      <c r="A1042" s="33" t="s">
        <v>5278</v>
      </c>
      <c r="B1042" s="30" t="s">
        <v>139</v>
      </c>
      <c r="C1042" s="30" t="s">
        <v>177</v>
      </c>
      <c r="D1042" s="30" t="s">
        <v>177</v>
      </c>
      <c r="E1042" s="35">
        <v>42789.0</v>
      </c>
      <c r="F1042" s="37" t="s">
        <v>150</v>
      </c>
      <c r="G1042" s="30" t="s">
        <v>654</v>
      </c>
      <c r="H1042" s="30" t="s">
        <v>146</v>
      </c>
      <c r="I1042" s="30" t="s">
        <v>185</v>
      </c>
      <c r="J1042" s="30" t="s">
        <v>163</v>
      </c>
      <c r="K1042" s="30" t="s">
        <v>5942</v>
      </c>
      <c r="L1042" s="30" t="s">
        <v>550</v>
      </c>
      <c r="M1042" s="30" t="s">
        <v>1000</v>
      </c>
      <c r="N1042" s="30" t="s">
        <v>145</v>
      </c>
      <c r="O1042" s="30" t="s">
        <v>145</v>
      </c>
      <c r="P1042" s="30" t="s">
        <v>145</v>
      </c>
      <c r="Q1042" s="30" t="s">
        <v>1898</v>
      </c>
    </row>
    <row r="1043" hidden="1">
      <c r="A1043" s="33" t="s">
        <v>5282</v>
      </c>
      <c r="B1043" s="30" t="s">
        <v>139</v>
      </c>
      <c r="C1043" s="30" t="s">
        <v>140</v>
      </c>
      <c r="D1043" s="30" t="s">
        <v>5270</v>
      </c>
      <c r="E1043" s="35">
        <v>42783.0</v>
      </c>
      <c r="F1043" s="37" t="s">
        <v>150</v>
      </c>
      <c r="G1043" s="30" t="s">
        <v>1441</v>
      </c>
      <c r="H1043" s="30" t="s">
        <v>146</v>
      </c>
      <c r="I1043" s="30" t="s">
        <v>146</v>
      </c>
      <c r="J1043" s="30" t="s">
        <v>5307</v>
      </c>
      <c r="K1043" s="30" t="s">
        <v>4738</v>
      </c>
      <c r="L1043" s="30" t="s">
        <v>1729</v>
      </c>
      <c r="M1043" s="30" t="s">
        <v>146</v>
      </c>
      <c r="N1043" s="2" t="s">
        <v>146</v>
      </c>
      <c r="O1043" s="30" t="s">
        <v>145</v>
      </c>
      <c r="P1043" s="30" t="s">
        <v>145</v>
      </c>
      <c r="Q1043" s="30" t="s">
        <v>146</v>
      </c>
    </row>
    <row r="1044" hidden="1">
      <c r="A1044" s="33" t="s">
        <v>5286</v>
      </c>
      <c r="B1044" s="30" t="s">
        <v>139</v>
      </c>
      <c r="C1044" s="30" t="s">
        <v>453</v>
      </c>
      <c r="D1044" s="30" t="s">
        <v>244</v>
      </c>
      <c r="E1044" s="35">
        <v>42781.0</v>
      </c>
      <c r="F1044" s="37" t="s">
        <v>154</v>
      </c>
      <c r="G1044" s="30" t="s">
        <v>1749</v>
      </c>
      <c r="H1044" s="30" t="s">
        <v>145</v>
      </c>
      <c r="I1044" s="30" t="s">
        <v>145</v>
      </c>
      <c r="J1044" s="30" t="s">
        <v>145</v>
      </c>
      <c r="K1044" s="30" t="s">
        <v>145</v>
      </c>
      <c r="L1044" s="30" t="s">
        <v>145</v>
      </c>
      <c r="M1044" s="30" t="s">
        <v>145</v>
      </c>
      <c r="N1044" s="30" t="s">
        <v>145</v>
      </c>
      <c r="O1044" s="30" t="s">
        <v>145</v>
      </c>
      <c r="P1044" s="30" t="s">
        <v>145</v>
      </c>
      <c r="Q1044" s="30" t="s">
        <v>2544</v>
      </c>
    </row>
    <row r="1045" hidden="1">
      <c r="A1045" s="33" t="s">
        <v>5290</v>
      </c>
      <c r="B1045" s="30" t="s">
        <v>139</v>
      </c>
      <c r="C1045" s="30" t="s">
        <v>141</v>
      </c>
      <c r="D1045" s="30" t="s">
        <v>244</v>
      </c>
      <c r="E1045" s="35">
        <v>42781.0</v>
      </c>
      <c r="F1045" s="37" t="s">
        <v>154</v>
      </c>
      <c r="G1045" s="30" t="s">
        <v>1749</v>
      </c>
      <c r="H1045" s="30" t="s">
        <v>145</v>
      </c>
      <c r="I1045" s="30" t="s">
        <v>145</v>
      </c>
      <c r="J1045" s="30" t="s">
        <v>145</v>
      </c>
      <c r="K1045" s="30" t="s">
        <v>145</v>
      </c>
      <c r="L1045" s="30" t="s">
        <v>145</v>
      </c>
      <c r="M1045" s="30" t="s">
        <v>145</v>
      </c>
      <c r="N1045" s="30" t="s">
        <v>145</v>
      </c>
      <c r="O1045" s="30" t="s">
        <v>145</v>
      </c>
      <c r="P1045" s="30" t="s">
        <v>145</v>
      </c>
      <c r="Q1045" s="30" t="s">
        <v>2544</v>
      </c>
    </row>
    <row r="1046" hidden="1">
      <c r="A1046" s="33" t="s">
        <v>5295</v>
      </c>
      <c r="B1046" s="30" t="s">
        <v>139</v>
      </c>
      <c r="C1046" s="30" t="s">
        <v>453</v>
      </c>
      <c r="D1046" s="30" t="s">
        <v>244</v>
      </c>
      <c r="E1046" s="35">
        <v>42781.0</v>
      </c>
      <c r="F1046" s="37" t="s">
        <v>154</v>
      </c>
      <c r="G1046" s="30" t="s">
        <v>1749</v>
      </c>
      <c r="H1046" s="30" t="s">
        <v>145</v>
      </c>
      <c r="I1046" s="30" t="s">
        <v>145</v>
      </c>
      <c r="J1046" s="30" t="s">
        <v>145</v>
      </c>
      <c r="K1046" s="30" t="s">
        <v>145</v>
      </c>
      <c r="L1046" s="30" t="s">
        <v>145</v>
      </c>
      <c r="M1046" s="30" t="s">
        <v>145</v>
      </c>
      <c r="N1046" s="30" t="s">
        <v>145</v>
      </c>
      <c r="O1046" s="30" t="s">
        <v>145</v>
      </c>
      <c r="P1046" s="30" t="s">
        <v>145</v>
      </c>
      <c r="Q1046" s="30" t="s">
        <v>2544</v>
      </c>
    </row>
    <row r="1047" hidden="1">
      <c r="A1047" s="33" t="s">
        <v>5298</v>
      </c>
      <c r="B1047" s="30" t="s">
        <v>139</v>
      </c>
      <c r="C1047" s="30" t="s">
        <v>140</v>
      </c>
      <c r="D1047" s="30" t="s">
        <v>244</v>
      </c>
      <c r="E1047" s="35">
        <v>42781.0</v>
      </c>
      <c r="F1047" s="37" t="s">
        <v>150</v>
      </c>
      <c r="G1047" s="30" t="s">
        <v>163</v>
      </c>
      <c r="H1047" s="30" t="s">
        <v>146</v>
      </c>
      <c r="I1047" s="30" t="s">
        <v>1536</v>
      </c>
      <c r="J1047" s="30" t="s">
        <v>4736</v>
      </c>
      <c r="K1047" s="30" t="s">
        <v>5955</v>
      </c>
      <c r="L1047" s="30" t="s">
        <v>2991</v>
      </c>
      <c r="M1047" s="30" t="s">
        <v>146</v>
      </c>
      <c r="N1047" s="2" t="s">
        <v>146</v>
      </c>
      <c r="O1047" s="30" t="s">
        <v>145</v>
      </c>
      <c r="P1047" s="30" t="s">
        <v>145</v>
      </c>
      <c r="Q1047" s="30" t="s">
        <v>146</v>
      </c>
    </row>
    <row r="1048" hidden="1">
      <c r="A1048" s="33" t="s">
        <v>5303</v>
      </c>
      <c r="B1048" s="30" t="s">
        <v>139</v>
      </c>
      <c r="C1048" s="30" t="s">
        <v>141</v>
      </c>
      <c r="D1048" s="30" t="s">
        <v>244</v>
      </c>
      <c r="E1048" s="35">
        <v>42781.0</v>
      </c>
      <c r="F1048" s="37" t="s">
        <v>154</v>
      </c>
      <c r="G1048" s="30" t="s">
        <v>2544</v>
      </c>
      <c r="H1048" s="30" t="s">
        <v>145</v>
      </c>
      <c r="I1048" s="30" t="s">
        <v>145</v>
      </c>
      <c r="J1048" s="30" t="s">
        <v>145</v>
      </c>
      <c r="K1048" s="30" t="s">
        <v>145</v>
      </c>
      <c r="L1048" s="30" t="s">
        <v>145</v>
      </c>
      <c r="M1048" s="30" t="s">
        <v>145</v>
      </c>
      <c r="N1048" s="30" t="s">
        <v>145</v>
      </c>
      <c r="O1048" s="30" t="s">
        <v>145</v>
      </c>
      <c r="P1048" s="30" t="s">
        <v>145</v>
      </c>
      <c r="Q1048" s="30" t="s">
        <v>2544</v>
      </c>
    </row>
    <row r="1049" hidden="1">
      <c r="A1049" s="33" t="s">
        <v>5308</v>
      </c>
      <c r="B1049" s="30" t="s">
        <v>139</v>
      </c>
      <c r="C1049" s="30" t="s">
        <v>453</v>
      </c>
      <c r="D1049" s="30" t="s">
        <v>244</v>
      </c>
      <c r="E1049" s="35">
        <v>42781.0</v>
      </c>
      <c r="F1049" s="37" t="s">
        <v>154</v>
      </c>
      <c r="G1049" s="30" t="s">
        <v>1749</v>
      </c>
      <c r="H1049" s="30" t="s">
        <v>145</v>
      </c>
      <c r="I1049" s="30" t="s">
        <v>145</v>
      </c>
      <c r="J1049" s="30" t="s">
        <v>145</v>
      </c>
      <c r="K1049" s="30" t="s">
        <v>145</v>
      </c>
      <c r="L1049" s="30" t="s">
        <v>145</v>
      </c>
      <c r="M1049" s="30" t="s">
        <v>145</v>
      </c>
      <c r="N1049" s="30" t="s">
        <v>145</v>
      </c>
      <c r="O1049" s="30" t="s">
        <v>145</v>
      </c>
      <c r="P1049" s="30" t="s">
        <v>145</v>
      </c>
      <c r="Q1049" s="30" t="s">
        <v>2544</v>
      </c>
    </row>
    <row r="1050" hidden="1">
      <c r="A1050" s="33" t="s">
        <v>5312</v>
      </c>
      <c r="B1050" s="30" t="s">
        <v>139</v>
      </c>
      <c r="C1050" s="30" t="s">
        <v>453</v>
      </c>
      <c r="D1050" s="30" t="s">
        <v>244</v>
      </c>
      <c r="E1050" s="35">
        <v>42781.0</v>
      </c>
      <c r="F1050" s="37" t="s">
        <v>154</v>
      </c>
      <c r="G1050" s="30" t="s">
        <v>1749</v>
      </c>
      <c r="H1050" s="30" t="s">
        <v>145</v>
      </c>
      <c r="I1050" s="30" t="s">
        <v>145</v>
      </c>
      <c r="J1050" s="30" t="s">
        <v>145</v>
      </c>
      <c r="K1050" s="30" t="s">
        <v>145</v>
      </c>
      <c r="L1050" s="30" t="s">
        <v>145</v>
      </c>
      <c r="M1050" s="30" t="s">
        <v>145</v>
      </c>
      <c r="N1050" s="30" t="s">
        <v>145</v>
      </c>
      <c r="O1050" s="30" t="s">
        <v>145</v>
      </c>
      <c r="P1050" s="30" t="s">
        <v>145</v>
      </c>
      <c r="Q1050" s="30" t="s">
        <v>2544</v>
      </c>
    </row>
    <row r="1051" hidden="1">
      <c r="A1051" s="33" t="s">
        <v>5319</v>
      </c>
      <c r="B1051" s="30" t="s">
        <v>139</v>
      </c>
      <c r="C1051" s="30" t="s">
        <v>141</v>
      </c>
      <c r="D1051" s="30" t="s">
        <v>244</v>
      </c>
      <c r="E1051" s="35">
        <v>42781.0</v>
      </c>
      <c r="F1051" s="37" t="s">
        <v>154</v>
      </c>
      <c r="G1051" s="30" t="s">
        <v>2544</v>
      </c>
      <c r="H1051" s="30" t="s">
        <v>145</v>
      </c>
      <c r="I1051" s="30" t="s">
        <v>145</v>
      </c>
      <c r="J1051" s="30" t="s">
        <v>145</v>
      </c>
      <c r="K1051" s="30" t="s">
        <v>145</v>
      </c>
      <c r="L1051" s="30" t="s">
        <v>145</v>
      </c>
      <c r="M1051" s="30" t="s">
        <v>145</v>
      </c>
      <c r="N1051" s="30" t="s">
        <v>145</v>
      </c>
      <c r="O1051" s="30" t="s">
        <v>145</v>
      </c>
      <c r="P1051" s="30" t="s">
        <v>145</v>
      </c>
      <c r="Q1051" s="30" t="s">
        <v>2544</v>
      </c>
    </row>
    <row r="1052" hidden="1">
      <c r="A1052" s="33" t="s">
        <v>5323</v>
      </c>
      <c r="B1052" s="30" t="s">
        <v>139</v>
      </c>
      <c r="C1052" s="30" t="s">
        <v>140</v>
      </c>
      <c r="D1052" s="30" t="s">
        <v>244</v>
      </c>
      <c r="E1052" s="35">
        <v>42781.0</v>
      </c>
      <c r="F1052" s="37" t="s">
        <v>150</v>
      </c>
      <c r="G1052" s="30" t="s">
        <v>163</v>
      </c>
      <c r="H1052" s="30" t="s">
        <v>146</v>
      </c>
      <c r="I1052" s="30" t="s">
        <v>654</v>
      </c>
      <c r="J1052" s="30" t="s">
        <v>185</v>
      </c>
      <c r="K1052" s="30" t="s">
        <v>5971</v>
      </c>
      <c r="L1052" s="30" t="s">
        <v>4632</v>
      </c>
      <c r="M1052" s="30" t="s">
        <v>146</v>
      </c>
      <c r="N1052" s="2" t="s">
        <v>144</v>
      </c>
      <c r="O1052" s="30" t="s">
        <v>145</v>
      </c>
      <c r="P1052" s="30" t="s">
        <v>145</v>
      </c>
      <c r="Q1052" s="30" t="s">
        <v>146</v>
      </c>
    </row>
    <row r="1053" hidden="1">
      <c r="A1053" s="33" t="s">
        <v>5328</v>
      </c>
      <c r="B1053" s="30" t="s">
        <v>139</v>
      </c>
      <c r="C1053" s="30" t="s">
        <v>140</v>
      </c>
      <c r="D1053" s="30" t="s">
        <v>140</v>
      </c>
      <c r="E1053" s="35">
        <v>42781.0</v>
      </c>
      <c r="F1053" s="37" t="s">
        <v>1576</v>
      </c>
      <c r="G1053" s="30" t="s">
        <v>5974</v>
      </c>
      <c r="H1053" s="30" t="s">
        <v>145</v>
      </c>
      <c r="I1053" s="30" t="s">
        <v>146</v>
      </c>
      <c r="J1053" s="30" t="s">
        <v>3247</v>
      </c>
      <c r="K1053" s="30" t="s">
        <v>146</v>
      </c>
      <c r="L1053" s="2" t="s">
        <v>146</v>
      </c>
      <c r="M1053" s="30" t="s">
        <v>145</v>
      </c>
      <c r="N1053" s="30" t="s">
        <v>145</v>
      </c>
      <c r="O1053" s="30" t="s">
        <v>145</v>
      </c>
      <c r="P1053" s="30" t="s">
        <v>145</v>
      </c>
      <c r="Q1053" s="30" t="s">
        <v>146</v>
      </c>
    </row>
    <row r="1054" hidden="1">
      <c r="A1054" s="33" t="s">
        <v>5332</v>
      </c>
      <c r="B1054" s="30" t="s">
        <v>139</v>
      </c>
      <c r="C1054" s="30" t="s">
        <v>140</v>
      </c>
      <c r="D1054" s="30" t="s">
        <v>140</v>
      </c>
      <c r="E1054" s="35">
        <v>42781.0</v>
      </c>
      <c r="F1054" s="37" t="s">
        <v>154</v>
      </c>
      <c r="G1054" s="30" t="s">
        <v>540</v>
      </c>
      <c r="H1054" s="30" t="s">
        <v>145</v>
      </c>
      <c r="I1054" s="30" t="s">
        <v>145</v>
      </c>
      <c r="J1054" s="30" t="s">
        <v>145</v>
      </c>
      <c r="K1054" s="30" t="s">
        <v>145</v>
      </c>
      <c r="L1054" s="30" t="s">
        <v>145</v>
      </c>
      <c r="M1054" s="30" t="s">
        <v>145</v>
      </c>
      <c r="N1054" s="30" t="s">
        <v>145</v>
      </c>
      <c r="O1054" s="30" t="s">
        <v>145</v>
      </c>
      <c r="P1054" s="30" t="s">
        <v>145</v>
      </c>
      <c r="Q1054" s="30" t="s">
        <v>146</v>
      </c>
    </row>
    <row r="1055" hidden="1">
      <c r="A1055" s="33" t="s">
        <v>5337</v>
      </c>
      <c r="B1055" s="30" t="s">
        <v>139</v>
      </c>
      <c r="C1055" s="30" t="s">
        <v>244</v>
      </c>
      <c r="D1055" s="30" t="s">
        <v>244</v>
      </c>
      <c r="E1055" s="35">
        <v>42781.0</v>
      </c>
      <c r="F1055" s="37" t="s">
        <v>150</v>
      </c>
      <c r="G1055" s="30" t="s">
        <v>163</v>
      </c>
      <c r="H1055" s="30" t="s">
        <v>146</v>
      </c>
      <c r="I1055" s="30" t="s">
        <v>1831</v>
      </c>
      <c r="J1055" s="30" t="s">
        <v>5307</v>
      </c>
      <c r="K1055" s="30" t="s">
        <v>5981</v>
      </c>
      <c r="L1055" s="30" t="s">
        <v>5982</v>
      </c>
      <c r="M1055" s="30" t="s">
        <v>540</v>
      </c>
      <c r="N1055" s="30" t="s">
        <v>145</v>
      </c>
      <c r="O1055" s="30" t="s">
        <v>145</v>
      </c>
      <c r="P1055" s="30" t="s">
        <v>145</v>
      </c>
      <c r="Q1055" s="30" t="s">
        <v>1898</v>
      </c>
    </row>
    <row r="1056" hidden="1">
      <c r="A1056" s="33" t="s">
        <v>5341</v>
      </c>
      <c r="B1056" s="30" t="s">
        <v>139</v>
      </c>
      <c r="C1056" s="30" t="s">
        <v>140</v>
      </c>
      <c r="D1056" s="30" t="s">
        <v>140</v>
      </c>
      <c r="E1056" s="35">
        <v>42780.0</v>
      </c>
      <c r="F1056" s="37" t="s">
        <v>452</v>
      </c>
      <c r="G1056" s="30" t="s">
        <v>5984</v>
      </c>
      <c r="H1056" s="30" t="s">
        <v>145</v>
      </c>
      <c r="I1056" s="30" t="s">
        <v>146</v>
      </c>
      <c r="J1056" s="30" t="s">
        <v>654</v>
      </c>
      <c r="K1056" s="30" t="s">
        <v>146</v>
      </c>
      <c r="L1056" s="2" t="s">
        <v>146</v>
      </c>
      <c r="M1056" s="30" t="s">
        <v>145</v>
      </c>
      <c r="N1056" s="30" t="s">
        <v>145</v>
      </c>
      <c r="O1056" s="30" t="s">
        <v>145</v>
      </c>
      <c r="P1056" s="30" t="s">
        <v>145</v>
      </c>
      <c r="Q1056" s="30" t="s">
        <v>146</v>
      </c>
    </row>
    <row r="1057" hidden="1">
      <c r="A1057" s="33" t="s">
        <v>5346</v>
      </c>
      <c r="B1057" s="30" t="s">
        <v>139</v>
      </c>
      <c r="C1057" s="30" t="s">
        <v>337</v>
      </c>
      <c r="D1057" s="30" t="s">
        <v>177</v>
      </c>
      <c r="E1057" s="35">
        <v>42776.0</v>
      </c>
      <c r="F1057" s="37" t="s">
        <v>154</v>
      </c>
      <c r="G1057" s="30" t="s">
        <v>1471</v>
      </c>
      <c r="H1057" s="30" t="s">
        <v>145</v>
      </c>
      <c r="I1057" s="30" t="s">
        <v>145</v>
      </c>
      <c r="J1057" s="30" t="s">
        <v>145</v>
      </c>
      <c r="K1057" s="30" t="s">
        <v>145</v>
      </c>
      <c r="L1057" s="30" t="s">
        <v>145</v>
      </c>
      <c r="M1057" s="30" t="s">
        <v>145</v>
      </c>
      <c r="N1057" s="30" t="s">
        <v>145</v>
      </c>
      <c r="O1057" s="30" t="s">
        <v>145</v>
      </c>
      <c r="P1057" s="30" t="s">
        <v>145</v>
      </c>
      <c r="Q1057" s="30" t="s">
        <v>1471</v>
      </c>
    </row>
    <row r="1058" hidden="1">
      <c r="A1058" s="33" t="s">
        <v>5352</v>
      </c>
      <c r="B1058" s="30" t="s">
        <v>139</v>
      </c>
      <c r="C1058" s="30" t="s">
        <v>453</v>
      </c>
      <c r="D1058" s="30" t="s">
        <v>177</v>
      </c>
      <c r="E1058" s="35">
        <v>42776.0</v>
      </c>
      <c r="F1058" s="37" t="s">
        <v>154</v>
      </c>
      <c r="G1058" s="30" t="s">
        <v>5990</v>
      </c>
      <c r="H1058" s="30" t="s">
        <v>145</v>
      </c>
      <c r="I1058" s="30" t="s">
        <v>145</v>
      </c>
      <c r="J1058" s="30" t="s">
        <v>145</v>
      </c>
      <c r="K1058" s="30" t="s">
        <v>145</v>
      </c>
      <c r="L1058" s="30" t="s">
        <v>145</v>
      </c>
      <c r="M1058" s="30" t="s">
        <v>145</v>
      </c>
      <c r="N1058" s="30" t="s">
        <v>145</v>
      </c>
      <c r="O1058" s="30" t="s">
        <v>145</v>
      </c>
      <c r="P1058" s="30" t="s">
        <v>145</v>
      </c>
      <c r="Q1058" s="30" t="s">
        <v>1471</v>
      </c>
    </row>
    <row r="1059" hidden="1">
      <c r="A1059" s="33" t="s">
        <v>5356</v>
      </c>
      <c r="B1059" s="30" t="s">
        <v>139</v>
      </c>
      <c r="C1059" s="30" t="s">
        <v>337</v>
      </c>
      <c r="D1059" s="30" t="s">
        <v>337</v>
      </c>
      <c r="E1059" s="35">
        <v>42776.0</v>
      </c>
      <c r="F1059" s="37" t="s">
        <v>150</v>
      </c>
      <c r="G1059" s="30" t="s">
        <v>146</v>
      </c>
      <c r="H1059" s="30" t="s">
        <v>146</v>
      </c>
      <c r="I1059" s="30" t="s">
        <v>626</v>
      </c>
      <c r="J1059" s="30" t="s">
        <v>4510</v>
      </c>
      <c r="K1059" s="30" t="s">
        <v>5993</v>
      </c>
      <c r="L1059" s="30" t="s">
        <v>5994</v>
      </c>
      <c r="M1059" s="30" t="s">
        <v>970</v>
      </c>
      <c r="N1059" s="30" t="s">
        <v>145</v>
      </c>
      <c r="O1059" s="30" t="s">
        <v>145</v>
      </c>
      <c r="P1059" s="30" t="s">
        <v>145</v>
      </c>
      <c r="Q1059" s="30" t="s">
        <v>1898</v>
      </c>
    </row>
    <row r="1060" hidden="1">
      <c r="A1060" s="33" t="s">
        <v>5359</v>
      </c>
      <c r="B1060" s="30" t="s">
        <v>139</v>
      </c>
      <c r="C1060" s="30" t="s">
        <v>140</v>
      </c>
      <c r="D1060" s="30" t="s">
        <v>140</v>
      </c>
      <c r="E1060" s="35">
        <v>42775.0</v>
      </c>
      <c r="F1060" s="37" t="s">
        <v>184</v>
      </c>
      <c r="G1060" s="30" t="s">
        <v>146</v>
      </c>
      <c r="H1060" s="30" t="s">
        <v>145</v>
      </c>
      <c r="I1060" s="30" t="s">
        <v>146</v>
      </c>
      <c r="J1060" s="2" t="s">
        <v>146</v>
      </c>
      <c r="K1060" s="30" t="s">
        <v>145</v>
      </c>
      <c r="L1060" s="30" t="s">
        <v>145</v>
      </c>
      <c r="M1060" s="30" t="s">
        <v>145</v>
      </c>
      <c r="N1060" s="30" t="s">
        <v>145</v>
      </c>
      <c r="O1060" s="30" t="s">
        <v>145</v>
      </c>
      <c r="P1060" s="30" t="s">
        <v>145</v>
      </c>
      <c r="Q1060" s="30" t="s">
        <v>146</v>
      </c>
    </row>
    <row r="1061" hidden="1">
      <c r="A1061" s="33" t="s">
        <v>5363</v>
      </c>
      <c r="B1061" s="30" t="s">
        <v>139</v>
      </c>
      <c r="C1061" s="30" t="s">
        <v>140</v>
      </c>
      <c r="D1061" s="30" t="s">
        <v>140</v>
      </c>
      <c r="E1061" s="35">
        <v>42774.0</v>
      </c>
      <c r="F1061" s="37" t="s">
        <v>184</v>
      </c>
      <c r="G1061" s="30" t="s">
        <v>146</v>
      </c>
      <c r="H1061" s="30" t="s">
        <v>146</v>
      </c>
      <c r="I1061" s="30" t="s">
        <v>146</v>
      </c>
      <c r="J1061" s="30" t="s">
        <v>6001</v>
      </c>
      <c r="K1061" s="2" t="s">
        <v>146</v>
      </c>
      <c r="L1061" s="30" t="s">
        <v>145</v>
      </c>
      <c r="M1061" s="30" t="s">
        <v>145</v>
      </c>
      <c r="N1061" s="30" t="s">
        <v>145</v>
      </c>
      <c r="O1061" s="30" t="s">
        <v>145</v>
      </c>
      <c r="P1061" s="30" t="s">
        <v>145</v>
      </c>
      <c r="Q1061" s="30" t="s">
        <v>146</v>
      </c>
    </row>
    <row r="1062" hidden="1">
      <c r="A1062" s="33" t="s">
        <v>5367</v>
      </c>
      <c r="B1062" s="30" t="s">
        <v>139</v>
      </c>
      <c r="C1062" s="30" t="s">
        <v>141</v>
      </c>
      <c r="D1062" s="30" t="s">
        <v>244</v>
      </c>
      <c r="E1062" s="35">
        <v>42774.0</v>
      </c>
      <c r="F1062" s="37" t="s">
        <v>154</v>
      </c>
      <c r="G1062" s="30" t="s">
        <v>4095</v>
      </c>
      <c r="H1062" s="30" t="s">
        <v>145</v>
      </c>
      <c r="I1062" s="30" t="s">
        <v>145</v>
      </c>
      <c r="J1062" s="30" t="s">
        <v>145</v>
      </c>
      <c r="K1062" s="30" t="s">
        <v>145</v>
      </c>
      <c r="L1062" s="30" t="s">
        <v>145</v>
      </c>
      <c r="M1062" s="30" t="s">
        <v>145</v>
      </c>
      <c r="N1062" s="30" t="s">
        <v>145</v>
      </c>
      <c r="O1062" s="30" t="s">
        <v>145</v>
      </c>
      <c r="P1062" s="30" t="s">
        <v>145</v>
      </c>
      <c r="Q1062" s="30" t="s">
        <v>2544</v>
      </c>
    </row>
    <row r="1063" hidden="1">
      <c r="A1063" s="33" t="s">
        <v>5371</v>
      </c>
      <c r="B1063" s="30" t="s">
        <v>139</v>
      </c>
      <c r="C1063" s="30" t="s">
        <v>453</v>
      </c>
      <c r="D1063" s="30" t="s">
        <v>244</v>
      </c>
      <c r="E1063" s="35">
        <v>42774.0</v>
      </c>
      <c r="F1063" s="37" t="s">
        <v>154</v>
      </c>
      <c r="G1063" s="30" t="s">
        <v>2544</v>
      </c>
      <c r="H1063" s="30" t="s">
        <v>145</v>
      </c>
      <c r="I1063" s="30" t="s">
        <v>145</v>
      </c>
      <c r="J1063" s="30" t="s">
        <v>145</v>
      </c>
      <c r="K1063" s="30" t="s">
        <v>145</v>
      </c>
      <c r="L1063" s="30" t="s">
        <v>145</v>
      </c>
      <c r="M1063" s="30" t="s">
        <v>145</v>
      </c>
      <c r="N1063" s="30" t="s">
        <v>145</v>
      </c>
      <c r="O1063" s="30" t="s">
        <v>145</v>
      </c>
      <c r="P1063" s="30" t="s">
        <v>145</v>
      </c>
      <c r="Q1063" s="30" t="s">
        <v>2544</v>
      </c>
    </row>
    <row r="1064" hidden="1">
      <c r="A1064" s="33" t="s">
        <v>5376</v>
      </c>
      <c r="B1064" s="30" t="s">
        <v>139</v>
      </c>
      <c r="C1064" s="30" t="s">
        <v>140</v>
      </c>
      <c r="D1064" s="30" t="s">
        <v>244</v>
      </c>
      <c r="E1064" s="35">
        <v>42774.0</v>
      </c>
      <c r="F1064" s="37" t="s">
        <v>150</v>
      </c>
      <c r="G1064" s="30" t="s">
        <v>626</v>
      </c>
      <c r="H1064" s="30" t="s">
        <v>146</v>
      </c>
      <c r="I1064" s="30" t="s">
        <v>503</v>
      </c>
      <c r="J1064" s="30" t="s">
        <v>4738</v>
      </c>
      <c r="K1064" s="30" t="s">
        <v>6008</v>
      </c>
      <c r="L1064" s="30" t="s">
        <v>2991</v>
      </c>
      <c r="M1064" s="30" t="s">
        <v>146</v>
      </c>
      <c r="N1064" s="2" t="s">
        <v>146</v>
      </c>
      <c r="O1064" s="30" t="s">
        <v>145</v>
      </c>
      <c r="P1064" s="30" t="s">
        <v>145</v>
      </c>
      <c r="Q1064" s="30" t="s">
        <v>146</v>
      </c>
    </row>
    <row r="1065" hidden="1">
      <c r="A1065" s="33" t="s">
        <v>5380</v>
      </c>
      <c r="B1065" s="30" t="s">
        <v>139</v>
      </c>
      <c r="C1065" s="30" t="s">
        <v>141</v>
      </c>
      <c r="D1065" s="30" t="s">
        <v>244</v>
      </c>
      <c r="E1065" s="35">
        <v>42774.0</v>
      </c>
      <c r="F1065" s="37" t="s">
        <v>154</v>
      </c>
      <c r="G1065" s="30" t="s">
        <v>4095</v>
      </c>
      <c r="H1065" s="30" t="s">
        <v>145</v>
      </c>
      <c r="I1065" s="30" t="s">
        <v>145</v>
      </c>
      <c r="J1065" s="30" t="s">
        <v>145</v>
      </c>
      <c r="K1065" s="30" t="s">
        <v>145</v>
      </c>
      <c r="L1065" s="30" t="s">
        <v>145</v>
      </c>
      <c r="M1065" s="30" t="s">
        <v>145</v>
      </c>
      <c r="N1065" s="30" t="s">
        <v>145</v>
      </c>
      <c r="O1065" s="30" t="s">
        <v>145</v>
      </c>
      <c r="P1065" s="30" t="s">
        <v>145</v>
      </c>
      <c r="Q1065" s="30" t="s">
        <v>2544</v>
      </c>
    </row>
    <row r="1066" hidden="1">
      <c r="A1066" s="33" t="s">
        <v>5384</v>
      </c>
      <c r="B1066" s="30" t="s">
        <v>139</v>
      </c>
      <c r="C1066" s="30" t="s">
        <v>453</v>
      </c>
      <c r="D1066" s="30" t="s">
        <v>244</v>
      </c>
      <c r="E1066" s="35">
        <v>42774.0</v>
      </c>
      <c r="F1066" s="37" t="s">
        <v>154</v>
      </c>
      <c r="G1066" s="30" t="s">
        <v>2544</v>
      </c>
      <c r="H1066" s="30" t="s">
        <v>145</v>
      </c>
      <c r="I1066" s="30" t="s">
        <v>145</v>
      </c>
      <c r="J1066" s="30" t="s">
        <v>145</v>
      </c>
      <c r="K1066" s="30" t="s">
        <v>145</v>
      </c>
      <c r="L1066" s="30" t="s">
        <v>145</v>
      </c>
      <c r="M1066" s="30" t="s">
        <v>145</v>
      </c>
      <c r="N1066" s="30" t="s">
        <v>145</v>
      </c>
      <c r="O1066" s="30" t="s">
        <v>145</v>
      </c>
      <c r="P1066" s="30" t="s">
        <v>145</v>
      </c>
      <c r="Q1066" s="30" t="s">
        <v>2544</v>
      </c>
    </row>
    <row r="1067" hidden="1">
      <c r="A1067" s="33" t="s">
        <v>5389</v>
      </c>
      <c r="B1067" s="30" t="s">
        <v>139</v>
      </c>
      <c r="C1067" s="30" t="s">
        <v>140</v>
      </c>
      <c r="D1067" s="30" t="s">
        <v>244</v>
      </c>
      <c r="E1067" s="35">
        <v>42774.0</v>
      </c>
      <c r="F1067" s="37" t="s">
        <v>150</v>
      </c>
      <c r="G1067" s="30" t="s">
        <v>626</v>
      </c>
      <c r="H1067" s="30" t="s">
        <v>146</v>
      </c>
      <c r="I1067" s="30" t="s">
        <v>144</v>
      </c>
      <c r="J1067" s="30" t="s">
        <v>6016</v>
      </c>
      <c r="K1067" s="30" t="s">
        <v>6018</v>
      </c>
      <c r="L1067" s="30" t="s">
        <v>2991</v>
      </c>
      <c r="M1067" s="30" t="s">
        <v>146</v>
      </c>
      <c r="N1067" s="2" t="s">
        <v>146</v>
      </c>
      <c r="O1067" s="30" t="s">
        <v>145</v>
      </c>
      <c r="P1067" s="30" t="s">
        <v>145</v>
      </c>
      <c r="Q1067" s="30" t="s">
        <v>146</v>
      </c>
    </row>
    <row r="1068" hidden="1">
      <c r="A1068" s="33" t="s">
        <v>5394</v>
      </c>
      <c r="B1068" s="30" t="s">
        <v>139</v>
      </c>
      <c r="C1068" s="30" t="s">
        <v>141</v>
      </c>
      <c r="D1068" s="30" t="s">
        <v>244</v>
      </c>
      <c r="E1068" s="35">
        <v>42774.0</v>
      </c>
      <c r="F1068" s="37" t="s">
        <v>154</v>
      </c>
      <c r="G1068" s="30" t="s">
        <v>5469</v>
      </c>
      <c r="H1068" s="30" t="s">
        <v>145</v>
      </c>
      <c r="I1068" s="30" t="s">
        <v>145</v>
      </c>
      <c r="J1068" s="30" t="s">
        <v>145</v>
      </c>
      <c r="K1068" s="30" t="s">
        <v>145</v>
      </c>
      <c r="L1068" s="30" t="s">
        <v>145</v>
      </c>
      <c r="M1068" s="30" t="s">
        <v>145</v>
      </c>
      <c r="N1068" s="30" t="s">
        <v>145</v>
      </c>
      <c r="O1068" s="30" t="s">
        <v>145</v>
      </c>
      <c r="P1068" s="30" t="s">
        <v>145</v>
      </c>
      <c r="Q1068" s="30" t="s">
        <v>2544</v>
      </c>
    </row>
    <row r="1069" hidden="1">
      <c r="A1069" s="33" t="s">
        <v>5399</v>
      </c>
      <c r="B1069" s="30" t="s">
        <v>139</v>
      </c>
      <c r="C1069" s="30" t="s">
        <v>453</v>
      </c>
      <c r="D1069" s="30" t="s">
        <v>244</v>
      </c>
      <c r="E1069" s="35">
        <v>42774.0</v>
      </c>
      <c r="F1069" s="37" t="s">
        <v>154</v>
      </c>
      <c r="G1069" s="30" t="s">
        <v>2544</v>
      </c>
      <c r="H1069" s="30" t="s">
        <v>145</v>
      </c>
      <c r="I1069" s="30" t="s">
        <v>145</v>
      </c>
      <c r="J1069" s="30" t="s">
        <v>145</v>
      </c>
      <c r="K1069" s="30" t="s">
        <v>145</v>
      </c>
      <c r="L1069" s="30" t="s">
        <v>145</v>
      </c>
      <c r="M1069" s="30" t="s">
        <v>145</v>
      </c>
      <c r="N1069" s="30" t="s">
        <v>145</v>
      </c>
      <c r="O1069" s="30" t="s">
        <v>145</v>
      </c>
      <c r="P1069" s="30" t="s">
        <v>145</v>
      </c>
      <c r="Q1069" s="30" t="s">
        <v>2544</v>
      </c>
    </row>
    <row r="1070" hidden="1">
      <c r="A1070" s="33" t="s">
        <v>5404</v>
      </c>
      <c r="B1070" s="30" t="s">
        <v>139</v>
      </c>
      <c r="C1070" s="30" t="s">
        <v>140</v>
      </c>
      <c r="D1070" s="30" t="s">
        <v>244</v>
      </c>
      <c r="E1070" s="35">
        <v>42774.0</v>
      </c>
      <c r="F1070" s="37" t="s">
        <v>150</v>
      </c>
      <c r="G1070" s="30" t="s">
        <v>626</v>
      </c>
      <c r="H1070" s="30" t="s">
        <v>146</v>
      </c>
      <c r="I1070" s="30" t="s">
        <v>144</v>
      </c>
      <c r="J1070" s="30" t="s">
        <v>5664</v>
      </c>
      <c r="K1070" s="30" t="s">
        <v>6029</v>
      </c>
      <c r="L1070" s="30" t="s">
        <v>2991</v>
      </c>
      <c r="M1070" s="30" t="s">
        <v>146</v>
      </c>
      <c r="N1070" s="2" t="s">
        <v>146</v>
      </c>
      <c r="O1070" s="30" t="s">
        <v>145</v>
      </c>
      <c r="P1070" s="30" t="s">
        <v>145</v>
      </c>
      <c r="Q1070" s="30" t="s">
        <v>146</v>
      </c>
    </row>
    <row r="1071" hidden="1">
      <c r="A1071" s="33" t="s">
        <v>5408</v>
      </c>
      <c r="B1071" s="30" t="s">
        <v>139</v>
      </c>
      <c r="C1071" s="30" t="s">
        <v>140</v>
      </c>
      <c r="D1071" s="30" t="s">
        <v>337</v>
      </c>
      <c r="E1071" s="35">
        <v>42774.0</v>
      </c>
      <c r="F1071" s="37" t="s">
        <v>150</v>
      </c>
      <c r="G1071" s="30" t="s">
        <v>140</v>
      </c>
      <c r="H1071" s="30" t="s">
        <v>146</v>
      </c>
      <c r="I1071" s="30" t="s">
        <v>264</v>
      </c>
      <c r="J1071" s="30" t="s">
        <v>6032</v>
      </c>
      <c r="K1071" s="30" t="s">
        <v>6033</v>
      </c>
      <c r="L1071" s="30" t="s">
        <v>2991</v>
      </c>
      <c r="M1071" s="30" t="s">
        <v>146</v>
      </c>
      <c r="N1071" s="30" t="s">
        <v>145</v>
      </c>
      <c r="O1071" s="30" t="s">
        <v>145</v>
      </c>
      <c r="P1071" s="30" t="s">
        <v>145</v>
      </c>
      <c r="Q1071" s="30" t="s">
        <v>146</v>
      </c>
    </row>
    <row r="1072" hidden="1">
      <c r="A1072" s="33" t="s">
        <v>5413</v>
      </c>
      <c r="B1072" s="30" t="s">
        <v>139</v>
      </c>
      <c r="C1072" s="30" t="s">
        <v>216</v>
      </c>
      <c r="D1072" s="30" t="s">
        <v>216</v>
      </c>
      <c r="E1072" s="35">
        <v>42774.0</v>
      </c>
      <c r="F1072" s="37" t="s">
        <v>150</v>
      </c>
      <c r="G1072" s="30" t="s">
        <v>185</v>
      </c>
      <c r="H1072" s="30" t="s">
        <v>146</v>
      </c>
      <c r="I1072" s="30" t="s">
        <v>146</v>
      </c>
      <c r="J1072" s="30" t="s">
        <v>6037</v>
      </c>
      <c r="K1072" s="30" t="s">
        <v>1773</v>
      </c>
      <c r="L1072" s="30" t="s">
        <v>1773</v>
      </c>
      <c r="M1072" s="30" t="s">
        <v>540</v>
      </c>
      <c r="N1072" s="30" t="s">
        <v>145</v>
      </c>
      <c r="O1072" s="30" t="s">
        <v>145</v>
      </c>
      <c r="P1072" s="30" t="s">
        <v>145</v>
      </c>
      <c r="Q1072" s="30" t="s">
        <v>1898</v>
      </c>
    </row>
    <row r="1073" hidden="1">
      <c r="A1073" s="33" t="s">
        <v>5419</v>
      </c>
      <c r="B1073" s="30" t="s">
        <v>139</v>
      </c>
      <c r="C1073" s="30" t="s">
        <v>141</v>
      </c>
      <c r="D1073" s="30" t="s">
        <v>244</v>
      </c>
      <c r="E1073" s="35">
        <v>42773.0</v>
      </c>
      <c r="F1073" s="37" t="s">
        <v>154</v>
      </c>
      <c r="G1073" s="30" t="s">
        <v>5097</v>
      </c>
      <c r="H1073" s="30" t="s">
        <v>145</v>
      </c>
      <c r="I1073" s="30" t="s">
        <v>145</v>
      </c>
      <c r="J1073" s="30" t="s">
        <v>145</v>
      </c>
      <c r="K1073" s="30" t="s">
        <v>145</v>
      </c>
      <c r="L1073" s="30" t="s">
        <v>145</v>
      </c>
      <c r="M1073" s="30" t="s">
        <v>145</v>
      </c>
      <c r="N1073" s="30" t="s">
        <v>145</v>
      </c>
      <c r="O1073" s="30" t="s">
        <v>145</v>
      </c>
      <c r="P1073" s="30" t="s">
        <v>145</v>
      </c>
      <c r="Q1073" s="30" t="s">
        <v>2544</v>
      </c>
    </row>
    <row r="1074" hidden="1">
      <c r="A1074" s="33" t="s">
        <v>5423</v>
      </c>
      <c r="B1074" s="30" t="s">
        <v>139</v>
      </c>
      <c r="C1074" s="30" t="s">
        <v>453</v>
      </c>
      <c r="D1074" s="30" t="s">
        <v>244</v>
      </c>
      <c r="E1074" s="35">
        <v>42773.0</v>
      </c>
      <c r="F1074" s="37" t="s">
        <v>154</v>
      </c>
      <c r="G1074" s="30" t="s">
        <v>2544</v>
      </c>
      <c r="H1074" s="30" t="s">
        <v>145</v>
      </c>
      <c r="I1074" s="30" t="s">
        <v>145</v>
      </c>
      <c r="J1074" s="30" t="s">
        <v>145</v>
      </c>
      <c r="K1074" s="30" t="s">
        <v>145</v>
      </c>
      <c r="L1074" s="30" t="s">
        <v>145</v>
      </c>
      <c r="M1074" s="30" t="s">
        <v>145</v>
      </c>
      <c r="N1074" s="30" t="s">
        <v>145</v>
      </c>
      <c r="O1074" s="30" t="s">
        <v>145</v>
      </c>
      <c r="P1074" s="30" t="s">
        <v>145</v>
      </c>
      <c r="Q1074" s="30" t="s">
        <v>2544</v>
      </c>
    </row>
    <row r="1075" hidden="1">
      <c r="A1075" s="33" t="s">
        <v>5428</v>
      </c>
      <c r="B1075" s="30" t="s">
        <v>139</v>
      </c>
      <c r="C1075" s="30" t="s">
        <v>140</v>
      </c>
      <c r="D1075" s="30" t="s">
        <v>244</v>
      </c>
      <c r="E1075" s="35">
        <v>42773.0</v>
      </c>
      <c r="F1075" s="37" t="s">
        <v>150</v>
      </c>
      <c r="G1075" s="30" t="s">
        <v>140</v>
      </c>
      <c r="H1075" s="30" t="s">
        <v>145</v>
      </c>
      <c r="I1075" s="30" t="s">
        <v>1441</v>
      </c>
      <c r="J1075" s="30" t="s">
        <v>6016</v>
      </c>
      <c r="K1075" s="30" t="s">
        <v>6008</v>
      </c>
      <c r="L1075" s="30" t="s">
        <v>2991</v>
      </c>
      <c r="M1075" s="30" t="s">
        <v>146</v>
      </c>
      <c r="N1075" s="2" t="s">
        <v>146</v>
      </c>
      <c r="O1075" s="30" t="s">
        <v>145</v>
      </c>
      <c r="P1075" s="30" t="s">
        <v>145</v>
      </c>
      <c r="Q1075" s="30" t="s">
        <v>146</v>
      </c>
    </row>
    <row r="1076" hidden="1">
      <c r="A1076" s="33" t="s">
        <v>5433</v>
      </c>
      <c r="B1076" s="30" t="s">
        <v>139</v>
      </c>
      <c r="C1076" s="30" t="s">
        <v>453</v>
      </c>
      <c r="D1076" s="30" t="s">
        <v>244</v>
      </c>
      <c r="E1076" s="35">
        <v>42773.0</v>
      </c>
      <c r="F1076" s="37" t="s">
        <v>154</v>
      </c>
      <c r="G1076" s="30" t="s">
        <v>5097</v>
      </c>
      <c r="H1076" s="30" t="s">
        <v>145</v>
      </c>
      <c r="I1076" s="30" t="s">
        <v>145</v>
      </c>
      <c r="J1076" s="30" t="s">
        <v>145</v>
      </c>
      <c r="K1076" s="30" t="s">
        <v>145</v>
      </c>
      <c r="L1076" s="30" t="s">
        <v>145</v>
      </c>
      <c r="M1076" s="30" t="s">
        <v>145</v>
      </c>
      <c r="N1076" s="30" t="s">
        <v>145</v>
      </c>
      <c r="O1076" s="30" t="s">
        <v>145</v>
      </c>
      <c r="P1076" s="30" t="s">
        <v>145</v>
      </c>
      <c r="Q1076" s="30" t="s">
        <v>2544</v>
      </c>
    </row>
    <row r="1077" hidden="1">
      <c r="A1077" s="33" t="s">
        <v>5437</v>
      </c>
      <c r="B1077" s="30" t="s">
        <v>139</v>
      </c>
      <c r="C1077" s="30" t="s">
        <v>141</v>
      </c>
      <c r="D1077" s="30" t="s">
        <v>244</v>
      </c>
      <c r="E1077" s="35">
        <v>42773.0</v>
      </c>
      <c r="F1077" s="37" t="s">
        <v>154</v>
      </c>
      <c r="G1077" s="30" t="s">
        <v>6053</v>
      </c>
      <c r="H1077" s="30" t="s">
        <v>145</v>
      </c>
      <c r="I1077" s="30" t="s">
        <v>145</v>
      </c>
      <c r="J1077" s="30" t="s">
        <v>145</v>
      </c>
      <c r="K1077" s="30" t="s">
        <v>145</v>
      </c>
      <c r="L1077" s="30" t="s">
        <v>145</v>
      </c>
      <c r="M1077" s="30" t="s">
        <v>145</v>
      </c>
      <c r="N1077" s="30" t="s">
        <v>145</v>
      </c>
      <c r="O1077" s="30" t="s">
        <v>145</v>
      </c>
      <c r="P1077" s="30" t="s">
        <v>145</v>
      </c>
      <c r="Q1077" s="30" t="s">
        <v>2544</v>
      </c>
    </row>
    <row r="1078" hidden="1">
      <c r="A1078" s="33" t="s">
        <v>5441</v>
      </c>
      <c r="B1078" s="30" t="s">
        <v>139</v>
      </c>
      <c r="C1078" s="30" t="s">
        <v>453</v>
      </c>
      <c r="D1078" s="30" t="s">
        <v>453</v>
      </c>
      <c r="E1078" s="35">
        <v>42773.0</v>
      </c>
      <c r="F1078" s="37" t="s">
        <v>143</v>
      </c>
      <c r="G1078" s="30" t="s">
        <v>6055</v>
      </c>
      <c r="H1078" s="30" t="s">
        <v>145</v>
      </c>
      <c r="I1078" s="30" t="s">
        <v>145</v>
      </c>
      <c r="J1078" s="30" t="s">
        <v>145</v>
      </c>
      <c r="K1078" s="30" t="s">
        <v>145</v>
      </c>
      <c r="L1078" s="30" t="s">
        <v>145</v>
      </c>
      <c r="M1078" s="30" t="s">
        <v>145</v>
      </c>
      <c r="N1078" s="30" t="s">
        <v>145</v>
      </c>
      <c r="O1078" s="30" t="s">
        <v>145</v>
      </c>
      <c r="P1078" s="30" t="s">
        <v>145</v>
      </c>
      <c r="Q1078" s="30" t="s">
        <v>457</v>
      </c>
    </row>
    <row r="1079" hidden="1">
      <c r="A1079" s="33" t="s">
        <v>5445</v>
      </c>
      <c r="B1079" s="30" t="s">
        <v>139</v>
      </c>
      <c r="C1079" s="30" t="s">
        <v>140</v>
      </c>
      <c r="D1079" s="30" t="s">
        <v>5270</v>
      </c>
      <c r="E1079" s="35">
        <v>42772.0</v>
      </c>
      <c r="F1079" s="37" t="s">
        <v>150</v>
      </c>
      <c r="G1079" s="30" t="s">
        <v>163</v>
      </c>
      <c r="H1079" s="30" t="s">
        <v>145</v>
      </c>
      <c r="I1079" s="30" t="s">
        <v>146</v>
      </c>
      <c r="J1079" s="30" t="s">
        <v>163</v>
      </c>
      <c r="K1079" s="30" t="s">
        <v>6058</v>
      </c>
      <c r="L1079" s="30" t="s">
        <v>5522</v>
      </c>
      <c r="M1079" s="30" t="s">
        <v>146</v>
      </c>
      <c r="N1079" s="30" t="s">
        <v>145</v>
      </c>
      <c r="O1079" s="30" t="s">
        <v>145</v>
      </c>
      <c r="P1079" s="30" t="s">
        <v>145</v>
      </c>
      <c r="Q1079" s="30" t="s">
        <v>146</v>
      </c>
    </row>
    <row r="1080" hidden="1">
      <c r="A1080" s="33" t="s">
        <v>5449</v>
      </c>
      <c r="B1080" s="30" t="s">
        <v>139</v>
      </c>
      <c r="C1080" s="30" t="s">
        <v>140</v>
      </c>
      <c r="D1080" s="30" t="s">
        <v>4728</v>
      </c>
      <c r="E1080" s="35">
        <v>42760.0</v>
      </c>
      <c r="F1080" s="37" t="s">
        <v>269</v>
      </c>
      <c r="G1080" s="30" t="s">
        <v>6059</v>
      </c>
      <c r="H1080" s="30" t="s">
        <v>145</v>
      </c>
      <c r="I1080" s="30" t="s">
        <v>145</v>
      </c>
      <c r="J1080" s="30" t="s">
        <v>145</v>
      </c>
      <c r="K1080" s="30" t="s">
        <v>145</v>
      </c>
      <c r="L1080" s="30" t="s">
        <v>145</v>
      </c>
      <c r="M1080" s="30" t="s">
        <v>145</v>
      </c>
      <c r="N1080" s="30" t="s">
        <v>145</v>
      </c>
      <c r="O1080" s="30" t="s">
        <v>145</v>
      </c>
      <c r="P1080" s="30" t="s">
        <v>145</v>
      </c>
      <c r="Q1080" s="30" t="s">
        <v>146</v>
      </c>
    </row>
    <row r="1081" hidden="1">
      <c r="A1081" s="33" t="s">
        <v>5457</v>
      </c>
      <c r="B1081" s="30" t="s">
        <v>139</v>
      </c>
      <c r="C1081" s="30" t="s">
        <v>453</v>
      </c>
      <c r="D1081" s="30" t="s">
        <v>244</v>
      </c>
      <c r="E1081" s="35">
        <v>42758.0</v>
      </c>
      <c r="F1081" s="37" t="s">
        <v>154</v>
      </c>
      <c r="G1081" s="30" t="s">
        <v>2544</v>
      </c>
      <c r="H1081" s="30" t="s">
        <v>145</v>
      </c>
      <c r="I1081" s="30" t="s">
        <v>145</v>
      </c>
      <c r="J1081" s="30" t="s">
        <v>145</v>
      </c>
      <c r="K1081" s="30" t="s">
        <v>145</v>
      </c>
      <c r="L1081" s="30" t="s">
        <v>145</v>
      </c>
      <c r="M1081" s="30" t="s">
        <v>145</v>
      </c>
      <c r="N1081" s="30" t="s">
        <v>145</v>
      </c>
      <c r="O1081" s="30" t="s">
        <v>145</v>
      </c>
      <c r="P1081" s="30" t="s">
        <v>145</v>
      </c>
      <c r="Q1081" s="30" t="s">
        <v>2544</v>
      </c>
    </row>
    <row r="1082" hidden="1">
      <c r="A1082" s="33" t="s">
        <v>5461</v>
      </c>
      <c r="B1082" s="30" t="s">
        <v>139</v>
      </c>
      <c r="C1082" s="30" t="s">
        <v>140</v>
      </c>
      <c r="D1082" s="30" t="s">
        <v>244</v>
      </c>
      <c r="E1082" s="35">
        <v>42758.0</v>
      </c>
      <c r="F1082" s="37" t="s">
        <v>150</v>
      </c>
      <c r="G1082" s="30" t="s">
        <v>146</v>
      </c>
      <c r="H1082" s="30" t="s">
        <v>146</v>
      </c>
      <c r="I1082" s="30" t="s">
        <v>146</v>
      </c>
      <c r="J1082" s="30" t="s">
        <v>146</v>
      </c>
      <c r="K1082" s="30" t="s">
        <v>6061</v>
      </c>
      <c r="L1082" s="30" t="s">
        <v>1322</v>
      </c>
      <c r="M1082" s="30" t="s">
        <v>146</v>
      </c>
      <c r="N1082" s="2" t="s">
        <v>146</v>
      </c>
      <c r="O1082" s="30" t="s">
        <v>145</v>
      </c>
      <c r="P1082" s="30" t="s">
        <v>145</v>
      </c>
      <c r="Q1082" s="30" t="s">
        <v>146</v>
      </c>
    </row>
    <row r="1083" hidden="1">
      <c r="A1083" s="33" t="s">
        <v>5465</v>
      </c>
      <c r="B1083" s="30" t="s">
        <v>139</v>
      </c>
      <c r="C1083" s="30" t="s">
        <v>283</v>
      </c>
      <c r="D1083" s="30" t="s">
        <v>4728</v>
      </c>
      <c r="E1083" s="35">
        <v>42757.0</v>
      </c>
      <c r="F1083" s="37" t="s">
        <v>452</v>
      </c>
      <c r="G1083" s="30" t="s">
        <v>146</v>
      </c>
      <c r="H1083" s="30" t="s">
        <v>146</v>
      </c>
      <c r="I1083" s="30" t="s">
        <v>2884</v>
      </c>
      <c r="J1083" s="30" t="s">
        <v>6064</v>
      </c>
      <c r="K1083" s="30" t="s">
        <v>407</v>
      </c>
      <c r="L1083" s="30" t="s">
        <v>6066</v>
      </c>
      <c r="M1083" s="162" t="s">
        <v>145</v>
      </c>
      <c r="N1083" s="30" t="s">
        <v>145</v>
      </c>
      <c r="O1083" s="30" t="s">
        <v>145</v>
      </c>
      <c r="P1083" s="30" t="s">
        <v>145</v>
      </c>
      <c r="Q1083" s="30" t="s">
        <v>407</v>
      </c>
    </row>
    <row r="1084" hidden="1">
      <c r="A1084" s="33" t="s">
        <v>5473</v>
      </c>
      <c r="B1084" s="30" t="s">
        <v>139</v>
      </c>
      <c r="C1084" s="30" t="s">
        <v>140</v>
      </c>
      <c r="D1084" s="30" t="s">
        <v>609</v>
      </c>
      <c r="E1084" s="35">
        <v>42754.0</v>
      </c>
      <c r="F1084" s="37" t="s">
        <v>150</v>
      </c>
      <c r="G1084" s="30" t="s">
        <v>163</v>
      </c>
      <c r="H1084" s="30" t="s">
        <v>146</v>
      </c>
      <c r="I1084" s="30" t="s">
        <v>6069</v>
      </c>
      <c r="J1084" s="30" t="s">
        <v>5307</v>
      </c>
      <c r="K1084" s="30" t="s">
        <v>6070</v>
      </c>
      <c r="L1084" s="30" t="s">
        <v>5522</v>
      </c>
      <c r="M1084" s="30" t="s">
        <v>146</v>
      </c>
      <c r="N1084" s="30" t="s">
        <v>145</v>
      </c>
      <c r="O1084" s="30" t="s">
        <v>145</v>
      </c>
      <c r="P1084" s="30" t="s">
        <v>145</v>
      </c>
      <c r="Q1084" s="30" t="s">
        <v>146</v>
      </c>
    </row>
    <row r="1085" hidden="1">
      <c r="A1085" s="33" t="s">
        <v>5478</v>
      </c>
      <c r="B1085" s="30" t="s">
        <v>139</v>
      </c>
      <c r="C1085" s="30" t="s">
        <v>140</v>
      </c>
      <c r="D1085" s="30" t="s">
        <v>1313</v>
      </c>
      <c r="E1085" s="35">
        <v>42740.0</v>
      </c>
      <c r="F1085" s="37" t="s">
        <v>150</v>
      </c>
      <c r="G1085" s="30" t="s">
        <v>1536</v>
      </c>
      <c r="H1085" s="30" t="s">
        <v>146</v>
      </c>
      <c r="I1085" s="30" t="s">
        <v>1000</v>
      </c>
      <c r="J1085" s="30" t="s">
        <v>6075</v>
      </c>
      <c r="K1085" s="30" t="s">
        <v>540</v>
      </c>
      <c r="L1085" s="30" t="s">
        <v>146</v>
      </c>
      <c r="M1085" s="30" t="s">
        <v>352</v>
      </c>
      <c r="N1085" s="30" t="s">
        <v>145</v>
      </c>
      <c r="O1085" s="30" t="s">
        <v>145</v>
      </c>
      <c r="P1085" s="30" t="s">
        <v>145</v>
      </c>
      <c r="Q1085" s="30" t="s">
        <v>146</v>
      </c>
    </row>
    <row r="1086" hidden="1">
      <c r="A1086" s="33" t="s">
        <v>5483</v>
      </c>
      <c r="B1086" s="30" t="s">
        <v>139</v>
      </c>
      <c r="C1086" s="30" t="s">
        <v>140</v>
      </c>
      <c r="D1086" s="30" t="s">
        <v>1313</v>
      </c>
      <c r="E1086" s="35">
        <v>42740.0</v>
      </c>
      <c r="F1086" s="37" t="s">
        <v>150</v>
      </c>
      <c r="G1086" s="30" t="s">
        <v>5350</v>
      </c>
      <c r="H1086" s="30" t="s">
        <v>1773</v>
      </c>
      <c r="I1086" s="30" t="s">
        <v>1773</v>
      </c>
      <c r="J1086" s="30" t="s">
        <v>5307</v>
      </c>
      <c r="K1086" s="30" t="s">
        <v>6079</v>
      </c>
      <c r="L1086" s="30" t="s">
        <v>6080</v>
      </c>
      <c r="M1086" s="30" t="s">
        <v>4738</v>
      </c>
      <c r="N1086" s="30" t="s">
        <v>145</v>
      </c>
      <c r="O1086" s="30" t="s">
        <v>145</v>
      </c>
      <c r="P1086" s="30" t="s">
        <v>145</v>
      </c>
      <c r="Q1086" s="30" t="s">
        <v>144</v>
      </c>
    </row>
    <row r="1087" hidden="1">
      <c r="A1087" s="33" t="s">
        <v>5488</v>
      </c>
      <c r="B1087" s="30" t="s">
        <v>139</v>
      </c>
      <c r="C1087" s="30" t="s">
        <v>453</v>
      </c>
      <c r="D1087" s="30" t="s">
        <v>244</v>
      </c>
      <c r="E1087" s="35">
        <v>42739.0</v>
      </c>
      <c r="F1087" s="37" t="s">
        <v>154</v>
      </c>
      <c r="G1087" s="30" t="s">
        <v>1749</v>
      </c>
      <c r="H1087" s="30" t="s">
        <v>145</v>
      </c>
      <c r="I1087" s="30" t="s">
        <v>145</v>
      </c>
      <c r="J1087" s="30" t="s">
        <v>145</v>
      </c>
      <c r="K1087" s="30" t="s">
        <v>145</v>
      </c>
      <c r="L1087" s="30" t="s">
        <v>145</v>
      </c>
      <c r="M1087" s="30" t="s">
        <v>145</v>
      </c>
      <c r="N1087" s="30" t="s">
        <v>145</v>
      </c>
      <c r="O1087" s="30" t="s">
        <v>145</v>
      </c>
      <c r="P1087" s="30" t="s">
        <v>145</v>
      </c>
      <c r="Q1087" s="30" t="s">
        <v>2544</v>
      </c>
    </row>
    <row r="1088" hidden="1">
      <c r="A1088" s="33" t="s">
        <v>5492</v>
      </c>
      <c r="B1088" s="30" t="s">
        <v>139</v>
      </c>
      <c r="C1088" s="30" t="s">
        <v>141</v>
      </c>
      <c r="D1088" s="30" t="s">
        <v>244</v>
      </c>
      <c r="E1088" s="35">
        <v>42739.0</v>
      </c>
      <c r="F1088" s="37" t="s">
        <v>154</v>
      </c>
      <c r="G1088" s="30" t="s">
        <v>6086</v>
      </c>
      <c r="H1088" s="30" t="s">
        <v>145</v>
      </c>
      <c r="I1088" s="30" t="s">
        <v>145</v>
      </c>
      <c r="J1088" s="30" t="s">
        <v>145</v>
      </c>
      <c r="K1088" s="30" t="s">
        <v>145</v>
      </c>
      <c r="L1088" s="30" t="s">
        <v>145</v>
      </c>
      <c r="M1088" s="30" t="s">
        <v>145</v>
      </c>
      <c r="N1088" s="30" t="s">
        <v>145</v>
      </c>
      <c r="O1088" s="30" t="s">
        <v>145</v>
      </c>
      <c r="P1088" s="30" t="s">
        <v>145</v>
      </c>
      <c r="Q1088" s="30" t="s">
        <v>2544</v>
      </c>
    </row>
    <row r="1089" hidden="1">
      <c r="A1089" s="33" t="s">
        <v>5498</v>
      </c>
      <c r="B1089" s="30" t="s">
        <v>139</v>
      </c>
      <c r="C1089" s="30" t="s">
        <v>453</v>
      </c>
      <c r="D1089" s="30" t="s">
        <v>244</v>
      </c>
      <c r="E1089" s="35">
        <v>42739.0</v>
      </c>
      <c r="F1089" s="37" t="s">
        <v>154</v>
      </c>
      <c r="G1089" s="30" t="s">
        <v>1749</v>
      </c>
      <c r="H1089" s="30" t="s">
        <v>145</v>
      </c>
      <c r="I1089" s="30" t="s">
        <v>145</v>
      </c>
      <c r="J1089" s="30" t="s">
        <v>145</v>
      </c>
      <c r="K1089" s="30" t="s">
        <v>145</v>
      </c>
      <c r="L1089" s="30" t="s">
        <v>145</v>
      </c>
      <c r="M1089" s="30" t="s">
        <v>145</v>
      </c>
      <c r="N1089" s="30" t="s">
        <v>145</v>
      </c>
      <c r="O1089" s="30" t="s">
        <v>145</v>
      </c>
      <c r="P1089" s="30" t="s">
        <v>145</v>
      </c>
      <c r="Q1089" s="30" t="s">
        <v>2544</v>
      </c>
    </row>
    <row r="1090" hidden="1">
      <c r="A1090" s="33" t="s">
        <v>5503</v>
      </c>
      <c r="B1090" s="30" t="s">
        <v>139</v>
      </c>
      <c r="C1090" s="30" t="s">
        <v>141</v>
      </c>
      <c r="D1090" s="30" t="s">
        <v>244</v>
      </c>
      <c r="E1090" s="35">
        <v>42739.0</v>
      </c>
      <c r="F1090" s="37" t="s">
        <v>154</v>
      </c>
      <c r="G1090" s="30" t="s">
        <v>6086</v>
      </c>
      <c r="H1090" s="30" t="s">
        <v>145</v>
      </c>
      <c r="I1090" s="30" t="s">
        <v>145</v>
      </c>
      <c r="J1090" s="30" t="s">
        <v>145</v>
      </c>
      <c r="K1090" s="30" t="s">
        <v>145</v>
      </c>
      <c r="L1090" s="30" t="s">
        <v>145</v>
      </c>
      <c r="M1090" s="30" t="s">
        <v>145</v>
      </c>
      <c r="N1090" s="30" t="s">
        <v>145</v>
      </c>
      <c r="O1090" s="30" t="s">
        <v>145</v>
      </c>
      <c r="P1090" s="30" t="s">
        <v>145</v>
      </c>
      <c r="Q1090" s="30" t="s">
        <v>5608</v>
      </c>
    </row>
    <row r="1091" hidden="1">
      <c r="A1091" s="33" t="s">
        <v>5511</v>
      </c>
      <c r="B1091" s="30" t="s">
        <v>139</v>
      </c>
      <c r="C1091" s="30" t="s">
        <v>140</v>
      </c>
      <c r="D1091" s="30" t="s">
        <v>244</v>
      </c>
      <c r="E1091" s="35">
        <v>42739.0</v>
      </c>
      <c r="F1091" s="37" t="s">
        <v>150</v>
      </c>
      <c r="G1091" s="30" t="s">
        <v>144</v>
      </c>
      <c r="H1091" s="30" t="s">
        <v>146</v>
      </c>
      <c r="I1091" s="30" t="s">
        <v>146</v>
      </c>
      <c r="J1091" s="30" t="s">
        <v>4738</v>
      </c>
      <c r="K1091" s="30" t="s">
        <v>5900</v>
      </c>
      <c r="L1091" s="30" t="s">
        <v>1348</v>
      </c>
      <c r="M1091" s="30" t="s">
        <v>5696</v>
      </c>
      <c r="N1091" s="2" t="s">
        <v>4738</v>
      </c>
      <c r="O1091" s="30" t="s">
        <v>145</v>
      </c>
      <c r="P1091" s="30" t="s">
        <v>145</v>
      </c>
      <c r="Q1091" s="30" t="s">
        <v>146</v>
      </c>
    </row>
    <row r="1092" hidden="1">
      <c r="A1092" s="33" t="s">
        <v>5515</v>
      </c>
      <c r="B1092" s="30" t="s">
        <v>139</v>
      </c>
      <c r="C1092" s="30" t="s">
        <v>453</v>
      </c>
      <c r="D1092" s="30" t="s">
        <v>244</v>
      </c>
      <c r="E1092" s="35">
        <v>42739.0</v>
      </c>
      <c r="F1092" s="37" t="s">
        <v>154</v>
      </c>
      <c r="G1092" s="30" t="s">
        <v>1749</v>
      </c>
      <c r="H1092" s="30" t="s">
        <v>145</v>
      </c>
      <c r="I1092" s="30" t="s">
        <v>145</v>
      </c>
      <c r="J1092" s="30" t="s">
        <v>145</v>
      </c>
      <c r="K1092" s="30" t="s">
        <v>145</v>
      </c>
      <c r="L1092" s="30" t="s">
        <v>145</v>
      </c>
      <c r="M1092" s="30" t="s">
        <v>145</v>
      </c>
      <c r="N1092" s="30" t="s">
        <v>145</v>
      </c>
      <c r="O1092" s="30" t="s">
        <v>145</v>
      </c>
      <c r="P1092" s="30" t="s">
        <v>145</v>
      </c>
      <c r="Q1092" s="30" t="s">
        <v>2544</v>
      </c>
    </row>
    <row r="1093" hidden="1">
      <c r="A1093" s="33" t="s">
        <v>5520</v>
      </c>
      <c r="B1093" s="30" t="s">
        <v>139</v>
      </c>
      <c r="C1093" s="30" t="s">
        <v>141</v>
      </c>
      <c r="D1093" s="30" t="s">
        <v>244</v>
      </c>
      <c r="E1093" s="35">
        <v>42739.0</v>
      </c>
      <c r="F1093" s="37" t="s">
        <v>154</v>
      </c>
      <c r="G1093" s="30" t="s">
        <v>6086</v>
      </c>
      <c r="H1093" s="30" t="s">
        <v>145</v>
      </c>
      <c r="I1093" s="30" t="s">
        <v>145</v>
      </c>
      <c r="J1093" s="30" t="s">
        <v>145</v>
      </c>
      <c r="K1093" s="30" t="s">
        <v>145</v>
      </c>
      <c r="L1093" s="30" t="s">
        <v>145</v>
      </c>
      <c r="M1093" s="30" t="s">
        <v>145</v>
      </c>
      <c r="N1093" s="30" t="s">
        <v>145</v>
      </c>
      <c r="O1093" s="30" t="s">
        <v>145</v>
      </c>
      <c r="P1093" s="30" t="s">
        <v>145</v>
      </c>
      <c r="Q1093" s="30" t="s">
        <v>2544</v>
      </c>
    </row>
    <row r="1094" hidden="1">
      <c r="A1094" s="33" t="s">
        <v>5526</v>
      </c>
      <c r="B1094" s="30" t="s">
        <v>139</v>
      </c>
      <c r="C1094" s="30" t="s">
        <v>453</v>
      </c>
      <c r="D1094" s="30" t="s">
        <v>244</v>
      </c>
      <c r="E1094" s="35">
        <v>42739.0</v>
      </c>
      <c r="F1094" s="37" t="s">
        <v>154</v>
      </c>
      <c r="G1094" s="30" t="s">
        <v>1749</v>
      </c>
      <c r="H1094" s="30" t="s">
        <v>145</v>
      </c>
      <c r="I1094" s="30" t="s">
        <v>145</v>
      </c>
      <c r="J1094" s="30" t="s">
        <v>145</v>
      </c>
      <c r="K1094" s="30" t="s">
        <v>145</v>
      </c>
      <c r="L1094" s="30" t="s">
        <v>145</v>
      </c>
      <c r="M1094" s="30" t="s">
        <v>145</v>
      </c>
      <c r="N1094" s="30" t="s">
        <v>145</v>
      </c>
      <c r="O1094" s="30" t="s">
        <v>145</v>
      </c>
      <c r="P1094" s="30" t="s">
        <v>145</v>
      </c>
      <c r="Q1094" s="30" t="s">
        <v>2544</v>
      </c>
    </row>
    <row r="1095" hidden="1">
      <c r="A1095" s="33" t="s">
        <v>5532</v>
      </c>
      <c r="B1095" s="30" t="s">
        <v>139</v>
      </c>
      <c r="C1095" s="30" t="s">
        <v>141</v>
      </c>
      <c r="D1095" s="30" t="s">
        <v>244</v>
      </c>
      <c r="E1095" s="35">
        <v>42739.0</v>
      </c>
      <c r="F1095" s="37" t="s">
        <v>154</v>
      </c>
      <c r="G1095" s="30" t="s">
        <v>6086</v>
      </c>
      <c r="H1095" s="30" t="s">
        <v>145</v>
      </c>
      <c r="I1095" s="30" t="s">
        <v>145</v>
      </c>
      <c r="J1095" s="30" t="s">
        <v>145</v>
      </c>
      <c r="K1095" s="30" t="s">
        <v>145</v>
      </c>
      <c r="L1095" s="30" t="s">
        <v>145</v>
      </c>
      <c r="M1095" s="30" t="s">
        <v>145</v>
      </c>
      <c r="N1095" s="30" t="s">
        <v>145</v>
      </c>
      <c r="O1095" s="30" t="s">
        <v>145</v>
      </c>
      <c r="P1095" s="30" t="s">
        <v>145</v>
      </c>
      <c r="Q1095" s="30" t="s">
        <v>2544</v>
      </c>
    </row>
    <row r="1096" hidden="1">
      <c r="A1096" s="33" t="s">
        <v>5536</v>
      </c>
      <c r="B1096" s="30" t="s">
        <v>139</v>
      </c>
      <c r="C1096" s="30" t="s">
        <v>453</v>
      </c>
      <c r="D1096" s="30" t="s">
        <v>244</v>
      </c>
      <c r="E1096" s="35">
        <v>42739.0</v>
      </c>
      <c r="F1096" s="37" t="s">
        <v>154</v>
      </c>
      <c r="G1096" s="30" t="s">
        <v>1749</v>
      </c>
      <c r="H1096" s="30" t="s">
        <v>145</v>
      </c>
      <c r="I1096" s="30" t="s">
        <v>145</v>
      </c>
      <c r="J1096" s="30" t="s">
        <v>145</v>
      </c>
      <c r="K1096" s="30" t="s">
        <v>145</v>
      </c>
      <c r="L1096" s="30" t="s">
        <v>145</v>
      </c>
      <c r="M1096" s="30" t="s">
        <v>145</v>
      </c>
      <c r="N1096" s="30" t="s">
        <v>145</v>
      </c>
      <c r="O1096" s="30" t="s">
        <v>145</v>
      </c>
      <c r="P1096" s="30" t="s">
        <v>145</v>
      </c>
      <c r="Q1096" s="30" t="s">
        <v>2544</v>
      </c>
    </row>
    <row r="1097" hidden="1">
      <c r="A1097" s="33" t="s">
        <v>5544</v>
      </c>
      <c r="B1097" s="30" t="s">
        <v>139</v>
      </c>
      <c r="C1097" s="30" t="s">
        <v>141</v>
      </c>
      <c r="D1097" s="30" t="s">
        <v>244</v>
      </c>
      <c r="E1097" s="35">
        <v>42739.0</v>
      </c>
      <c r="F1097" s="37" t="s">
        <v>154</v>
      </c>
      <c r="G1097" s="30" t="s">
        <v>6119</v>
      </c>
      <c r="H1097" s="30" t="s">
        <v>145</v>
      </c>
      <c r="I1097" s="30" t="s">
        <v>145</v>
      </c>
      <c r="J1097" s="30" t="s">
        <v>145</v>
      </c>
      <c r="K1097" s="30" t="s">
        <v>145</v>
      </c>
      <c r="L1097" s="30" t="s">
        <v>145</v>
      </c>
      <c r="M1097" s="30" t="s">
        <v>145</v>
      </c>
      <c r="N1097" s="30" t="s">
        <v>145</v>
      </c>
      <c r="O1097" s="30" t="s">
        <v>145</v>
      </c>
      <c r="P1097" s="30" t="s">
        <v>145</v>
      </c>
      <c r="Q1097" s="30" t="s">
        <v>4095</v>
      </c>
    </row>
    <row r="1098" hidden="1">
      <c r="A1098" s="33" t="s">
        <v>5547</v>
      </c>
      <c r="B1098" s="30" t="s">
        <v>139</v>
      </c>
      <c r="C1098" s="30" t="s">
        <v>5196</v>
      </c>
      <c r="D1098" s="30" t="s">
        <v>609</v>
      </c>
      <c r="E1098" s="35">
        <v>42738.0</v>
      </c>
      <c r="F1098" s="37" t="s">
        <v>184</v>
      </c>
      <c r="G1098" s="30" t="s">
        <v>171</v>
      </c>
      <c r="H1098" s="30" t="s">
        <v>146</v>
      </c>
      <c r="I1098" s="30" t="s">
        <v>146</v>
      </c>
      <c r="J1098" s="30" t="s">
        <v>6122</v>
      </c>
      <c r="K1098" s="30" t="s">
        <v>6123</v>
      </c>
      <c r="L1098" s="30" t="s">
        <v>6124</v>
      </c>
      <c r="M1098" s="162" t="s">
        <v>145</v>
      </c>
      <c r="N1098" s="30" t="s">
        <v>145</v>
      </c>
      <c r="O1098" s="30" t="s">
        <v>145</v>
      </c>
      <c r="P1098" s="30" t="s">
        <v>145</v>
      </c>
      <c r="Q1098" s="30" t="s">
        <v>6123</v>
      </c>
    </row>
    <row r="1099" hidden="1">
      <c r="A1099" s="33" t="s">
        <v>5552</v>
      </c>
      <c r="B1099" s="30" t="s">
        <v>139</v>
      </c>
      <c r="C1099" s="30" t="s">
        <v>140</v>
      </c>
      <c r="D1099" s="30" t="s">
        <v>140</v>
      </c>
      <c r="E1099" s="43">
        <v>42734.0</v>
      </c>
      <c r="F1099" s="44" t="s">
        <v>184</v>
      </c>
      <c r="G1099" s="30" t="s">
        <v>503</v>
      </c>
      <c r="H1099" s="30" t="s">
        <v>145</v>
      </c>
      <c r="I1099" s="30" t="s">
        <v>146</v>
      </c>
      <c r="J1099" s="2" t="s">
        <v>146</v>
      </c>
      <c r="K1099" s="30" t="s">
        <v>145</v>
      </c>
      <c r="L1099" s="30" t="s">
        <v>145</v>
      </c>
      <c r="M1099" s="30" t="s">
        <v>145</v>
      </c>
      <c r="N1099" s="30" t="s">
        <v>145</v>
      </c>
      <c r="O1099" s="30" t="s">
        <v>145</v>
      </c>
      <c r="P1099" s="30" t="s">
        <v>145</v>
      </c>
      <c r="Q1099" s="30" t="s">
        <v>146</v>
      </c>
    </row>
    <row r="1100" hidden="1">
      <c r="A1100" s="33" t="s">
        <v>5556</v>
      </c>
      <c r="B1100" s="30" t="s">
        <v>139</v>
      </c>
      <c r="C1100" s="30" t="s">
        <v>337</v>
      </c>
      <c r="D1100" s="30" t="s">
        <v>177</v>
      </c>
      <c r="E1100" s="43">
        <v>42733.0</v>
      </c>
      <c r="F1100" s="44" t="s">
        <v>154</v>
      </c>
      <c r="G1100" s="30" t="s">
        <v>4710</v>
      </c>
      <c r="H1100" s="30" t="s">
        <v>145</v>
      </c>
      <c r="I1100" s="30" t="s">
        <v>145</v>
      </c>
      <c r="J1100" s="30" t="s">
        <v>145</v>
      </c>
      <c r="K1100" s="30" t="s">
        <v>145</v>
      </c>
      <c r="L1100" s="30" t="s">
        <v>145</v>
      </c>
      <c r="M1100" s="30" t="s">
        <v>145</v>
      </c>
      <c r="N1100" s="30" t="s">
        <v>145</v>
      </c>
      <c r="O1100" s="30" t="s">
        <v>145</v>
      </c>
      <c r="P1100" s="30" t="s">
        <v>145</v>
      </c>
      <c r="Q1100" s="30" t="s">
        <v>1471</v>
      </c>
    </row>
    <row r="1101" hidden="1">
      <c r="A1101" s="33" t="s">
        <v>5561</v>
      </c>
      <c r="B1101" s="30" t="s">
        <v>139</v>
      </c>
      <c r="C1101" s="30" t="s">
        <v>453</v>
      </c>
      <c r="D1101" s="30" t="s">
        <v>177</v>
      </c>
      <c r="E1101" s="43">
        <v>42733.0</v>
      </c>
      <c r="F1101" s="44" t="s">
        <v>154</v>
      </c>
      <c r="G1101" s="30" t="s">
        <v>5130</v>
      </c>
      <c r="H1101" s="30" t="s">
        <v>145</v>
      </c>
      <c r="I1101" s="30" t="s">
        <v>145</v>
      </c>
      <c r="J1101" s="30" t="s">
        <v>145</v>
      </c>
      <c r="K1101" s="30" t="s">
        <v>145</v>
      </c>
      <c r="L1101" s="30" t="s">
        <v>145</v>
      </c>
      <c r="M1101" s="30" t="s">
        <v>145</v>
      </c>
      <c r="N1101" s="30" t="s">
        <v>145</v>
      </c>
      <c r="O1101" s="30" t="s">
        <v>145</v>
      </c>
      <c r="P1101" s="30" t="s">
        <v>145</v>
      </c>
      <c r="Q1101" s="30" t="s">
        <v>1471</v>
      </c>
    </row>
    <row r="1102" hidden="1">
      <c r="A1102" s="33" t="s">
        <v>5566</v>
      </c>
      <c r="B1102" s="30" t="s">
        <v>139</v>
      </c>
      <c r="C1102" s="30" t="s">
        <v>140</v>
      </c>
      <c r="D1102" s="30" t="s">
        <v>4728</v>
      </c>
      <c r="E1102" s="43">
        <v>42733.0</v>
      </c>
      <c r="F1102" s="44" t="s">
        <v>269</v>
      </c>
      <c r="G1102" s="30" t="s">
        <v>6141</v>
      </c>
      <c r="H1102" s="30" t="s">
        <v>145</v>
      </c>
      <c r="I1102" s="30" t="s">
        <v>145</v>
      </c>
      <c r="J1102" s="30" t="s">
        <v>145</v>
      </c>
      <c r="K1102" s="30" t="s">
        <v>145</v>
      </c>
      <c r="L1102" s="30" t="s">
        <v>145</v>
      </c>
      <c r="M1102" s="30" t="s">
        <v>145</v>
      </c>
      <c r="N1102" s="30" t="s">
        <v>145</v>
      </c>
      <c r="O1102" s="30" t="s">
        <v>145</v>
      </c>
      <c r="P1102" s="30" t="s">
        <v>145</v>
      </c>
      <c r="Q1102" s="30" t="s">
        <v>146</v>
      </c>
    </row>
    <row r="1103" hidden="1">
      <c r="A1103" s="33" t="s">
        <v>5570</v>
      </c>
      <c r="B1103" s="30" t="s">
        <v>139</v>
      </c>
      <c r="C1103" s="30" t="s">
        <v>140</v>
      </c>
      <c r="D1103" s="30" t="s">
        <v>337</v>
      </c>
      <c r="E1103" s="43">
        <v>42731.0</v>
      </c>
      <c r="F1103" s="44" t="s">
        <v>150</v>
      </c>
      <c r="G1103" s="30" t="s">
        <v>146</v>
      </c>
      <c r="H1103" s="30" t="s">
        <v>146</v>
      </c>
      <c r="I1103" s="30" t="s">
        <v>146</v>
      </c>
      <c r="J1103" s="30" t="s">
        <v>6148</v>
      </c>
      <c r="K1103" s="30" t="s">
        <v>6149</v>
      </c>
      <c r="L1103" s="30" t="s">
        <v>6150</v>
      </c>
      <c r="M1103" s="30" t="s">
        <v>146</v>
      </c>
      <c r="N1103" s="30" t="s">
        <v>145</v>
      </c>
      <c r="O1103" s="30" t="s">
        <v>145</v>
      </c>
      <c r="P1103" s="30" t="s">
        <v>145</v>
      </c>
      <c r="Q1103" s="30" t="s">
        <v>146</v>
      </c>
    </row>
    <row r="1104" hidden="1">
      <c r="A1104" s="33" t="s">
        <v>5577</v>
      </c>
      <c r="B1104" s="30" t="s">
        <v>139</v>
      </c>
      <c r="C1104" s="30" t="s">
        <v>453</v>
      </c>
      <c r="D1104" s="30" t="s">
        <v>244</v>
      </c>
      <c r="E1104" s="43">
        <v>42727.0</v>
      </c>
      <c r="F1104" s="44" t="s">
        <v>154</v>
      </c>
      <c r="G1104" s="30" t="s">
        <v>4095</v>
      </c>
      <c r="H1104" s="30" t="s">
        <v>145</v>
      </c>
      <c r="I1104" s="30" t="s">
        <v>145</v>
      </c>
      <c r="J1104" s="30" t="s">
        <v>145</v>
      </c>
      <c r="K1104" s="30" t="s">
        <v>145</v>
      </c>
      <c r="L1104" s="30" t="s">
        <v>145</v>
      </c>
      <c r="M1104" s="30" t="s">
        <v>145</v>
      </c>
      <c r="N1104" s="30" t="s">
        <v>145</v>
      </c>
      <c r="O1104" s="30" t="s">
        <v>145</v>
      </c>
      <c r="P1104" s="30" t="s">
        <v>145</v>
      </c>
      <c r="Q1104" s="30" t="s">
        <v>2544</v>
      </c>
    </row>
    <row r="1105" hidden="1">
      <c r="A1105" s="33" t="s">
        <v>5583</v>
      </c>
      <c r="B1105" s="30" t="s">
        <v>139</v>
      </c>
      <c r="C1105" s="30" t="s">
        <v>141</v>
      </c>
      <c r="D1105" s="30" t="s">
        <v>244</v>
      </c>
      <c r="E1105" s="43">
        <v>42727.0</v>
      </c>
      <c r="F1105" s="44" t="s">
        <v>154</v>
      </c>
      <c r="G1105" s="30" t="s">
        <v>5608</v>
      </c>
      <c r="H1105" s="30" t="s">
        <v>145</v>
      </c>
      <c r="I1105" s="30" t="s">
        <v>145</v>
      </c>
      <c r="J1105" s="30" t="s">
        <v>145</v>
      </c>
      <c r="K1105" s="30" t="s">
        <v>145</v>
      </c>
      <c r="L1105" s="30" t="s">
        <v>145</v>
      </c>
      <c r="M1105" s="30" t="s">
        <v>145</v>
      </c>
      <c r="N1105" s="30" t="s">
        <v>145</v>
      </c>
      <c r="O1105" s="30" t="s">
        <v>145</v>
      </c>
      <c r="P1105" s="30" t="s">
        <v>145</v>
      </c>
      <c r="Q1105" s="30" t="s">
        <v>2544</v>
      </c>
    </row>
    <row r="1106" hidden="1">
      <c r="A1106" s="33" t="s">
        <v>5587</v>
      </c>
      <c r="B1106" s="30" t="s">
        <v>139</v>
      </c>
      <c r="C1106" s="30" t="s">
        <v>141</v>
      </c>
      <c r="D1106" s="30" t="s">
        <v>244</v>
      </c>
      <c r="E1106" s="43">
        <v>42727.0</v>
      </c>
      <c r="F1106" s="44" t="s">
        <v>154</v>
      </c>
      <c r="G1106" s="30" t="s">
        <v>5608</v>
      </c>
      <c r="H1106" s="30" t="s">
        <v>145</v>
      </c>
      <c r="I1106" s="30" t="s">
        <v>145</v>
      </c>
      <c r="J1106" s="30" t="s">
        <v>145</v>
      </c>
      <c r="K1106" s="30" t="s">
        <v>145</v>
      </c>
      <c r="L1106" s="30" t="s">
        <v>145</v>
      </c>
      <c r="M1106" s="30" t="s">
        <v>145</v>
      </c>
      <c r="N1106" s="30" t="s">
        <v>145</v>
      </c>
      <c r="O1106" s="30" t="s">
        <v>145</v>
      </c>
      <c r="P1106" s="30" t="s">
        <v>145</v>
      </c>
      <c r="Q1106" s="30" t="s">
        <v>2544</v>
      </c>
    </row>
    <row r="1107" hidden="1">
      <c r="A1107" s="33" t="s">
        <v>5591</v>
      </c>
      <c r="B1107" s="30" t="s">
        <v>139</v>
      </c>
      <c r="C1107" s="30" t="s">
        <v>140</v>
      </c>
      <c r="D1107" s="30" t="s">
        <v>5595</v>
      </c>
      <c r="E1107" s="43">
        <v>42724.0</v>
      </c>
      <c r="F1107" s="44" t="s">
        <v>269</v>
      </c>
      <c r="G1107" s="30" t="s">
        <v>1636</v>
      </c>
      <c r="H1107" s="30" t="s">
        <v>145</v>
      </c>
      <c r="I1107" s="30" t="s">
        <v>145</v>
      </c>
      <c r="J1107" s="30" t="s">
        <v>145</v>
      </c>
      <c r="K1107" s="30" t="s">
        <v>145</v>
      </c>
      <c r="L1107" s="30" t="s">
        <v>145</v>
      </c>
      <c r="M1107" s="30" t="s">
        <v>145</v>
      </c>
      <c r="N1107" s="30" t="s">
        <v>145</v>
      </c>
      <c r="O1107" s="30" t="s">
        <v>145</v>
      </c>
      <c r="P1107" s="30" t="s">
        <v>145</v>
      </c>
      <c r="Q1107" s="30" t="s">
        <v>146</v>
      </c>
    </row>
    <row r="1108" hidden="1">
      <c r="A1108" s="33" t="s">
        <v>5597</v>
      </c>
      <c r="B1108" s="30" t="s">
        <v>139</v>
      </c>
      <c r="C1108" s="30" t="s">
        <v>140</v>
      </c>
      <c r="D1108" s="30" t="s">
        <v>1313</v>
      </c>
      <c r="E1108" s="43">
        <v>42724.0</v>
      </c>
      <c r="F1108" s="44" t="s">
        <v>150</v>
      </c>
      <c r="G1108" s="30" t="s">
        <v>6174</v>
      </c>
      <c r="H1108" s="30" t="s">
        <v>4738</v>
      </c>
      <c r="I1108" s="30" t="s">
        <v>4738</v>
      </c>
      <c r="J1108" s="30" t="s">
        <v>5307</v>
      </c>
      <c r="K1108" s="30" t="s">
        <v>6175</v>
      </c>
      <c r="L1108" s="30" t="s">
        <v>2944</v>
      </c>
      <c r="M1108" s="30" t="s">
        <v>185</v>
      </c>
      <c r="N1108" s="30" t="s">
        <v>145</v>
      </c>
      <c r="O1108" s="30" t="s">
        <v>145</v>
      </c>
      <c r="P1108" s="30" t="s">
        <v>145</v>
      </c>
      <c r="Q1108" s="30" t="s">
        <v>146</v>
      </c>
    </row>
    <row r="1109" hidden="1">
      <c r="A1109" s="33" t="s">
        <v>5602</v>
      </c>
      <c r="B1109" s="30" t="s">
        <v>139</v>
      </c>
      <c r="C1109" s="30" t="s">
        <v>140</v>
      </c>
      <c r="D1109" s="30" t="s">
        <v>140</v>
      </c>
      <c r="E1109" s="43">
        <v>42723.0</v>
      </c>
      <c r="F1109" s="44" t="s">
        <v>452</v>
      </c>
      <c r="G1109" s="30" t="s">
        <v>6180</v>
      </c>
      <c r="H1109" s="30" t="s">
        <v>145</v>
      </c>
      <c r="I1109" s="30" t="s">
        <v>146</v>
      </c>
      <c r="J1109" s="30" t="s">
        <v>146</v>
      </c>
      <c r="K1109" s="30" t="s">
        <v>146</v>
      </c>
      <c r="L1109" s="2" t="s">
        <v>146</v>
      </c>
      <c r="M1109" s="30" t="s">
        <v>145</v>
      </c>
      <c r="N1109" s="30" t="s">
        <v>145</v>
      </c>
      <c r="O1109" s="30" t="s">
        <v>145</v>
      </c>
      <c r="P1109" s="30" t="s">
        <v>145</v>
      </c>
      <c r="Q1109" s="30" t="s">
        <v>146</v>
      </c>
    </row>
    <row r="1110" hidden="1">
      <c r="A1110" s="33" t="s">
        <v>5606</v>
      </c>
      <c r="B1110" s="30" t="s">
        <v>139</v>
      </c>
      <c r="C1110" s="30" t="s">
        <v>140</v>
      </c>
      <c r="D1110" s="30" t="s">
        <v>337</v>
      </c>
      <c r="E1110" s="35">
        <v>42712.0</v>
      </c>
      <c r="F1110" s="37" t="s">
        <v>150</v>
      </c>
      <c r="G1110" s="30" t="s">
        <v>146</v>
      </c>
      <c r="H1110" s="30" t="s">
        <v>146</v>
      </c>
      <c r="I1110" s="30" t="s">
        <v>457</v>
      </c>
      <c r="J1110" s="30" t="s">
        <v>654</v>
      </c>
      <c r="K1110" s="30" t="s">
        <v>146</v>
      </c>
      <c r="L1110" s="30" t="s">
        <v>540</v>
      </c>
      <c r="M1110" s="2" t="s">
        <v>146</v>
      </c>
      <c r="N1110" s="30" t="s">
        <v>145</v>
      </c>
      <c r="O1110" s="30" t="s">
        <v>145</v>
      </c>
      <c r="P1110" s="30" t="s">
        <v>145</v>
      </c>
      <c r="Q1110" s="30" t="s">
        <v>146</v>
      </c>
    </row>
    <row r="1111" hidden="1">
      <c r="A1111" s="33" t="s">
        <v>5611</v>
      </c>
      <c r="B1111" s="30" t="s">
        <v>139</v>
      </c>
      <c r="C1111" s="30" t="s">
        <v>4827</v>
      </c>
      <c r="D1111" s="30" t="s">
        <v>337</v>
      </c>
      <c r="E1111" s="35">
        <v>42712.0</v>
      </c>
      <c r="F1111" s="37" t="s">
        <v>184</v>
      </c>
      <c r="G1111" s="30" t="s">
        <v>163</v>
      </c>
      <c r="H1111" s="30" t="s">
        <v>146</v>
      </c>
      <c r="I1111" s="30" t="s">
        <v>6187</v>
      </c>
      <c r="J1111" s="30" t="s">
        <v>5837</v>
      </c>
      <c r="K1111" s="30" t="s">
        <v>5837</v>
      </c>
      <c r="L1111" s="30" t="s">
        <v>6189</v>
      </c>
      <c r="M1111" s="30" t="s">
        <v>145</v>
      </c>
      <c r="N1111" s="30" t="s">
        <v>145</v>
      </c>
      <c r="O1111" s="30" t="s">
        <v>145</v>
      </c>
      <c r="P1111" s="30" t="s">
        <v>145</v>
      </c>
      <c r="Q1111" s="30" t="s">
        <v>5837</v>
      </c>
    </row>
    <row r="1112" hidden="1">
      <c r="A1112" s="33" t="s">
        <v>5617</v>
      </c>
      <c r="B1112" s="30" t="s">
        <v>139</v>
      </c>
      <c r="C1112" s="30" t="s">
        <v>5621</v>
      </c>
      <c r="D1112" s="30" t="s">
        <v>216</v>
      </c>
      <c r="E1112" s="35">
        <v>42712.0</v>
      </c>
      <c r="F1112" s="37" t="s">
        <v>184</v>
      </c>
      <c r="G1112" s="30" t="s">
        <v>1000</v>
      </c>
      <c r="H1112" s="30" t="s">
        <v>146</v>
      </c>
      <c r="I1112" s="30" t="s">
        <v>626</v>
      </c>
      <c r="J1112" s="30" t="s">
        <v>6193</v>
      </c>
      <c r="K1112" s="162" t="s">
        <v>145</v>
      </c>
      <c r="L1112" s="162" t="s">
        <v>145</v>
      </c>
      <c r="M1112" s="162" t="s">
        <v>145</v>
      </c>
      <c r="N1112" s="30" t="s">
        <v>145</v>
      </c>
      <c r="O1112" s="30" t="s">
        <v>145</v>
      </c>
      <c r="P1112" s="30" t="s">
        <v>145</v>
      </c>
      <c r="Q1112" s="30" t="s">
        <v>6195</v>
      </c>
    </row>
    <row r="1113" hidden="1">
      <c r="A1113" s="33" t="s">
        <v>5622</v>
      </c>
      <c r="B1113" s="30" t="s">
        <v>139</v>
      </c>
      <c r="C1113" s="30" t="s">
        <v>337</v>
      </c>
      <c r="D1113" s="30" t="s">
        <v>177</v>
      </c>
      <c r="E1113" s="35">
        <v>42710.0</v>
      </c>
      <c r="F1113" s="37" t="s">
        <v>154</v>
      </c>
      <c r="G1113" s="30" t="s">
        <v>4710</v>
      </c>
      <c r="H1113" s="30" t="s">
        <v>145</v>
      </c>
      <c r="I1113" s="30" t="s">
        <v>145</v>
      </c>
      <c r="J1113" s="30" t="s">
        <v>145</v>
      </c>
      <c r="K1113" s="30" t="s">
        <v>145</v>
      </c>
      <c r="L1113" s="30" t="s">
        <v>145</v>
      </c>
      <c r="M1113" s="30" t="s">
        <v>145</v>
      </c>
      <c r="N1113" s="30" t="s">
        <v>145</v>
      </c>
      <c r="O1113" s="30" t="s">
        <v>145</v>
      </c>
      <c r="P1113" s="30" t="s">
        <v>145</v>
      </c>
      <c r="Q1113" s="30" t="s">
        <v>1471</v>
      </c>
    </row>
    <row r="1114" hidden="1">
      <c r="A1114" s="33" t="s">
        <v>5626</v>
      </c>
      <c r="B1114" s="30" t="s">
        <v>139</v>
      </c>
      <c r="C1114" s="30" t="s">
        <v>453</v>
      </c>
      <c r="D1114" s="30" t="s">
        <v>177</v>
      </c>
      <c r="E1114" s="35">
        <v>42710.0</v>
      </c>
      <c r="F1114" s="37" t="s">
        <v>154</v>
      </c>
      <c r="G1114" s="30" t="s">
        <v>1471</v>
      </c>
      <c r="H1114" s="30" t="s">
        <v>145</v>
      </c>
      <c r="I1114" s="30" t="s">
        <v>145</v>
      </c>
      <c r="J1114" s="30" t="s">
        <v>145</v>
      </c>
      <c r="K1114" s="30" t="s">
        <v>145</v>
      </c>
      <c r="L1114" s="30" t="s">
        <v>145</v>
      </c>
      <c r="M1114" s="30" t="s">
        <v>145</v>
      </c>
      <c r="N1114" s="30" t="s">
        <v>145</v>
      </c>
      <c r="O1114" s="30" t="s">
        <v>145</v>
      </c>
      <c r="P1114" s="30" t="s">
        <v>145</v>
      </c>
      <c r="Q1114" s="30" t="s">
        <v>1471</v>
      </c>
    </row>
    <row r="1115" hidden="1">
      <c r="A1115" s="33" t="s">
        <v>5630</v>
      </c>
      <c r="B1115" s="30" t="s">
        <v>139</v>
      </c>
      <c r="C1115" s="30" t="s">
        <v>140</v>
      </c>
      <c r="D1115" s="30" t="s">
        <v>5270</v>
      </c>
      <c r="E1115" s="35">
        <v>42710.0</v>
      </c>
      <c r="F1115" s="37" t="s">
        <v>143</v>
      </c>
      <c r="G1115" s="30" t="s">
        <v>163</v>
      </c>
      <c r="H1115" s="30" t="s">
        <v>145</v>
      </c>
      <c r="I1115" s="30" t="s">
        <v>145</v>
      </c>
      <c r="J1115" s="30" t="s">
        <v>145</v>
      </c>
      <c r="K1115" s="30" t="s">
        <v>145</v>
      </c>
      <c r="L1115" s="30" t="s">
        <v>145</v>
      </c>
      <c r="M1115" s="30" t="s">
        <v>145</v>
      </c>
      <c r="N1115" s="30" t="s">
        <v>145</v>
      </c>
      <c r="O1115" s="30" t="s">
        <v>145</v>
      </c>
      <c r="P1115" s="30" t="s">
        <v>145</v>
      </c>
      <c r="Q1115" s="30" t="s">
        <v>146</v>
      </c>
    </row>
    <row r="1116" hidden="1">
      <c r="A1116" s="33" t="s">
        <v>5637</v>
      </c>
      <c r="B1116" s="30" t="s">
        <v>139</v>
      </c>
      <c r="C1116" s="30" t="s">
        <v>337</v>
      </c>
      <c r="D1116" s="30" t="s">
        <v>4728</v>
      </c>
      <c r="E1116" s="35">
        <v>42709.0</v>
      </c>
      <c r="F1116" s="37" t="s">
        <v>154</v>
      </c>
      <c r="G1116" s="30" t="s">
        <v>6206</v>
      </c>
      <c r="H1116" s="30" t="s">
        <v>145</v>
      </c>
      <c r="I1116" s="30" t="s">
        <v>145</v>
      </c>
      <c r="J1116" s="30" t="s">
        <v>145</v>
      </c>
      <c r="K1116" s="30" t="s">
        <v>145</v>
      </c>
      <c r="L1116" s="30" t="s">
        <v>145</v>
      </c>
      <c r="M1116" s="30" t="s">
        <v>145</v>
      </c>
      <c r="N1116" s="30" t="s">
        <v>145</v>
      </c>
      <c r="O1116" s="30" t="s">
        <v>145</v>
      </c>
      <c r="P1116" s="30" t="s">
        <v>145</v>
      </c>
      <c r="Q1116" s="30" t="s">
        <v>6209</v>
      </c>
    </row>
    <row r="1117" hidden="1">
      <c r="A1117" s="33" t="s">
        <v>5642</v>
      </c>
      <c r="B1117" s="30" t="s">
        <v>139</v>
      </c>
      <c r="C1117" s="30" t="s">
        <v>141</v>
      </c>
      <c r="D1117" s="30" t="s">
        <v>244</v>
      </c>
      <c r="E1117" s="35">
        <v>42706.0</v>
      </c>
      <c r="F1117" s="37" t="s">
        <v>154</v>
      </c>
      <c r="G1117" s="30" t="s">
        <v>4984</v>
      </c>
      <c r="H1117" s="30" t="s">
        <v>145</v>
      </c>
      <c r="I1117" s="30" t="s">
        <v>145</v>
      </c>
      <c r="J1117" s="30" t="s">
        <v>145</v>
      </c>
      <c r="K1117" s="30" t="s">
        <v>145</v>
      </c>
      <c r="L1117" s="30" t="s">
        <v>145</v>
      </c>
      <c r="M1117" s="30" t="s">
        <v>145</v>
      </c>
      <c r="N1117" s="30" t="s">
        <v>145</v>
      </c>
      <c r="O1117" s="30" t="s">
        <v>145</v>
      </c>
      <c r="P1117" s="30" t="s">
        <v>145</v>
      </c>
      <c r="Q1117" s="30" t="s">
        <v>2544</v>
      </c>
    </row>
    <row r="1118" hidden="1">
      <c r="A1118" s="33" t="s">
        <v>5647</v>
      </c>
      <c r="B1118" s="30" t="s">
        <v>139</v>
      </c>
      <c r="C1118" s="30" t="s">
        <v>453</v>
      </c>
      <c r="D1118" s="30" t="s">
        <v>244</v>
      </c>
      <c r="E1118" s="35">
        <v>42706.0</v>
      </c>
      <c r="F1118" s="37" t="s">
        <v>154</v>
      </c>
      <c r="G1118" s="30" t="s">
        <v>2544</v>
      </c>
      <c r="H1118" s="30" t="s">
        <v>145</v>
      </c>
      <c r="I1118" s="30" t="s">
        <v>145</v>
      </c>
      <c r="J1118" s="30" t="s">
        <v>145</v>
      </c>
      <c r="K1118" s="30" t="s">
        <v>145</v>
      </c>
      <c r="L1118" s="30" t="s">
        <v>145</v>
      </c>
      <c r="M1118" s="30" t="s">
        <v>145</v>
      </c>
      <c r="N1118" s="30" t="s">
        <v>145</v>
      </c>
      <c r="O1118" s="30" t="s">
        <v>145</v>
      </c>
      <c r="P1118" s="30" t="s">
        <v>145</v>
      </c>
      <c r="Q1118" s="30" t="s">
        <v>2544</v>
      </c>
    </row>
    <row r="1119" hidden="1">
      <c r="A1119" s="33" t="s">
        <v>5653</v>
      </c>
      <c r="B1119" s="30" t="s">
        <v>139</v>
      </c>
      <c r="C1119" s="30" t="s">
        <v>141</v>
      </c>
      <c r="D1119" s="30" t="s">
        <v>244</v>
      </c>
      <c r="E1119" s="35">
        <v>42706.0</v>
      </c>
      <c r="F1119" s="37" t="s">
        <v>154</v>
      </c>
      <c r="G1119" s="30" t="s">
        <v>4984</v>
      </c>
      <c r="H1119" s="30" t="s">
        <v>145</v>
      </c>
      <c r="I1119" s="30" t="s">
        <v>145</v>
      </c>
      <c r="J1119" s="30" t="s">
        <v>145</v>
      </c>
      <c r="K1119" s="30" t="s">
        <v>145</v>
      </c>
      <c r="L1119" s="30" t="s">
        <v>145</v>
      </c>
      <c r="M1119" s="30" t="s">
        <v>145</v>
      </c>
      <c r="N1119" s="30" t="s">
        <v>145</v>
      </c>
      <c r="O1119" s="30" t="s">
        <v>145</v>
      </c>
      <c r="P1119" s="30" t="s">
        <v>145</v>
      </c>
      <c r="Q1119" s="30" t="s">
        <v>2544</v>
      </c>
    </row>
    <row r="1120" hidden="1">
      <c r="A1120" s="33" t="s">
        <v>5658</v>
      </c>
      <c r="B1120" s="30" t="s">
        <v>139</v>
      </c>
      <c r="C1120" s="30" t="s">
        <v>453</v>
      </c>
      <c r="D1120" s="30" t="s">
        <v>244</v>
      </c>
      <c r="E1120" s="35">
        <v>42706.0</v>
      </c>
      <c r="F1120" s="37" t="s">
        <v>154</v>
      </c>
      <c r="G1120" s="30" t="s">
        <v>2544</v>
      </c>
      <c r="H1120" s="30" t="s">
        <v>145</v>
      </c>
      <c r="I1120" s="30" t="s">
        <v>145</v>
      </c>
      <c r="J1120" s="30" t="s">
        <v>145</v>
      </c>
      <c r="K1120" s="30" t="s">
        <v>145</v>
      </c>
      <c r="L1120" s="30" t="s">
        <v>145</v>
      </c>
      <c r="M1120" s="30" t="s">
        <v>145</v>
      </c>
      <c r="N1120" s="30" t="s">
        <v>145</v>
      </c>
      <c r="O1120" s="30" t="s">
        <v>145</v>
      </c>
      <c r="P1120" s="30" t="s">
        <v>145</v>
      </c>
      <c r="Q1120" s="30" t="s">
        <v>2544</v>
      </c>
    </row>
    <row r="1121" hidden="1">
      <c r="A1121" s="33" t="s">
        <v>5663</v>
      </c>
      <c r="B1121" s="30" t="s">
        <v>139</v>
      </c>
      <c r="C1121" s="30" t="s">
        <v>453</v>
      </c>
      <c r="D1121" s="30" t="s">
        <v>177</v>
      </c>
      <c r="E1121" s="35">
        <v>42705.0</v>
      </c>
      <c r="F1121" s="37" t="s">
        <v>154</v>
      </c>
      <c r="G1121" s="30" t="s">
        <v>1471</v>
      </c>
      <c r="H1121" s="30" t="s">
        <v>145</v>
      </c>
      <c r="I1121" s="30" t="s">
        <v>145</v>
      </c>
      <c r="J1121" s="30" t="s">
        <v>145</v>
      </c>
      <c r="K1121" s="30" t="s">
        <v>145</v>
      </c>
      <c r="L1121" s="30" t="s">
        <v>145</v>
      </c>
      <c r="M1121" s="30" t="s">
        <v>145</v>
      </c>
      <c r="N1121" s="30" t="s">
        <v>145</v>
      </c>
      <c r="O1121" s="30" t="s">
        <v>145</v>
      </c>
      <c r="P1121" s="30" t="s">
        <v>145</v>
      </c>
      <c r="Q1121" s="30" t="s">
        <v>1471</v>
      </c>
    </row>
    <row r="1122" hidden="1">
      <c r="A1122" s="33" t="s">
        <v>5668</v>
      </c>
      <c r="B1122" s="30" t="s">
        <v>139</v>
      </c>
      <c r="C1122" s="30" t="s">
        <v>140</v>
      </c>
      <c r="D1122" s="30" t="s">
        <v>609</v>
      </c>
      <c r="E1122" s="35">
        <v>42705.0</v>
      </c>
      <c r="F1122" s="37" t="s">
        <v>150</v>
      </c>
      <c r="G1122" s="30" t="s">
        <v>253</v>
      </c>
      <c r="H1122" s="30" t="s">
        <v>6226</v>
      </c>
      <c r="I1122" s="30" t="s">
        <v>6227</v>
      </c>
      <c r="J1122" s="30" t="s">
        <v>6016</v>
      </c>
      <c r="K1122" s="30" t="s">
        <v>6228</v>
      </c>
      <c r="L1122" s="30" t="s">
        <v>5522</v>
      </c>
      <c r="M1122" s="30" t="s">
        <v>146</v>
      </c>
      <c r="N1122" s="30" t="s">
        <v>145</v>
      </c>
      <c r="O1122" s="30" t="s">
        <v>145</v>
      </c>
      <c r="P1122" s="30" t="s">
        <v>145</v>
      </c>
      <c r="Q1122" s="30" t="s">
        <v>146</v>
      </c>
    </row>
    <row r="1123" hidden="1">
      <c r="A1123" s="33" t="s">
        <v>5675</v>
      </c>
      <c r="B1123" s="30" t="s">
        <v>139</v>
      </c>
      <c r="C1123" s="30" t="s">
        <v>140</v>
      </c>
      <c r="D1123" s="30" t="s">
        <v>216</v>
      </c>
      <c r="E1123" s="43">
        <v>42704.0</v>
      </c>
      <c r="F1123" s="44" t="s">
        <v>150</v>
      </c>
      <c r="G1123" s="30" t="s">
        <v>144</v>
      </c>
      <c r="H1123" s="30" t="s">
        <v>145</v>
      </c>
      <c r="I1123" s="30" t="s">
        <v>146</v>
      </c>
      <c r="J1123" s="30" t="s">
        <v>407</v>
      </c>
      <c r="K1123" s="30" t="s">
        <v>146</v>
      </c>
      <c r="L1123" s="30" t="s">
        <v>438</v>
      </c>
      <c r="M1123" s="30" t="s">
        <v>1411</v>
      </c>
      <c r="N1123" s="30" t="s">
        <v>145</v>
      </c>
      <c r="O1123" s="30" t="s">
        <v>145</v>
      </c>
      <c r="P1123" s="30" t="s">
        <v>145</v>
      </c>
      <c r="Q1123" s="30" t="s">
        <v>503</v>
      </c>
    </row>
    <row r="1124" hidden="1">
      <c r="A1124" s="33" t="s">
        <v>5680</v>
      </c>
      <c r="B1124" s="30" t="s">
        <v>139</v>
      </c>
      <c r="C1124" s="30" t="s">
        <v>140</v>
      </c>
      <c r="D1124" s="30" t="s">
        <v>216</v>
      </c>
      <c r="E1124" s="43">
        <v>42704.0</v>
      </c>
      <c r="F1124" s="44" t="s">
        <v>150</v>
      </c>
      <c r="G1124" s="30" t="s">
        <v>140</v>
      </c>
      <c r="H1124" s="30" t="s">
        <v>163</v>
      </c>
      <c r="I1124" s="30" t="s">
        <v>146</v>
      </c>
      <c r="J1124" s="30" t="s">
        <v>146</v>
      </c>
      <c r="K1124" s="30" t="s">
        <v>540</v>
      </c>
      <c r="L1124" s="30" t="s">
        <v>146</v>
      </c>
      <c r="M1124" s="30" t="s">
        <v>1411</v>
      </c>
      <c r="N1124" s="30" t="s">
        <v>145</v>
      </c>
      <c r="O1124" s="30" t="s">
        <v>145</v>
      </c>
      <c r="P1124" s="30" t="s">
        <v>145</v>
      </c>
      <c r="Q1124" s="30" t="s">
        <v>503</v>
      </c>
    </row>
    <row r="1125" hidden="1">
      <c r="A1125" s="33" t="s">
        <v>5684</v>
      </c>
      <c r="B1125" s="30" t="s">
        <v>139</v>
      </c>
      <c r="C1125" s="30" t="s">
        <v>140</v>
      </c>
      <c r="D1125" s="30" t="s">
        <v>216</v>
      </c>
      <c r="E1125" s="43">
        <v>42704.0</v>
      </c>
      <c r="F1125" s="44" t="s">
        <v>150</v>
      </c>
      <c r="G1125" s="30" t="s">
        <v>144</v>
      </c>
      <c r="H1125" s="30" t="s">
        <v>146</v>
      </c>
      <c r="I1125" s="30" t="s">
        <v>146</v>
      </c>
      <c r="J1125" s="30" t="s">
        <v>407</v>
      </c>
      <c r="K1125" s="30" t="s">
        <v>146</v>
      </c>
      <c r="L1125" s="30" t="s">
        <v>146</v>
      </c>
      <c r="M1125" s="30" t="s">
        <v>618</v>
      </c>
      <c r="N1125" s="30" t="s">
        <v>145</v>
      </c>
      <c r="O1125" s="30" t="s">
        <v>145</v>
      </c>
      <c r="P1125" s="30" t="s">
        <v>145</v>
      </c>
      <c r="Q1125" s="30" t="s">
        <v>1000</v>
      </c>
    </row>
    <row r="1126" hidden="1">
      <c r="A1126" s="33" t="s">
        <v>5689</v>
      </c>
      <c r="B1126" s="30" t="s">
        <v>139</v>
      </c>
      <c r="C1126" s="30" t="s">
        <v>140</v>
      </c>
      <c r="D1126" s="30" t="s">
        <v>216</v>
      </c>
      <c r="E1126" s="43">
        <v>42704.0</v>
      </c>
      <c r="F1126" s="44" t="s">
        <v>150</v>
      </c>
      <c r="G1126" s="30" t="s">
        <v>146</v>
      </c>
      <c r="H1126" s="30" t="s">
        <v>146</v>
      </c>
      <c r="I1126" s="30" t="s">
        <v>171</v>
      </c>
      <c r="J1126" s="30" t="s">
        <v>407</v>
      </c>
      <c r="K1126" s="30" t="s">
        <v>438</v>
      </c>
      <c r="L1126" s="30" t="s">
        <v>146</v>
      </c>
      <c r="M1126" s="30" t="s">
        <v>1411</v>
      </c>
      <c r="N1126" s="30" t="s">
        <v>145</v>
      </c>
      <c r="O1126" s="30" t="s">
        <v>145</v>
      </c>
      <c r="P1126" s="30" t="s">
        <v>145</v>
      </c>
      <c r="Q1126" s="30" t="s">
        <v>503</v>
      </c>
    </row>
    <row r="1127" hidden="1">
      <c r="A1127" s="33" t="s">
        <v>5695</v>
      </c>
      <c r="B1127" s="30" t="s">
        <v>139</v>
      </c>
      <c r="C1127" s="30" t="s">
        <v>337</v>
      </c>
      <c r="D1127" s="30" t="s">
        <v>140</v>
      </c>
      <c r="E1127" s="43">
        <v>42703.0</v>
      </c>
      <c r="F1127" s="44" t="s">
        <v>184</v>
      </c>
      <c r="G1127" s="30" t="s">
        <v>185</v>
      </c>
      <c r="H1127" s="30" t="s">
        <v>146</v>
      </c>
      <c r="I1127" s="30" t="s">
        <v>5837</v>
      </c>
      <c r="J1127" s="30" t="s">
        <v>5496</v>
      </c>
      <c r="K1127" s="30" t="s">
        <v>404</v>
      </c>
      <c r="L1127" s="30" t="s">
        <v>6250</v>
      </c>
      <c r="M1127" s="30" t="s">
        <v>145</v>
      </c>
      <c r="N1127" s="30" t="s">
        <v>145</v>
      </c>
      <c r="O1127" s="30" t="s">
        <v>145</v>
      </c>
      <c r="P1127" s="30" t="s">
        <v>145</v>
      </c>
      <c r="Q1127" s="30" t="s">
        <v>404</v>
      </c>
    </row>
    <row r="1128" hidden="1">
      <c r="A1128" s="33" t="s">
        <v>5701</v>
      </c>
      <c r="B1128" s="30" t="s">
        <v>139</v>
      </c>
      <c r="C1128" s="30" t="s">
        <v>140</v>
      </c>
      <c r="D1128" s="30" t="s">
        <v>4728</v>
      </c>
      <c r="E1128" s="43">
        <v>42699.0</v>
      </c>
      <c r="F1128" s="44" t="s">
        <v>150</v>
      </c>
      <c r="G1128" s="30" t="s">
        <v>171</v>
      </c>
      <c r="H1128" s="30" t="s">
        <v>146</v>
      </c>
      <c r="I1128" s="30" t="s">
        <v>4738</v>
      </c>
      <c r="J1128" s="30" t="s">
        <v>1301</v>
      </c>
      <c r="K1128" s="30" t="s">
        <v>1773</v>
      </c>
      <c r="L1128" s="30" t="s">
        <v>146</v>
      </c>
      <c r="M1128" s="30" t="s">
        <v>146</v>
      </c>
      <c r="N1128" s="2" t="s">
        <v>146</v>
      </c>
      <c r="O1128" s="30" t="s">
        <v>145</v>
      </c>
      <c r="P1128" s="30" t="s">
        <v>145</v>
      </c>
      <c r="Q1128" s="30" t="s">
        <v>146</v>
      </c>
    </row>
    <row r="1129" hidden="1">
      <c r="A1129" s="33" t="s">
        <v>5707</v>
      </c>
      <c r="B1129" s="30" t="s">
        <v>139</v>
      </c>
      <c r="C1129" s="30" t="s">
        <v>1891</v>
      </c>
      <c r="D1129" s="30" t="s">
        <v>1891</v>
      </c>
      <c r="E1129" s="43">
        <v>42698.0</v>
      </c>
      <c r="F1129" s="44" t="s">
        <v>150</v>
      </c>
      <c r="G1129" s="30" t="s">
        <v>6256</v>
      </c>
      <c r="H1129" s="30" t="s">
        <v>145</v>
      </c>
      <c r="I1129" s="30" t="s">
        <v>145</v>
      </c>
      <c r="J1129" s="30" t="s">
        <v>145</v>
      </c>
      <c r="K1129" s="30" t="s">
        <v>145</v>
      </c>
      <c r="L1129" s="30" t="s">
        <v>145</v>
      </c>
      <c r="M1129" s="30" t="s">
        <v>145</v>
      </c>
      <c r="N1129" s="30" t="s">
        <v>145</v>
      </c>
      <c r="O1129" s="30" t="s">
        <v>145</v>
      </c>
      <c r="P1129" s="30" t="s">
        <v>145</v>
      </c>
      <c r="Q1129" s="30" t="s">
        <v>1891</v>
      </c>
    </row>
    <row r="1130" hidden="1">
      <c r="A1130" s="33" t="s">
        <v>5712</v>
      </c>
      <c r="B1130" s="30" t="s">
        <v>139</v>
      </c>
      <c r="C1130" s="30" t="s">
        <v>609</v>
      </c>
      <c r="D1130" s="30" t="s">
        <v>609</v>
      </c>
      <c r="E1130" s="43">
        <v>42696.0</v>
      </c>
      <c r="F1130" s="44" t="s">
        <v>143</v>
      </c>
      <c r="G1130" s="30" t="s">
        <v>4738</v>
      </c>
      <c r="H1130" s="30" t="s">
        <v>145</v>
      </c>
      <c r="I1130" s="30" t="s">
        <v>145</v>
      </c>
      <c r="J1130" s="30" t="s">
        <v>145</v>
      </c>
      <c r="K1130" s="30" t="s">
        <v>145</v>
      </c>
      <c r="L1130" s="30" t="s">
        <v>145</v>
      </c>
      <c r="M1130" s="30" t="s">
        <v>145</v>
      </c>
      <c r="N1130" s="30" t="s">
        <v>145</v>
      </c>
      <c r="O1130" s="30" t="s">
        <v>145</v>
      </c>
      <c r="P1130" s="30" t="s">
        <v>145</v>
      </c>
      <c r="Q1130" s="30" t="s">
        <v>5314</v>
      </c>
    </row>
    <row r="1131" hidden="1">
      <c r="A1131" s="33" t="s">
        <v>5721</v>
      </c>
      <c r="B1131" s="30" t="s">
        <v>139</v>
      </c>
      <c r="C1131" s="30" t="s">
        <v>609</v>
      </c>
      <c r="D1131" s="30" t="s">
        <v>609</v>
      </c>
      <c r="E1131" s="43">
        <v>42696.0</v>
      </c>
      <c r="F1131" s="44" t="s">
        <v>150</v>
      </c>
      <c r="G1131" s="30" t="s">
        <v>253</v>
      </c>
      <c r="H1131" s="30" t="s">
        <v>6261</v>
      </c>
      <c r="I1131" s="30" t="s">
        <v>6227</v>
      </c>
      <c r="J1131" s="30" t="s">
        <v>618</v>
      </c>
      <c r="K1131" s="30" t="s">
        <v>4510</v>
      </c>
      <c r="L1131" s="30" t="s">
        <v>6227</v>
      </c>
      <c r="M1131" s="30" t="s">
        <v>407</v>
      </c>
      <c r="N1131" s="30" t="s">
        <v>145</v>
      </c>
      <c r="O1131" s="30" t="s">
        <v>145</v>
      </c>
      <c r="P1131" s="30" t="s">
        <v>145</v>
      </c>
      <c r="Q1131" s="30" t="s">
        <v>5314</v>
      </c>
    </row>
    <row r="1132" hidden="1">
      <c r="A1132" s="33" t="s">
        <v>5725</v>
      </c>
      <c r="B1132" s="30" t="s">
        <v>139</v>
      </c>
      <c r="C1132" s="30" t="s">
        <v>140</v>
      </c>
      <c r="D1132" s="30" t="s">
        <v>216</v>
      </c>
      <c r="E1132" s="43">
        <v>42695.0</v>
      </c>
      <c r="F1132" s="44" t="s">
        <v>150</v>
      </c>
      <c r="G1132" s="30" t="s">
        <v>626</v>
      </c>
      <c r="H1132" s="30" t="s">
        <v>146</v>
      </c>
      <c r="I1132" s="30" t="s">
        <v>163</v>
      </c>
      <c r="J1132" s="30" t="s">
        <v>407</v>
      </c>
      <c r="K1132" s="30" t="s">
        <v>1536</v>
      </c>
      <c r="L1132" s="30" t="s">
        <v>146</v>
      </c>
      <c r="M1132" s="30" t="s">
        <v>1411</v>
      </c>
      <c r="N1132" s="2" t="s">
        <v>503</v>
      </c>
      <c r="O1132" s="30" t="s">
        <v>145</v>
      </c>
      <c r="P1132" s="30" t="s">
        <v>145</v>
      </c>
      <c r="Q1132" s="30" t="s">
        <v>146</v>
      </c>
    </row>
    <row r="1133" hidden="1">
      <c r="A1133" s="33" t="s">
        <v>5728</v>
      </c>
      <c r="B1133" s="30" t="s">
        <v>139</v>
      </c>
      <c r="C1133" s="30" t="s">
        <v>155</v>
      </c>
      <c r="D1133" s="30" t="s">
        <v>244</v>
      </c>
      <c r="E1133" s="43">
        <v>42692.0</v>
      </c>
      <c r="F1133" s="44" t="s">
        <v>154</v>
      </c>
      <c r="G1133" s="30" t="s">
        <v>6268</v>
      </c>
      <c r="H1133" s="30" t="s">
        <v>145</v>
      </c>
      <c r="I1133" s="30" t="s">
        <v>145</v>
      </c>
      <c r="J1133" s="30" t="s">
        <v>145</v>
      </c>
      <c r="K1133" s="30" t="s">
        <v>145</v>
      </c>
      <c r="L1133" s="30" t="s">
        <v>145</v>
      </c>
      <c r="M1133" s="30" t="s">
        <v>145</v>
      </c>
      <c r="N1133" s="30" t="s">
        <v>145</v>
      </c>
      <c r="O1133" s="30" t="s">
        <v>145</v>
      </c>
      <c r="P1133" s="30" t="s">
        <v>145</v>
      </c>
      <c r="Q1133" s="30" t="s">
        <v>158</v>
      </c>
    </row>
    <row r="1134" hidden="1">
      <c r="A1134" s="33" t="s">
        <v>5732</v>
      </c>
      <c r="B1134" s="30" t="s">
        <v>139</v>
      </c>
      <c r="C1134" s="30" t="s">
        <v>453</v>
      </c>
      <c r="D1134" s="30" t="s">
        <v>244</v>
      </c>
      <c r="E1134" s="43">
        <v>42692.0</v>
      </c>
      <c r="F1134" s="44" t="s">
        <v>154</v>
      </c>
      <c r="G1134" s="30" t="s">
        <v>2544</v>
      </c>
      <c r="H1134" s="30" t="s">
        <v>145</v>
      </c>
      <c r="I1134" s="30" t="s">
        <v>145</v>
      </c>
      <c r="J1134" s="30" t="s">
        <v>145</v>
      </c>
      <c r="K1134" s="30" t="s">
        <v>145</v>
      </c>
      <c r="L1134" s="30" t="s">
        <v>145</v>
      </c>
      <c r="M1134" s="30" t="s">
        <v>145</v>
      </c>
      <c r="N1134" s="30" t="s">
        <v>145</v>
      </c>
      <c r="O1134" s="30" t="s">
        <v>145</v>
      </c>
      <c r="P1134" s="30" t="s">
        <v>145</v>
      </c>
      <c r="Q1134" s="30" t="s">
        <v>2544</v>
      </c>
    </row>
    <row r="1135" hidden="1">
      <c r="A1135" s="33" t="s">
        <v>5736</v>
      </c>
      <c r="B1135" s="30" t="s">
        <v>139</v>
      </c>
      <c r="C1135" s="30" t="s">
        <v>155</v>
      </c>
      <c r="D1135" s="30" t="s">
        <v>244</v>
      </c>
      <c r="E1135" s="43">
        <v>42692.0</v>
      </c>
      <c r="F1135" s="44" t="s">
        <v>150</v>
      </c>
      <c r="G1135" s="30" t="s">
        <v>6268</v>
      </c>
      <c r="H1135" s="30" t="s">
        <v>145</v>
      </c>
      <c r="I1135" s="30" t="s">
        <v>145</v>
      </c>
      <c r="J1135" s="30" t="s">
        <v>145</v>
      </c>
      <c r="K1135" s="30" t="s">
        <v>145</v>
      </c>
      <c r="L1135" s="30" t="s">
        <v>145</v>
      </c>
      <c r="M1135" s="30" t="s">
        <v>145</v>
      </c>
      <c r="N1135" s="30" t="s">
        <v>145</v>
      </c>
      <c r="O1135" s="30" t="s">
        <v>145</v>
      </c>
      <c r="P1135" s="30" t="s">
        <v>145</v>
      </c>
      <c r="Q1135" s="30" t="s">
        <v>158</v>
      </c>
    </row>
    <row r="1136" hidden="1">
      <c r="A1136" s="33" t="s">
        <v>5740</v>
      </c>
      <c r="B1136" s="30" t="s">
        <v>139</v>
      </c>
      <c r="C1136" s="30" t="s">
        <v>453</v>
      </c>
      <c r="D1136" s="30" t="s">
        <v>244</v>
      </c>
      <c r="E1136" s="43">
        <v>42692.0</v>
      </c>
      <c r="F1136" s="44" t="s">
        <v>154</v>
      </c>
      <c r="G1136" s="30" t="s">
        <v>2544</v>
      </c>
      <c r="H1136" s="30" t="s">
        <v>145</v>
      </c>
      <c r="I1136" s="30" t="s">
        <v>145</v>
      </c>
      <c r="J1136" s="30" t="s">
        <v>145</v>
      </c>
      <c r="K1136" s="30" t="s">
        <v>145</v>
      </c>
      <c r="L1136" s="30" t="s">
        <v>145</v>
      </c>
      <c r="M1136" s="30" t="s">
        <v>145</v>
      </c>
      <c r="N1136" s="30" t="s">
        <v>145</v>
      </c>
      <c r="O1136" s="30" t="s">
        <v>145</v>
      </c>
      <c r="P1136" s="30" t="s">
        <v>145</v>
      </c>
      <c r="Q1136" s="30" t="s">
        <v>2544</v>
      </c>
    </row>
    <row r="1137" hidden="1">
      <c r="A1137" s="33" t="s">
        <v>5742</v>
      </c>
      <c r="B1137" s="30" t="s">
        <v>139</v>
      </c>
      <c r="C1137" s="30" t="s">
        <v>453</v>
      </c>
      <c r="D1137" s="30" t="s">
        <v>177</v>
      </c>
      <c r="E1137" s="43">
        <v>42692.0</v>
      </c>
      <c r="F1137" s="44" t="s">
        <v>154</v>
      </c>
      <c r="G1137" s="30" t="s">
        <v>1471</v>
      </c>
      <c r="H1137" s="30" t="s">
        <v>145</v>
      </c>
      <c r="I1137" s="30" t="s">
        <v>145</v>
      </c>
      <c r="J1137" s="30" t="s">
        <v>145</v>
      </c>
      <c r="K1137" s="30" t="s">
        <v>145</v>
      </c>
      <c r="L1137" s="30" t="s">
        <v>145</v>
      </c>
      <c r="M1137" s="30" t="s">
        <v>145</v>
      </c>
      <c r="N1137" s="30" t="s">
        <v>145</v>
      </c>
      <c r="O1137" s="30" t="s">
        <v>145</v>
      </c>
      <c r="P1137" s="30" t="s">
        <v>145</v>
      </c>
      <c r="Q1137" s="30" t="s">
        <v>1471</v>
      </c>
    </row>
    <row r="1138" hidden="1">
      <c r="A1138" s="33" t="s">
        <v>5744</v>
      </c>
      <c r="B1138" s="30" t="s">
        <v>139</v>
      </c>
      <c r="C1138" s="30" t="s">
        <v>5748</v>
      </c>
      <c r="D1138" s="30" t="s">
        <v>244</v>
      </c>
      <c r="E1138" s="43">
        <v>42692.0</v>
      </c>
      <c r="F1138" s="44" t="s">
        <v>154</v>
      </c>
      <c r="G1138" s="30" t="s">
        <v>6119</v>
      </c>
      <c r="H1138" s="30" t="s">
        <v>145</v>
      </c>
      <c r="I1138" s="30" t="s">
        <v>145</v>
      </c>
      <c r="J1138" s="30" t="s">
        <v>145</v>
      </c>
      <c r="K1138" s="30" t="s">
        <v>145</v>
      </c>
      <c r="L1138" s="30" t="s">
        <v>145</v>
      </c>
      <c r="M1138" s="30" t="s">
        <v>145</v>
      </c>
      <c r="N1138" s="30" t="s">
        <v>145</v>
      </c>
      <c r="O1138" s="30" t="s">
        <v>145</v>
      </c>
      <c r="P1138" s="30" t="s">
        <v>145</v>
      </c>
      <c r="Q1138" s="30" t="s">
        <v>6285</v>
      </c>
    </row>
    <row r="1139" hidden="1">
      <c r="A1139" s="33" t="s">
        <v>5750</v>
      </c>
      <c r="B1139" s="30" t="s">
        <v>139</v>
      </c>
      <c r="C1139" s="30" t="s">
        <v>140</v>
      </c>
      <c r="D1139" s="30" t="s">
        <v>244</v>
      </c>
      <c r="E1139" s="43">
        <v>42692.0</v>
      </c>
      <c r="F1139" s="44" t="s">
        <v>184</v>
      </c>
      <c r="G1139" s="30" t="s">
        <v>654</v>
      </c>
      <c r="H1139" s="30" t="s">
        <v>146</v>
      </c>
      <c r="I1139" s="30" t="s">
        <v>146</v>
      </c>
      <c r="J1139" s="30" t="s">
        <v>6287</v>
      </c>
      <c r="K1139" s="2" t="s">
        <v>4632</v>
      </c>
      <c r="L1139" s="30" t="s">
        <v>145</v>
      </c>
      <c r="M1139" s="30" t="s">
        <v>145</v>
      </c>
      <c r="N1139" s="30" t="s">
        <v>145</v>
      </c>
      <c r="O1139" s="30" t="s">
        <v>145</v>
      </c>
      <c r="P1139" s="30" t="s">
        <v>145</v>
      </c>
      <c r="Q1139" s="30" t="s">
        <v>146</v>
      </c>
    </row>
    <row r="1140" hidden="1">
      <c r="A1140" s="33" t="s">
        <v>5754</v>
      </c>
      <c r="B1140" s="30" t="s">
        <v>139</v>
      </c>
      <c r="C1140" s="30" t="s">
        <v>453</v>
      </c>
      <c r="D1140" s="30" t="s">
        <v>177</v>
      </c>
      <c r="E1140" s="43">
        <v>42692.0</v>
      </c>
      <c r="F1140" s="44" t="s">
        <v>154</v>
      </c>
      <c r="G1140" s="30" t="s">
        <v>1471</v>
      </c>
      <c r="H1140" s="30" t="s">
        <v>145</v>
      </c>
      <c r="I1140" s="30" t="s">
        <v>145</v>
      </c>
      <c r="J1140" s="30" t="s">
        <v>145</v>
      </c>
      <c r="K1140" s="30" t="s">
        <v>145</v>
      </c>
      <c r="L1140" s="30" t="s">
        <v>145</v>
      </c>
      <c r="M1140" s="30" t="s">
        <v>145</v>
      </c>
      <c r="N1140" s="30" t="s">
        <v>145</v>
      </c>
      <c r="O1140" s="30" t="s">
        <v>145</v>
      </c>
      <c r="P1140" s="30" t="s">
        <v>145</v>
      </c>
      <c r="Q1140" s="30" t="s">
        <v>1471</v>
      </c>
    </row>
    <row r="1141" hidden="1">
      <c r="A1141" s="33" t="s">
        <v>5759</v>
      </c>
      <c r="B1141" s="30" t="s">
        <v>139</v>
      </c>
      <c r="C1141" s="30" t="s">
        <v>453</v>
      </c>
      <c r="D1141" s="30" t="s">
        <v>244</v>
      </c>
      <c r="E1141" s="43">
        <v>42692.0</v>
      </c>
      <c r="F1141" s="44" t="s">
        <v>154</v>
      </c>
      <c r="G1141" s="30" t="s">
        <v>2544</v>
      </c>
      <c r="H1141" s="30" t="s">
        <v>145</v>
      </c>
      <c r="I1141" s="30" t="s">
        <v>145</v>
      </c>
      <c r="J1141" s="30" t="s">
        <v>145</v>
      </c>
      <c r="K1141" s="30" t="s">
        <v>145</v>
      </c>
      <c r="L1141" s="30" t="s">
        <v>145</v>
      </c>
      <c r="M1141" s="30" t="s">
        <v>145</v>
      </c>
      <c r="N1141" s="30" t="s">
        <v>145</v>
      </c>
      <c r="O1141" s="30" t="s">
        <v>145</v>
      </c>
      <c r="P1141" s="30" t="s">
        <v>145</v>
      </c>
      <c r="Q1141" s="30" t="s">
        <v>2544</v>
      </c>
    </row>
    <row r="1142" hidden="1">
      <c r="A1142" s="33" t="s">
        <v>5764</v>
      </c>
      <c r="B1142" s="30" t="s">
        <v>139</v>
      </c>
      <c r="C1142" s="30" t="s">
        <v>5748</v>
      </c>
      <c r="D1142" s="30" t="s">
        <v>244</v>
      </c>
      <c r="E1142" s="43">
        <v>42692.0</v>
      </c>
      <c r="F1142" s="44" t="s">
        <v>154</v>
      </c>
      <c r="G1142" s="30" t="s">
        <v>6298</v>
      </c>
      <c r="H1142" s="30" t="s">
        <v>145</v>
      </c>
      <c r="I1142" s="30" t="s">
        <v>145</v>
      </c>
      <c r="J1142" s="30" t="s">
        <v>145</v>
      </c>
      <c r="K1142" s="30" t="s">
        <v>145</v>
      </c>
      <c r="L1142" s="30" t="s">
        <v>145</v>
      </c>
      <c r="M1142" s="30" t="s">
        <v>145</v>
      </c>
      <c r="N1142" s="30" t="s">
        <v>145</v>
      </c>
      <c r="O1142" s="30" t="s">
        <v>145</v>
      </c>
      <c r="P1142" s="30" t="s">
        <v>145</v>
      </c>
      <c r="Q1142" s="30" t="s">
        <v>6029</v>
      </c>
    </row>
    <row r="1143" hidden="1">
      <c r="A1143" s="33" t="s">
        <v>5767</v>
      </c>
      <c r="B1143" s="30" t="s">
        <v>139</v>
      </c>
      <c r="C1143" s="30" t="s">
        <v>141</v>
      </c>
      <c r="D1143" s="30" t="s">
        <v>244</v>
      </c>
      <c r="E1143" s="43">
        <v>42692.0</v>
      </c>
      <c r="F1143" s="44" t="s">
        <v>184</v>
      </c>
      <c r="G1143" s="30" t="s">
        <v>3019</v>
      </c>
      <c r="H1143" s="30" t="s">
        <v>146</v>
      </c>
      <c r="I1143" s="30" t="s">
        <v>146</v>
      </c>
      <c r="J1143" s="30" t="s">
        <v>6305</v>
      </c>
      <c r="K1143" s="30" t="s">
        <v>4249</v>
      </c>
      <c r="L1143" s="30" t="s">
        <v>6307</v>
      </c>
      <c r="M1143" s="30" t="s">
        <v>145</v>
      </c>
      <c r="N1143" s="30" t="s">
        <v>145</v>
      </c>
      <c r="O1143" s="30" t="s">
        <v>145</v>
      </c>
      <c r="P1143" s="30" t="s">
        <v>145</v>
      </c>
      <c r="Q1143" s="30" t="s">
        <v>180</v>
      </c>
    </row>
    <row r="1144" hidden="1">
      <c r="A1144" s="33" t="s">
        <v>5771</v>
      </c>
      <c r="B1144" s="30" t="s">
        <v>139</v>
      </c>
      <c r="C1144" s="30" t="s">
        <v>453</v>
      </c>
      <c r="D1144" s="30" t="s">
        <v>177</v>
      </c>
      <c r="E1144" s="43">
        <v>42692.0</v>
      </c>
      <c r="F1144" s="44" t="s">
        <v>154</v>
      </c>
      <c r="G1144" s="30" t="s">
        <v>1471</v>
      </c>
      <c r="H1144" s="30" t="s">
        <v>145</v>
      </c>
      <c r="I1144" s="30" t="s">
        <v>145</v>
      </c>
      <c r="J1144" s="30" t="s">
        <v>145</v>
      </c>
      <c r="K1144" s="30" t="s">
        <v>145</v>
      </c>
      <c r="L1144" s="30" t="s">
        <v>145</v>
      </c>
      <c r="M1144" s="30" t="s">
        <v>145</v>
      </c>
      <c r="N1144" s="30" t="s">
        <v>145</v>
      </c>
      <c r="O1144" s="30" t="s">
        <v>145</v>
      </c>
      <c r="P1144" s="30" t="s">
        <v>145</v>
      </c>
      <c r="Q1144" s="30" t="s">
        <v>1471</v>
      </c>
    </row>
    <row r="1145" hidden="1">
      <c r="A1145" s="33" t="s">
        <v>5775</v>
      </c>
      <c r="B1145" s="30" t="s">
        <v>139</v>
      </c>
      <c r="C1145" s="30" t="s">
        <v>453</v>
      </c>
      <c r="D1145" s="30" t="s">
        <v>177</v>
      </c>
      <c r="E1145" s="43">
        <v>42692.0</v>
      </c>
      <c r="F1145" s="44" t="s">
        <v>154</v>
      </c>
      <c r="G1145" s="30" t="s">
        <v>457</v>
      </c>
      <c r="H1145" s="30" t="s">
        <v>145</v>
      </c>
      <c r="I1145" s="30" t="s">
        <v>145</v>
      </c>
      <c r="J1145" s="30" t="s">
        <v>145</v>
      </c>
      <c r="K1145" s="30" t="s">
        <v>145</v>
      </c>
      <c r="L1145" s="30" t="s">
        <v>145</v>
      </c>
      <c r="M1145" s="30" t="s">
        <v>145</v>
      </c>
      <c r="N1145" s="30" t="s">
        <v>145</v>
      </c>
      <c r="O1145" s="30" t="s">
        <v>145</v>
      </c>
      <c r="P1145" s="30" t="s">
        <v>145</v>
      </c>
      <c r="Q1145" s="30" t="s">
        <v>457</v>
      </c>
    </row>
    <row r="1146" hidden="1">
      <c r="A1146" s="33" t="s">
        <v>5780</v>
      </c>
      <c r="B1146" s="30" t="s">
        <v>139</v>
      </c>
      <c r="C1146" s="30" t="s">
        <v>4728</v>
      </c>
      <c r="D1146" s="30" t="s">
        <v>177</v>
      </c>
      <c r="E1146" s="43">
        <v>42692.0</v>
      </c>
      <c r="F1146" s="44" t="s">
        <v>150</v>
      </c>
      <c r="G1146" s="30" t="s">
        <v>1536</v>
      </c>
      <c r="H1146" s="30" t="s">
        <v>146</v>
      </c>
      <c r="I1146" s="30" t="s">
        <v>1536</v>
      </c>
      <c r="J1146" s="30" t="s">
        <v>6016</v>
      </c>
      <c r="K1146" s="30" t="s">
        <v>6316</v>
      </c>
      <c r="L1146" s="30" t="s">
        <v>4739</v>
      </c>
      <c r="M1146" s="30" t="s">
        <v>6080</v>
      </c>
      <c r="N1146" s="30" t="s">
        <v>145</v>
      </c>
      <c r="O1146" s="30" t="s">
        <v>145</v>
      </c>
      <c r="P1146" s="30" t="s">
        <v>145</v>
      </c>
      <c r="Q1146" s="30" t="s">
        <v>4738</v>
      </c>
    </row>
    <row r="1147" hidden="1">
      <c r="A1147" s="33" t="s">
        <v>5782</v>
      </c>
      <c r="B1147" s="30" t="s">
        <v>139</v>
      </c>
      <c r="C1147" s="30" t="s">
        <v>141</v>
      </c>
      <c r="D1147" s="30" t="s">
        <v>244</v>
      </c>
      <c r="E1147" s="35">
        <v>42683.0</v>
      </c>
      <c r="F1147" s="37" t="s">
        <v>154</v>
      </c>
      <c r="G1147" s="30" t="s">
        <v>6086</v>
      </c>
      <c r="H1147" s="30" t="s">
        <v>145</v>
      </c>
      <c r="I1147" s="30" t="s">
        <v>145</v>
      </c>
      <c r="J1147" s="30" t="s">
        <v>145</v>
      </c>
      <c r="K1147" s="30" t="s">
        <v>145</v>
      </c>
      <c r="L1147" s="30" t="s">
        <v>145</v>
      </c>
      <c r="M1147" s="30" t="s">
        <v>145</v>
      </c>
      <c r="N1147" s="30" t="s">
        <v>145</v>
      </c>
      <c r="O1147" s="30" t="s">
        <v>145</v>
      </c>
      <c r="P1147" s="30" t="s">
        <v>145</v>
      </c>
      <c r="Q1147" s="30" t="s">
        <v>2544</v>
      </c>
    </row>
    <row r="1148" hidden="1">
      <c r="A1148" s="33" t="s">
        <v>5786</v>
      </c>
      <c r="B1148" s="30" t="s">
        <v>139</v>
      </c>
      <c r="C1148" s="30" t="s">
        <v>453</v>
      </c>
      <c r="D1148" s="30" t="s">
        <v>244</v>
      </c>
      <c r="E1148" s="35">
        <v>42683.0</v>
      </c>
      <c r="F1148" s="37" t="s">
        <v>154</v>
      </c>
      <c r="G1148" s="30" t="s">
        <v>4984</v>
      </c>
      <c r="H1148" s="30" t="s">
        <v>145</v>
      </c>
      <c r="I1148" s="30" t="s">
        <v>145</v>
      </c>
      <c r="J1148" s="30" t="s">
        <v>145</v>
      </c>
      <c r="K1148" s="30" t="s">
        <v>145</v>
      </c>
      <c r="L1148" s="30" t="s">
        <v>145</v>
      </c>
      <c r="M1148" s="30" t="s">
        <v>145</v>
      </c>
      <c r="N1148" s="30" t="s">
        <v>145</v>
      </c>
      <c r="O1148" s="30" t="s">
        <v>145</v>
      </c>
      <c r="P1148" s="30" t="s">
        <v>145</v>
      </c>
      <c r="Q1148" s="30" t="s">
        <v>2544</v>
      </c>
    </row>
    <row r="1149" hidden="1">
      <c r="A1149" s="33" t="s">
        <v>5793</v>
      </c>
      <c r="B1149" s="30" t="s">
        <v>139</v>
      </c>
      <c r="C1149" s="30" t="s">
        <v>140</v>
      </c>
      <c r="D1149" s="30" t="s">
        <v>140</v>
      </c>
      <c r="E1149" s="35">
        <v>42682.0</v>
      </c>
      <c r="F1149" s="37" t="s">
        <v>184</v>
      </c>
      <c r="G1149" s="30" t="s">
        <v>146</v>
      </c>
      <c r="H1149" s="30" t="s">
        <v>146</v>
      </c>
      <c r="I1149" s="30" t="s">
        <v>146</v>
      </c>
      <c r="J1149" s="30" t="s">
        <v>146</v>
      </c>
      <c r="K1149" s="30" t="s">
        <v>146</v>
      </c>
      <c r="L1149" s="2" t="s">
        <v>146</v>
      </c>
      <c r="M1149" s="30" t="s">
        <v>145</v>
      </c>
      <c r="N1149" s="30" t="s">
        <v>145</v>
      </c>
      <c r="O1149" s="30" t="s">
        <v>145</v>
      </c>
      <c r="P1149" s="30" t="s">
        <v>145</v>
      </c>
      <c r="Q1149" s="30" t="s">
        <v>146</v>
      </c>
    </row>
    <row r="1150" hidden="1">
      <c r="A1150" s="33" t="s">
        <v>5796</v>
      </c>
      <c r="B1150" s="30" t="s">
        <v>139</v>
      </c>
      <c r="C1150" s="30" t="s">
        <v>140</v>
      </c>
      <c r="D1150" s="30" t="s">
        <v>216</v>
      </c>
      <c r="E1150" s="35">
        <v>42682.0</v>
      </c>
      <c r="F1150" s="37" t="s">
        <v>184</v>
      </c>
      <c r="G1150" s="30" t="s">
        <v>626</v>
      </c>
      <c r="H1150" s="30" t="s">
        <v>146</v>
      </c>
      <c r="I1150" s="30" t="s">
        <v>146</v>
      </c>
      <c r="J1150" s="30" t="s">
        <v>2419</v>
      </c>
      <c r="K1150" s="30" t="s">
        <v>146</v>
      </c>
      <c r="L1150" s="2" t="s">
        <v>146</v>
      </c>
      <c r="M1150" s="30" t="s">
        <v>145</v>
      </c>
      <c r="N1150" s="30" t="s">
        <v>145</v>
      </c>
      <c r="O1150" s="30" t="s">
        <v>145</v>
      </c>
      <c r="P1150" s="30" t="s">
        <v>145</v>
      </c>
      <c r="Q1150" s="30" t="s">
        <v>146</v>
      </c>
    </row>
    <row r="1151" hidden="1">
      <c r="A1151" s="33" t="s">
        <v>5800</v>
      </c>
      <c r="B1151" s="30" t="s">
        <v>139</v>
      </c>
      <c r="C1151" s="30" t="s">
        <v>141</v>
      </c>
      <c r="D1151" s="30" t="s">
        <v>244</v>
      </c>
      <c r="E1151" s="35">
        <v>42681.0</v>
      </c>
      <c r="F1151" s="37" t="s">
        <v>154</v>
      </c>
      <c r="G1151" s="30" t="s">
        <v>6332</v>
      </c>
      <c r="H1151" s="30" t="s">
        <v>145</v>
      </c>
      <c r="I1151" s="30" t="s">
        <v>145</v>
      </c>
      <c r="J1151" s="30" t="s">
        <v>145</v>
      </c>
      <c r="K1151" s="30" t="s">
        <v>145</v>
      </c>
      <c r="L1151" s="30" t="s">
        <v>145</v>
      </c>
      <c r="M1151" s="30" t="s">
        <v>145</v>
      </c>
      <c r="N1151" s="30" t="s">
        <v>145</v>
      </c>
      <c r="O1151" s="30" t="s">
        <v>145</v>
      </c>
      <c r="P1151" s="30" t="s">
        <v>145</v>
      </c>
      <c r="Q1151" s="30" t="s">
        <v>2544</v>
      </c>
    </row>
    <row r="1152" hidden="1">
      <c r="A1152" s="33" t="s">
        <v>5802</v>
      </c>
      <c r="B1152" s="30" t="s">
        <v>139</v>
      </c>
      <c r="C1152" s="30" t="s">
        <v>141</v>
      </c>
      <c r="D1152" s="30" t="s">
        <v>244</v>
      </c>
      <c r="E1152" s="35">
        <v>42681.0</v>
      </c>
      <c r="F1152" s="37" t="s">
        <v>154</v>
      </c>
      <c r="G1152" s="30" t="s">
        <v>1749</v>
      </c>
      <c r="H1152" s="30" t="s">
        <v>145</v>
      </c>
      <c r="I1152" s="30" t="s">
        <v>145</v>
      </c>
      <c r="J1152" s="30" t="s">
        <v>145</v>
      </c>
      <c r="K1152" s="30" t="s">
        <v>145</v>
      </c>
      <c r="L1152" s="30" t="s">
        <v>145</v>
      </c>
      <c r="M1152" s="30" t="s">
        <v>145</v>
      </c>
      <c r="N1152" s="30" t="s">
        <v>145</v>
      </c>
      <c r="O1152" s="30" t="s">
        <v>145</v>
      </c>
      <c r="P1152" s="30" t="s">
        <v>145</v>
      </c>
      <c r="Q1152" s="30" t="s">
        <v>2544</v>
      </c>
    </row>
    <row r="1153" hidden="1">
      <c r="A1153" s="33" t="s">
        <v>5806</v>
      </c>
      <c r="B1153" s="30" t="s">
        <v>139</v>
      </c>
      <c r="C1153" s="30" t="s">
        <v>141</v>
      </c>
      <c r="D1153" s="30" t="s">
        <v>244</v>
      </c>
      <c r="E1153" s="35">
        <v>42681.0</v>
      </c>
      <c r="F1153" s="37" t="s">
        <v>154</v>
      </c>
      <c r="G1153" s="30" t="s">
        <v>1749</v>
      </c>
      <c r="H1153" s="30" t="s">
        <v>145</v>
      </c>
      <c r="I1153" s="30" t="s">
        <v>145</v>
      </c>
      <c r="J1153" s="30" t="s">
        <v>145</v>
      </c>
      <c r="K1153" s="30" t="s">
        <v>145</v>
      </c>
      <c r="L1153" s="30" t="s">
        <v>145</v>
      </c>
      <c r="M1153" s="30" t="s">
        <v>145</v>
      </c>
      <c r="N1153" s="30" t="s">
        <v>145</v>
      </c>
      <c r="O1153" s="30" t="s">
        <v>145</v>
      </c>
      <c r="P1153" s="30" t="s">
        <v>145</v>
      </c>
      <c r="Q1153" s="30" t="s">
        <v>2544</v>
      </c>
    </row>
    <row r="1154" hidden="1">
      <c r="A1154" s="33" t="s">
        <v>5809</v>
      </c>
      <c r="B1154" s="30" t="s">
        <v>139</v>
      </c>
      <c r="C1154" s="30" t="s">
        <v>141</v>
      </c>
      <c r="D1154" s="30" t="s">
        <v>244</v>
      </c>
      <c r="E1154" s="35">
        <v>42681.0</v>
      </c>
      <c r="F1154" s="37" t="s">
        <v>154</v>
      </c>
      <c r="G1154" s="30" t="s">
        <v>1749</v>
      </c>
      <c r="H1154" s="30" t="s">
        <v>145</v>
      </c>
      <c r="I1154" s="30" t="s">
        <v>145</v>
      </c>
      <c r="J1154" s="30" t="s">
        <v>145</v>
      </c>
      <c r="K1154" s="30" t="s">
        <v>145</v>
      </c>
      <c r="L1154" s="30" t="s">
        <v>145</v>
      </c>
      <c r="M1154" s="30" t="s">
        <v>145</v>
      </c>
      <c r="N1154" s="30" t="s">
        <v>145</v>
      </c>
      <c r="O1154" s="30" t="s">
        <v>145</v>
      </c>
      <c r="P1154" s="30" t="s">
        <v>145</v>
      </c>
      <c r="Q1154" s="30" t="s">
        <v>2544</v>
      </c>
    </row>
    <row r="1155" hidden="1">
      <c r="A1155" s="33" t="s">
        <v>5811</v>
      </c>
      <c r="B1155" s="30" t="s">
        <v>139</v>
      </c>
      <c r="C1155" s="30" t="s">
        <v>453</v>
      </c>
      <c r="D1155" s="30" t="s">
        <v>244</v>
      </c>
      <c r="E1155" s="35">
        <v>42681.0</v>
      </c>
      <c r="F1155" s="37" t="s">
        <v>154</v>
      </c>
      <c r="G1155" s="30" t="s">
        <v>4095</v>
      </c>
      <c r="H1155" s="30" t="s">
        <v>145</v>
      </c>
      <c r="I1155" s="30" t="s">
        <v>145</v>
      </c>
      <c r="J1155" s="30" t="s">
        <v>145</v>
      </c>
      <c r="K1155" s="30" t="s">
        <v>145</v>
      </c>
      <c r="L1155" s="30" t="s">
        <v>145</v>
      </c>
      <c r="M1155" s="30" t="s">
        <v>145</v>
      </c>
      <c r="N1155" s="30" t="s">
        <v>145</v>
      </c>
      <c r="O1155" s="30" t="s">
        <v>145</v>
      </c>
      <c r="P1155" s="30" t="s">
        <v>145</v>
      </c>
      <c r="Q1155" s="30" t="s">
        <v>2544</v>
      </c>
    </row>
    <row r="1156" hidden="1">
      <c r="A1156" s="33" t="s">
        <v>5814</v>
      </c>
      <c r="B1156" s="30" t="s">
        <v>139</v>
      </c>
      <c r="C1156" s="30" t="s">
        <v>453</v>
      </c>
      <c r="D1156" s="30" t="s">
        <v>244</v>
      </c>
      <c r="E1156" s="35">
        <v>42681.0</v>
      </c>
      <c r="F1156" s="37" t="s">
        <v>154</v>
      </c>
      <c r="G1156" s="30" t="s">
        <v>1749</v>
      </c>
      <c r="H1156" s="30" t="s">
        <v>145</v>
      </c>
      <c r="I1156" s="30" t="s">
        <v>145</v>
      </c>
      <c r="J1156" s="30" t="s">
        <v>145</v>
      </c>
      <c r="K1156" s="30" t="s">
        <v>145</v>
      </c>
      <c r="L1156" s="30" t="s">
        <v>145</v>
      </c>
      <c r="M1156" s="30" t="s">
        <v>145</v>
      </c>
      <c r="N1156" s="30" t="s">
        <v>145</v>
      </c>
      <c r="O1156" s="30" t="s">
        <v>145</v>
      </c>
      <c r="P1156" s="30" t="s">
        <v>145</v>
      </c>
      <c r="Q1156" s="30" t="s">
        <v>2544</v>
      </c>
    </row>
    <row r="1157" hidden="1">
      <c r="A1157" s="33" t="s">
        <v>5818</v>
      </c>
      <c r="B1157" s="30" t="s">
        <v>139</v>
      </c>
      <c r="C1157" s="30" t="s">
        <v>453</v>
      </c>
      <c r="D1157" s="30" t="s">
        <v>244</v>
      </c>
      <c r="E1157" s="35">
        <v>42681.0</v>
      </c>
      <c r="F1157" s="37" t="s">
        <v>154</v>
      </c>
      <c r="G1157" s="30" t="s">
        <v>1749</v>
      </c>
      <c r="H1157" s="30" t="s">
        <v>145</v>
      </c>
      <c r="I1157" s="30" t="s">
        <v>145</v>
      </c>
      <c r="J1157" s="30" t="s">
        <v>145</v>
      </c>
      <c r="K1157" s="30" t="s">
        <v>145</v>
      </c>
      <c r="L1157" s="30" t="s">
        <v>145</v>
      </c>
      <c r="M1157" s="30" t="s">
        <v>145</v>
      </c>
      <c r="N1157" s="30" t="s">
        <v>145</v>
      </c>
      <c r="O1157" s="30" t="s">
        <v>145</v>
      </c>
      <c r="P1157" s="30" t="s">
        <v>145</v>
      </c>
      <c r="Q1157" s="30" t="s">
        <v>2544</v>
      </c>
    </row>
    <row r="1158" hidden="1">
      <c r="A1158" s="33" t="s">
        <v>5825</v>
      </c>
      <c r="B1158" s="30" t="s">
        <v>139</v>
      </c>
      <c r="C1158" s="30" t="s">
        <v>453</v>
      </c>
      <c r="D1158" s="30" t="s">
        <v>244</v>
      </c>
      <c r="E1158" s="35">
        <v>42681.0</v>
      </c>
      <c r="F1158" s="37" t="s">
        <v>154</v>
      </c>
      <c r="G1158" s="30" t="s">
        <v>1749</v>
      </c>
      <c r="H1158" s="30" t="s">
        <v>145</v>
      </c>
      <c r="I1158" s="30" t="s">
        <v>145</v>
      </c>
      <c r="J1158" s="30" t="s">
        <v>145</v>
      </c>
      <c r="K1158" s="30" t="s">
        <v>145</v>
      </c>
      <c r="L1158" s="30" t="s">
        <v>145</v>
      </c>
      <c r="M1158" s="30" t="s">
        <v>145</v>
      </c>
      <c r="N1158" s="30" t="s">
        <v>145</v>
      </c>
      <c r="O1158" s="30" t="s">
        <v>145</v>
      </c>
      <c r="P1158" s="30" t="s">
        <v>145</v>
      </c>
      <c r="Q1158" s="30" t="s">
        <v>2544</v>
      </c>
    </row>
    <row r="1159" hidden="1">
      <c r="A1159" s="33" t="s">
        <v>5829</v>
      </c>
      <c r="B1159" s="30" t="s">
        <v>139</v>
      </c>
      <c r="C1159" s="30" t="s">
        <v>5832</v>
      </c>
      <c r="D1159" s="30" t="s">
        <v>5832</v>
      </c>
      <c r="E1159" s="35">
        <v>42681.0</v>
      </c>
      <c r="F1159" s="37" t="s">
        <v>150</v>
      </c>
      <c r="G1159" s="30" t="s">
        <v>6357</v>
      </c>
      <c r="H1159" s="30" t="s">
        <v>6358</v>
      </c>
      <c r="I1159" s="30" t="s">
        <v>6358</v>
      </c>
      <c r="J1159" s="30" t="s">
        <v>6359</v>
      </c>
      <c r="K1159" s="30" t="s">
        <v>6359</v>
      </c>
      <c r="L1159" s="30" t="s">
        <v>6360</v>
      </c>
      <c r="M1159" s="30" t="s">
        <v>6359</v>
      </c>
      <c r="N1159" s="30" t="s">
        <v>145</v>
      </c>
      <c r="O1159" s="30" t="s">
        <v>145</v>
      </c>
      <c r="P1159" s="30" t="s">
        <v>145</v>
      </c>
      <c r="Q1159" s="30" t="s">
        <v>1898</v>
      </c>
    </row>
    <row r="1160" hidden="1">
      <c r="A1160" s="33" t="s">
        <v>5835</v>
      </c>
      <c r="B1160" s="30" t="s">
        <v>139</v>
      </c>
      <c r="C1160" s="30" t="s">
        <v>140</v>
      </c>
      <c r="D1160" s="30" t="s">
        <v>216</v>
      </c>
      <c r="E1160" s="35">
        <v>42679.0</v>
      </c>
      <c r="F1160" s="37" t="s">
        <v>150</v>
      </c>
      <c r="G1160" s="30" t="s">
        <v>264</v>
      </c>
      <c r="H1160" s="30" t="s">
        <v>146</v>
      </c>
      <c r="I1160" s="30" t="s">
        <v>171</v>
      </c>
      <c r="J1160" s="30" t="s">
        <v>228</v>
      </c>
      <c r="K1160" s="30" t="s">
        <v>4374</v>
      </c>
      <c r="L1160" s="30" t="s">
        <v>970</v>
      </c>
      <c r="M1160" s="30" t="s">
        <v>1411</v>
      </c>
      <c r="N1160" s="30" t="s">
        <v>145</v>
      </c>
      <c r="O1160" s="30" t="s">
        <v>145</v>
      </c>
      <c r="P1160" s="30" t="s">
        <v>145</v>
      </c>
      <c r="Q1160" s="30" t="s">
        <v>503</v>
      </c>
    </row>
    <row r="1161" hidden="1">
      <c r="A1161" s="33" t="s">
        <v>5839</v>
      </c>
      <c r="B1161" s="30" t="s">
        <v>139</v>
      </c>
      <c r="C1161" s="30" t="s">
        <v>140</v>
      </c>
      <c r="D1161" s="30" t="s">
        <v>216</v>
      </c>
      <c r="E1161" s="35">
        <v>42679.0</v>
      </c>
      <c r="F1161" s="37" t="s">
        <v>150</v>
      </c>
      <c r="G1161" s="30" t="s">
        <v>264</v>
      </c>
      <c r="H1161" s="30" t="s">
        <v>146</v>
      </c>
      <c r="I1161" s="30" t="s">
        <v>144</v>
      </c>
      <c r="J1161" s="30" t="s">
        <v>1737</v>
      </c>
      <c r="K1161" s="30" t="s">
        <v>4374</v>
      </c>
      <c r="L1161" s="30" t="s">
        <v>970</v>
      </c>
      <c r="M1161" s="30" t="s">
        <v>1411</v>
      </c>
      <c r="N1161" s="30" t="s">
        <v>145</v>
      </c>
      <c r="O1161" s="30" t="s">
        <v>145</v>
      </c>
      <c r="P1161" s="30" t="s">
        <v>145</v>
      </c>
      <c r="Q1161" s="30" t="s">
        <v>503</v>
      </c>
    </row>
    <row r="1162" hidden="1">
      <c r="A1162" s="33" t="s">
        <v>5842</v>
      </c>
      <c r="B1162" s="30" t="s">
        <v>139</v>
      </c>
      <c r="C1162" s="30" t="s">
        <v>337</v>
      </c>
      <c r="D1162" s="30" t="s">
        <v>177</v>
      </c>
      <c r="E1162" s="35">
        <v>42678.0</v>
      </c>
      <c r="F1162" s="37" t="s">
        <v>143</v>
      </c>
      <c r="G1162" s="30" t="s">
        <v>6367</v>
      </c>
      <c r="H1162" s="30" t="s">
        <v>145</v>
      </c>
      <c r="I1162" s="30" t="s">
        <v>145</v>
      </c>
      <c r="J1162" s="30" t="s">
        <v>145</v>
      </c>
      <c r="K1162" s="30" t="s">
        <v>145</v>
      </c>
      <c r="L1162" s="30" t="s">
        <v>145</v>
      </c>
      <c r="M1162" s="30" t="s">
        <v>145</v>
      </c>
      <c r="N1162" s="30" t="s">
        <v>145</v>
      </c>
      <c r="O1162" s="30" t="s">
        <v>145</v>
      </c>
      <c r="P1162" s="30" t="s">
        <v>145</v>
      </c>
      <c r="Q1162" s="30" t="s">
        <v>404</v>
      </c>
    </row>
    <row r="1163" hidden="1">
      <c r="A1163" s="33" t="s">
        <v>5847</v>
      </c>
      <c r="B1163" s="30" t="s">
        <v>139</v>
      </c>
      <c r="C1163" s="30" t="s">
        <v>4827</v>
      </c>
      <c r="D1163" s="30" t="s">
        <v>177</v>
      </c>
      <c r="E1163" s="35">
        <v>42678.0</v>
      </c>
      <c r="F1163" s="37" t="s">
        <v>143</v>
      </c>
      <c r="G1163" s="30" t="s">
        <v>6371</v>
      </c>
      <c r="H1163" s="30" t="s">
        <v>145</v>
      </c>
      <c r="I1163" s="30" t="s">
        <v>145</v>
      </c>
      <c r="J1163" s="30" t="s">
        <v>145</v>
      </c>
      <c r="K1163" s="30" t="s">
        <v>145</v>
      </c>
      <c r="L1163" s="30" t="s">
        <v>145</v>
      </c>
      <c r="M1163" s="30" t="s">
        <v>145</v>
      </c>
      <c r="N1163" s="30" t="s">
        <v>145</v>
      </c>
      <c r="O1163" s="30" t="s">
        <v>145</v>
      </c>
      <c r="P1163" s="30" t="s">
        <v>145</v>
      </c>
      <c r="Q1163" s="30" t="s">
        <v>5837</v>
      </c>
    </row>
    <row r="1164" hidden="1">
      <c r="A1164" s="33" t="s">
        <v>5849</v>
      </c>
      <c r="B1164" s="30" t="s">
        <v>139</v>
      </c>
      <c r="C1164" s="30" t="s">
        <v>140</v>
      </c>
      <c r="D1164" s="30" t="s">
        <v>140</v>
      </c>
      <c r="E1164" s="35">
        <v>42677.0</v>
      </c>
      <c r="F1164" s="37" t="s">
        <v>184</v>
      </c>
      <c r="G1164" s="30" t="s">
        <v>264</v>
      </c>
      <c r="H1164" s="30" t="s">
        <v>145</v>
      </c>
      <c r="I1164" s="30" t="s">
        <v>146</v>
      </c>
      <c r="J1164" s="2" t="s">
        <v>146</v>
      </c>
      <c r="K1164" s="30" t="s">
        <v>145</v>
      </c>
      <c r="L1164" s="30" t="s">
        <v>145</v>
      </c>
      <c r="M1164" s="30" t="s">
        <v>145</v>
      </c>
      <c r="N1164" s="30" t="s">
        <v>145</v>
      </c>
      <c r="O1164" s="30" t="s">
        <v>145</v>
      </c>
      <c r="P1164" s="30" t="s">
        <v>145</v>
      </c>
      <c r="Q1164" s="30" t="s">
        <v>146</v>
      </c>
    </row>
    <row r="1165" hidden="1">
      <c r="A1165" s="33" t="s">
        <v>5851</v>
      </c>
      <c r="B1165" s="30" t="s">
        <v>139</v>
      </c>
      <c r="C1165" s="30" t="s">
        <v>140</v>
      </c>
      <c r="D1165" s="30" t="s">
        <v>140</v>
      </c>
      <c r="E1165" s="35">
        <v>42677.0</v>
      </c>
      <c r="F1165" s="37" t="s">
        <v>184</v>
      </c>
      <c r="G1165" s="30" t="s">
        <v>146</v>
      </c>
      <c r="H1165" s="30" t="s">
        <v>146</v>
      </c>
      <c r="I1165" s="30" t="s">
        <v>144</v>
      </c>
      <c r="J1165" s="30" t="s">
        <v>3044</v>
      </c>
      <c r="K1165" s="30" t="s">
        <v>146</v>
      </c>
      <c r="L1165" s="2" t="s">
        <v>146</v>
      </c>
      <c r="M1165" s="30" t="s">
        <v>145</v>
      </c>
      <c r="N1165" s="30" t="s">
        <v>145</v>
      </c>
      <c r="O1165" s="30" t="s">
        <v>145</v>
      </c>
      <c r="P1165" s="30" t="s">
        <v>145</v>
      </c>
      <c r="Q1165" s="30" t="s">
        <v>146</v>
      </c>
    </row>
    <row r="1166" hidden="1">
      <c r="A1166" s="33" t="s">
        <v>5856</v>
      </c>
      <c r="B1166" s="30" t="s">
        <v>139</v>
      </c>
      <c r="C1166" s="30" t="s">
        <v>453</v>
      </c>
      <c r="D1166" s="30" t="s">
        <v>244</v>
      </c>
      <c r="E1166" s="35">
        <v>42676.0</v>
      </c>
      <c r="F1166" s="37" t="s">
        <v>154</v>
      </c>
      <c r="G1166" s="30" t="s">
        <v>2544</v>
      </c>
      <c r="H1166" s="30" t="s">
        <v>145</v>
      </c>
      <c r="I1166" s="30" t="s">
        <v>145</v>
      </c>
      <c r="J1166" s="30" t="s">
        <v>145</v>
      </c>
      <c r="K1166" s="30" t="s">
        <v>145</v>
      </c>
      <c r="L1166" s="30" t="s">
        <v>145</v>
      </c>
      <c r="M1166" s="30" t="s">
        <v>145</v>
      </c>
      <c r="N1166" s="30" t="s">
        <v>145</v>
      </c>
      <c r="O1166" s="30" t="s">
        <v>145</v>
      </c>
      <c r="P1166" s="30" t="s">
        <v>145</v>
      </c>
      <c r="Q1166" s="30" t="s">
        <v>2544</v>
      </c>
    </row>
    <row r="1167" hidden="1">
      <c r="A1167" s="33" t="s">
        <v>5858</v>
      </c>
      <c r="B1167" s="30" t="s">
        <v>139</v>
      </c>
      <c r="C1167" s="30" t="s">
        <v>453</v>
      </c>
      <c r="D1167" s="30" t="s">
        <v>244</v>
      </c>
      <c r="E1167" s="35">
        <v>42676.0</v>
      </c>
      <c r="F1167" s="37" t="s">
        <v>154</v>
      </c>
      <c r="G1167" s="30" t="s">
        <v>2544</v>
      </c>
      <c r="H1167" s="30" t="s">
        <v>145</v>
      </c>
      <c r="I1167" s="30" t="s">
        <v>145</v>
      </c>
      <c r="J1167" s="30" t="s">
        <v>145</v>
      </c>
      <c r="K1167" s="30" t="s">
        <v>145</v>
      </c>
      <c r="L1167" s="30" t="s">
        <v>145</v>
      </c>
      <c r="M1167" s="30" t="s">
        <v>145</v>
      </c>
      <c r="N1167" s="30" t="s">
        <v>145</v>
      </c>
      <c r="O1167" s="30" t="s">
        <v>145</v>
      </c>
      <c r="P1167" s="30" t="s">
        <v>145</v>
      </c>
      <c r="Q1167" s="30" t="s">
        <v>2544</v>
      </c>
    </row>
    <row r="1168" hidden="1">
      <c r="A1168" s="33" t="s">
        <v>5866</v>
      </c>
      <c r="B1168" s="30" t="s">
        <v>139</v>
      </c>
      <c r="C1168" s="30" t="s">
        <v>453</v>
      </c>
      <c r="D1168" s="30" t="s">
        <v>244</v>
      </c>
      <c r="E1168" s="35">
        <v>42676.0</v>
      </c>
      <c r="F1168" s="37" t="s">
        <v>154</v>
      </c>
      <c r="G1168" s="30" t="s">
        <v>2544</v>
      </c>
      <c r="H1168" s="30" t="s">
        <v>145</v>
      </c>
      <c r="I1168" s="30" t="s">
        <v>145</v>
      </c>
      <c r="J1168" s="30" t="s">
        <v>145</v>
      </c>
      <c r="K1168" s="30" t="s">
        <v>145</v>
      </c>
      <c r="L1168" s="30" t="s">
        <v>145</v>
      </c>
      <c r="M1168" s="30" t="s">
        <v>145</v>
      </c>
      <c r="N1168" s="30" t="s">
        <v>145</v>
      </c>
      <c r="O1168" s="30" t="s">
        <v>145</v>
      </c>
      <c r="P1168" s="30" t="s">
        <v>145</v>
      </c>
      <c r="Q1168" s="30" t="s">
        <v>2544</v>
      </c>
    </row>
    <row r="1169" hidden="1">
      <c r="A1169" s="33" t="s">
        <v>5872</v>
      </c>
      <c r="B1169" s="30" t="s">
        <v>139</v>
      </c>
      <c r="C1169" s="30" t="s">
        <v>453</v>
      </c>
      <c r="D1169" s="30" t="s">
        <v>244</v>
      </c>
      <c r="E1169" s="35">
        <v>42675.0</v>
      </c>
      <c r="F1169" s="37" t="s">
        <v>154</v>
      </c>
      <c r="G1169" s="30" t="s">
        <v>1749</v>
      </c>
      <c r="H1169" s="30" t="s">
        <v>145</v>
      </c>
      <c r="I1169" s="30" t="s">
        <v>145</v>
      </c>
      <c r="J1169" s="30" t="s">
        <v>145</v>
      </c>
      <c r="K1169" s="30" t="s">
        <v>145</v>
      </c>
      <c r="L1169" s="30" t="s">
        <v>145</v>
      </c>
      <c r="M1169" s="30" t="s">
        <v>145</v>
      </c>
      <c r="N1169" s="30" t="s">
        <v>145</v>
      </c>
      <c r="O1169" s="30" t="s">
        <v>145</v>
      </c>
      <c r="P1169" s="30" t="s">
        <v>145</v>
      </c>
      <c r="Q1169" s="30" t="s">
        <v>2544</v>
      </c>
    </row>
    <row r="1170" hidden="1">
      <c r="A1170" s="33" t="s">
        <v>5876</v>
      </c>
      <c r="B1170" s="30" t="s">
        <v>139</v>
      </c>
      <c r="C1170" s="30" t="s">
        <v>4827</v>
      </c>
      <c r="D1170" s="30" t="s">
        <v>177</v>
      </c>
      <c r="E1170" s="43">
        <v>42674.0</v>
      </c>
      <c r="F1170" s="44" t="s">
        <v>154</v>
      </c>
      <c r="G1170" s="30" t="s">
        <v>6392</v>
      </c>
      <c r="H1170" s="30" t="s">
        <v>145</v>
      </c>
      <c r="I1170" s="30" t="s">
        <v>145</v>
      </c>
      <c r="J1170" s="30" t="s">
        <v>145</v>
      </c>
      <c r="K1170" s="30" t="s">
        <v>145</v>
      </c>
      <c r="L1170" s="30" t="s">
        <v>145</v>
      </c>
      <c r="M1170" s="30" t="s">
        <v>145</v>
      </c>
      <c r="N1170" s="30" t="s">
        <v>145</v>
      </c>
      <c r="O1170" s="30" t="s">
        <v>145</v>
      </c>
      <c r="P1170" s="30" t="s">
        <v>145</v>
      </c>
      <c r="Q1170" s="30" t="s">
        <v>5837</v>
      </c>
    </row>
    <row r="1171" hidden="1">
      <c r="A1171" s="33" t="s">
        <v>5882</v>
      </c>
      <c r="B1171" s="30" t="s">
        <v>139</v>
      </c>
      <c r="C1171" s="30" t="s">
        <v>140</v>
      </c>
      <c r="D1171" s="30" t="s">
        <v>177</v>
      </c>
      <c r="E1171" s="43">
        <v>42674.0</v>
      </c>
      <c r="F1171" s="44" t="s">
        <v>150</v>
      </c>
      <c r="G1171" s="30" t="s">
        <v>4736</v>
      </c>
      <c r="H1171" s="30" t="s">
        <v>4738</v>
      </c>
      <c r="I1171" s="30" t="s">
        <v>264</v>
      </c>
      <c r="J1171" s="30" t="s">
        <v>6396</v>
      </c>
      <c r="K1171" s="2" t="s">
        <v>146</v>
      </c>
      <c r="L1171" s="30" t="s">
        <v>145</v>
      </c>
      <c r="M1171" s="30" t="s">
        <v>145</v>
      </c>
      <c r="N1171" s="30" t="s">
        <v>145</v>
      </c>
      <c r="O1171" s="30" t="s">
        <v>145</v>
      </c>
      <c r="P1171" s="30" t="s">
        <v>145</v>
      </c>
      <c r="Q1171" s="30" t="s">
        <v>146</v>
      </c>
    </row>
    <row r="1172" hidden="1">
      <c r="A1172" s="33" t="str">
        <f>hyperlink("https://issues.sierrawireless.com/browse/OEMPRI-6406", "OEMPRI-6406")</f>
        <v>OEMPRI-6406</v>
      </c>
      <c r="B1172" s="2" t="s">
        <v>139</v>
      </c>
      <c r="C1172" s="30" t="s">
        <v>310</v>
      </c>
      <c r="D1172" s="30" t="s">
        <v>310</v>
      </c>
      <c r="E1172" s="35">
        <v>43168.0</v>
      </c>
      <c r="F1172" s="37" t="s">
        <v>154</v>
      </c>
      <c r="G1172" s="30" t="s">
        <v>6403</v>
      </c>
      <c r="H1172" s="30" t="s">
        <v>145</v>
      </c>
      <c r="I1172" s="30" t="s">
        <v>145</v>
      </c>
      <c r="J1172" s="30" t="s">
        <v>145</v>
      </c>
      <c r="K1172" s="30" t="s">
        <v>145</v>
      </c>
      <c r="L1172" s="30" t="s">
        <v>145</v>
      </c>
      <c r="M1172" s="30" t="s">
        <v>145</v>
      </c>
      <c r="N1172" s="30" t="s">
        <v>145</v>
      </c>
      <c r="O1172" s="30" t="s">
        <v>145</v>
      </c>
      <c r="P1172" s="30" t="s">
        <v>145</v>
      </c>
      <c r="Q1172" s="30" t="s">
        <v>166</v>
      </c>
    </row>
    <row r="1173" hidden="1">
      <c r="A1173" s="33" t="str">
        <f>hyperlink("https://issues.sierrawireless.com/browse/OEMPRI-6924", "OEMPRI-6924")</f>
        <v>OEMPRI-6924</v>
      </c>
      <c r="B1173" s="30" t="s">
        <v>139</v>
      </c>
      <c r="C1173" s="30" t="s">
        <v>148</v>
      </c>
      <c r="D1173" s="30" t="s">
        <v>170</v>
      </c>
      <c r="E1173" s="35">
        <v>43216.0</v>
      </c>
      <c r="F1173" s="37" t="s">
        <v>150</v>
      </c>
      <c r="G1173" s="30" t="s">
        <v>1453</v>
      </c>
      <c r="H1173" s="30" t="s">
        <v>145</v>
      </c>
      <c r="I1173" s="30" t="s">
        <v>152</v>
      </c>
      <c r="J1173" s="30" t="s">
        <v>199</v>
      </c>
      <c r="K1173" s="30" t="s">
        <v>152</v>
      </c>
      <c r="L1173" s="30" t="s">
        <v>145</v>
      </c>
      <c r="M1173" s="30" t="s">
        <v>145</v>
      </c>
      <c r="N1173" s="30" t="s">
        <v>145</v>
      </c>
      <c r="O1173" s="30" t="s">
        <v>145</v>
      </c>
      <c r="P1173" s="30" t="s">
        <v>145</v>
      </c>
      <c r="Q1173" s="30" t="s">
        <v>152</v>
      </c>
    </row>
    <row r="1174" hidden="1">
      <c r="A1174" s="33" t="s">
        <v>5884</v>
      </c>
      <c r="B1174" s="30" t="s">
        <v>139</v>
      </c>
      <c r="C1174" s="30" t="s">
        <v>140</v>
      </c>
      <c r="D1174" s="30" t="s">
        <v>4728</v>
      </c>
      <c r="E1174" s="43">
        <v>42670.0</v>
      </c>
      <c r="F1174" s="44" t="s">
        <v>150</v>
      </c>
      <c r="G1174" s="30" t="s">
        <v>163</v>
      </c>
      <c r="H1174" s="30" t="s">
        <v>146</v>
      </c>
      <c r="I1174" s="30" t="s">
        <v>146</v>
      </c>
      <c r="J1174" s="30" t="s">
        <v>146</v>
      </c>
      <c r="K1174" s="30" t="s">
        <v>521</v>
      </c>
      <c r="L1174" s="30" t="s">
        <v>146</v>
      </c>
      <c r="M1174" s="30" t="s">
        <v>146</v>
      </c>
      <c r="N1174" s="30" t="s">
        <v>145</v>
      </c>
      <c r="O1174" s="30" t="s">
        <v>145</v>
      </c>
      <c r="P1174" s="30" t="s">
        <v>145</v>
      </c>
      <c r="Q1174" s="30" t="s">
        <v>146</v>
      </c>
    </row>
    <row r="1175" hidden="1">
      <c r="A1175" s="33" t="s">
        <v>5887</v>
      </c>
      <c r="B1175" s="30" t="s">
        <v>139</v>
      </c>
      <c r="C1175" s="30" t="s">
        <v>140</v>
      </c>
      <c r="D1175" s="30" t="s">
        <v>4728</v>
      </c>
      <c r="E1175" s="43">
        <v>42667.0</v>
      </c>
      <c r="F1175" s="44" t="s">
        <v>150</v>
      </c>
      <c r="G1175" s="30" t="s">
        <v>146</v>
      </c>
      <c r="H1175" s="30" t="s">
        <v>146</v>
      </c>
      <c r="I1175" s="30" t="s">
        <v>146</v>
      </c>
      <c r="J1175" s="30" t="s">
        <v>4738</v>
      </c>
      <c r="K1175" s="30" t="s">
        <v>5307</v>
      </c>
      <c r="L1175" s="30" t="s">
        <v>146</v>
      </c>
      <c r="M1175" s="30" t="s">
        <v>146</v>
      </c>
      <c r="N1175" s="2" t="s">
        <v>146</v>
      </c>
      <c r="O1175" s="30" t="s">
        <v>145</v>
      </c>
      <c r="P1175" s="30" t="s">
        <v>145</v>
      </c>
      <c r="Q1175" s="30" t="s">
        <v>146</v>
      </c>
    </row>
    <row r="1176" hidden="1">
      <c r="A1176" s="33" t="s">
        <v>5890</v>
      </c>
      <c r="B1176" s="30" t="s">
        <v>139</v>
      </c>
      <c r="C1176" s="30" t="s">
        <v>140</v>
      </c>
      <c r="D1176" s="30" t="s">
        <v>5270</v>
      </c>
      <c r="E1176" s="43">
        <v>42661.0</v>
      </c>
      <c r="F1176" s="44" t="s">
        <v>150</v>
      </c>
      <c r="G1176" s="30" t="s">
        <v>4738</v>
      </c>
      <c r="H1176" s="30" t="s">
        <v>4738</v>
      </c>
      <c r="I1176" s="30" t="s">
        <v>146</v>
      </c>
      <c r="J1176" s="30" t="s">
        <v>4738</v>
      </c>
      <c r="K1176" s="30" t="s">
        <v>4738</v>
      </c>
      <c r="L1176" s="2" t="s">
        <v>171</v>
      </c>
      <c r="M1176" s="30" t="s">
        <v>145</v>
      </c>
      <c r="N1176" s="30" t="s">
        <v>145</v>
      </c>
      <c r="O1176" s="30" t="s">
        <v>145</v>
      </c>
      <c r="P1176" s="30" t="s">
        <v>145</v>
      </c>
      <c r="Q1176" s="30" t="s">
        <v>146</v>
      </c>
    </row>
    <row r="1177" hidden="1">
      <c r="A1177" s="33" t="s">
        <v>5892</v>
      </c>
      <c r="B1177" s="30" t="s">
        <v>139</v>
      </c>
      <c r="C1177" s="30" t="s">
        <v>140</v>
      </c>
      <c r="D1177" s="30" t="s">
        <v>4728</v>
      </c>
      <c r="E1177" s="43">
        <v>42655.0</v>
      </c>
      <c r="F1177" s="44" t="s">
        <v>150</v>
      </c>
      <c r="G1177" s="30" t="s">
        <v>146</v>
      </c>
      <c r="H1177" s="30" t="s">
        <v>146</v>
      </c>
      <c r="I1177" s="30" t="s">
        <v>503</v>
      </c>
      <c r="J1177" s="30" t="s">
        <v>4738</v>
      </c>
      <c r="K1177" s="30" t="s">
        <v>4738</v>
      </c>
      <c r="L1177" s="30" t="s">
        <v>146</v>
      </c>
      <c r="M1177" s="30" t="s">
        <v>146</v>
      </c>
      <c r="N1177" s="2" t="s">
        <v>171</v>
      </c>
      <c r="O1177" s="30" t="s">
        <v>145</v>
      </c>
      <c r="P1177" s="30" t="s">
        <v>145</v>
      </c>
      <c r="Q1177" s="30" t="s">
        <v>146</v>
      </c>
    </row>
    <row r="1178" hidden="1">
      <c r="A1178" s="33" t="s">
        <v>5895</v>
      </c>
      <c r="B1178" s="30" t="s">
        <v>139</v>
      </c>
      <c r="C1178" s="30" t="s">
        <v>453</v>
      </c>
      <c r="D1178" s="30" t="s">
        <v>177</v>
      </c>
      <c r="E1178" s="43">
        <v>42653.0</v>
      </c>
      <c r="F1178" s="44" t="s">
        <v>154</v>
      </c>
      <c r="G1178" s="30" t="s">
        <v>5130</v>
      </c>
      <c r="H1178" s="30" t="s">
        <v>145</v>
      </c>
      <c r="I1178" s="30" t="s">
        <v>145</v>
      </c>
      <c r="J1178" s="30" t="s">
        <v>145</v>
      </c>
      <c r="K1178" s="30" t="s">
        <v>145</v>
      </c>
      <c r="L1178" s="30" t="s">
        <v>145</v>
      </c>
      <c r="M1178" s="30" t="s">
        <v>145</v>
      </c>
      <c r="N1178" s="30" t="s">
        <v>145</v>
      </c>
      <c r="O1178" s="30" t="s">
        <v>145</v>
      </c>
      <c r="P1178" s="30" t="s">
        <v>145</v>
      </c>
      <c r="Q1178" s="30" t="s">
        <v>1471</v>
      </c>
    </row>
    <row r="1179" hidden="1">
      <c r="A1179" s="33" t="s">
        <v>5897</v>
      </c>
      <c r="B1179" s="30" t="s">
        <v>139</v>
      </c>
      <c r="C1179" s="30" t="s">
        <v>4827</v>
      </c>
      <c r="D1179" s="30" t="s">
        <v>140</v>
      </c>
      <c r="E1179" s="43">
        <v>42653.0</v>
      </c>
      <c r="F1179" s="44" t="s">
        <v>184</v>
      </c>
      <c r="G1179" s="30" t="s">
        <v>5819</v>
      </c>
      <c r="H1179" s="30" t="s">
        <v>5837</v>
      </c>
      <c r="I1179" s="30" t="s">
        <v>5837</v>
      </c>
      <c r="J1179" s="30" t="s">
        <v>6431</v>
      </c>
      <c r="K1179" s="30" t="s">
        <v>5837</v>
      </c>
      <c r="L1179" s="30" t="s">
        <v>6432</v>
      </c>
      <c r="M1179" s="30" t="s">
        <v>145</v>
      </c>
      <c r="N1179" s="30" t="s">
        <v>145</v>
      </c>
      <c r="O1179" s="30" t="s">
        <v>145</v>
      </c>
      <c r="P1179" s="30" t="s">
        <v>145</v>
      </c>
      <c r="Q1179" s="30" t="s">
        <v>5837</v>
      </c>
    </row>
    <row r="1180" hidden="1">
      <c r="A1180" s="33" t="s">
        <v>5899</v>
      </c>
      <c r="B1180" s="30" t="s">
        <v>139</v>
      </c>
      <c r="C1180" s="30" t="s">
        <v>140</v>
      </c>
      <c r="D1180" s="30" t="s">
        <v>4728</v>
      </c>
      <c r="E1180" s="43">
        <v>42653.0</v>
      </c>
      <c r="F1180" s="44" t="s">
        <v>150</v>
      </c>
      <c r="G1180" s="30" t="s">
        <v>1711</v>
      </c>
      <c r="H1180" s="30" t="s">
        <v>146</v>
      </c>
      <c r="I1180" s="30" t="s">
        <v>171</v>
      </c>
      <c r="J1180" s="30" t="s">
        <v>4738</v>
      </c>
      <c r="K1180" s="30" t="s">
        <v>4738</v>
      </c>
      <c r="L1180" s="30" t="s">
        <v>146</v>
      </c>
      <c r="M1180" s="30" t="s">
        <v>146</v>
      </c>
      <c r="N1180" s="2" t="s">
        <v>146</v>
      </c>
      <c r="O1180" s="30" t="s">
        <v>145</v>
      </c>
      <c r="P1180" s="30" t="s">
        <v>145</v>
      </c>
      <c r="Q1180" s="30" t="s">
        <v>146</v>
      </c>
    </row>
    <row r="1181" hidden="1">
      <c r="A1181" s="33" t="s">
        <v>5903</v>
      </c>
      <c r="B1181" s="30" t="s">
        <v>139</v>
      </c>
      <c r="C1181" s="30" t="s">
        <v>216</v>
      </c>
      <c r="D1181" s="30" t="s">
        <v>216</v>
      </c>
      <c r="E1181" s="43">
        <v>42653.0</v>
      </c>
      <c r="F1181" s="44" t="s">
        <v>184</v>
      </c>
      <c r="G1181" s="30" t="s">
        <v>6440</v>
      </c>
      <c r="H1181" s="30" t="s">
        <v>145</v>
      </c>
      <c r="I1181" s="30" t="s">
        <v>145</v>
      </c>
      <c r="J1181" s="30" t="s">
        <v>145</v>
      </c>
      <c r="K1181" s="30" t="s">
        <v>145</v>
      </c>
      <c r="L1181" s="30" t="s">
        <v>145</v>
      </c>
      <c r="M1181" s="30" t="s">
        <v>145</v>
      </c>
      <c r="N1181" s="30" t="s">
        <v>145</v>
      </c>
      <c r="O1181" s="30" t="s">
        <v>145</v>
      </c>
      <c r="P1181" s="30" t="s">
        <v>145</v>
      </c>
      <c r="Q1181" s="30" t="s">
        <v>1898</v>
      </c>
    </row>
    <row r="1182" hidden="1">
      <c r="A1182" s="33" t="s">
        <v>5905</v>
      </c>
      <c r="B1182" s="30" t="s">
        <v>139</v>
      </c>
      <c r="C1182" s="30" t="s">
        <v>5621</v>
      </c>
      <c r="D1182" s="30" t="s">
        <v>140</v>
      </c>
      <c r="E1182" s="35">
        <v>42652.0</v>
      </c>
      <c r="F1182" s="37" t="s">
        <v>150</v>
      </c>
      <c r="G1182" s="30" t="s">
        <v>146</v>
      </c>
      <c r="H1182" s="30" t="s">
        <v>145</v>
      </c>
      <c r="I1182" s="30" t="s">
        <v>146</v>
      </c>
      <c r="J1182" s="30" t="s">
        <v>6446</v>
      </c>
      <c r="K1182" s="30" t="s">
        <v>145</v>
      </c>
      <c r="L1182" s="30" t="s">
        <v>145</v>
      </c>
      <c r="M1182" s="30" t="s">
        <v>145</v>
      </c>
      <c r="N1182" s="30" t="s">
        <v>145</v>
      </c>
      <c r="O1182" s="30" t="s">
        <v>145</v>
      </c>
      <c r="P1182" s="30" t="s">
        <v>145</v>
      </c>
      <c r="Q1182" s="30" t="s">
        <v>6195</v>
      </c>
    </row>
    <row r="1183" hidden="1">
      <c r="A1183" s="33" t="str">
        <f>hyperlink("https://issues.sierrawireless.com/browse/OEMPRI-1234", "OEMPRI-1234")</f>
        <v>OEMPRI-1234</v>
      </c>
      <c r="B1183" s="30" t="s">
        <v>139</v>
      </c>
      <c r="C1183" s="30" t="s">
        <v>140</v>
      </c>
      <c r="D1183" s="30" t="s">
        <v>4728</v>
      </c>
      <c r="E1183" s="35">
        <v>42651.0</v>
      </c>
      <c r="F1183" s="37" t="s">
        <v>154</v>
      </c>
      <c r="G1183" s="30" t="s">
        <v>146</v>
      </c>
      <c r="H1183" s="30" t="s">
        <v>145</v>
      </c>
      <c r="I1183" s="30" t="s">
        <v>145</v>
      </c>
      <c r="J1183" s="30" t="s">
        <v>145</v>
      </c>
      <c r="K1183" s="30" t="s">
        <v>145</v>
      </c>
      <c r="L1183" s="30" t="s">
        <v>145</v>
      </c>
      <c r="M1183" s="30" t="s">
        <v>145</v>
      </c>
      <c r="N1183" s="30" t="s">
        <v>145</v>
      </c>
      <c r="O1183" s="30" t="s">
        <v>145</v>
      </c>
      <c r="P1183" s="30" t="s">
        <v>145</v>
      </c>
      <c r="Q1183" s="30" t="s">
        <v>146</v>
      </c>
    </row>
    <row r="1184" hidden="1">
      <c r="A1184" s="33" t="s">
        <v>5907</v>
      </c>
      <c r="B1184" s="30" t="s">
        <v>139</v>
      </c>
      <c r="C1184" s="30" t="s">
        <v>4728</v>
      </c>
      <c r="D1184" s="30" t="s">
        <v>233</v>
      </c>
      <c r="E1184" s="35">
        <v>42644.0</v>
      </c>
      <c r="F1184" s="37" t="s">
        <v>150</v>
      </c>
      <c r="G1184" s="30" t="s">
        <v>6454</v>
      </c>
      <c r="H1184" s="30" t="s">
        <v>3880</v>
      </c>
      <c r="I1184" s="30" t="s">
        <v>3880</v>
      </c>
      <c r="J1184" s="30" t="s">
        <v>3880</v>
      </c>
      <c r="K1184" s="30" t="s">
        <v>146</v>
      </c>
      <c r="L1184" s="30" t="s">
        <v>146</v>
      </c>
      <c r="M1184" s="30" t="s">
        <v>146</v>
      </c>
      <c r="N1184" s="30" t="s">
        <v>145</v>
      </c>
      <c r="O1184" s="30" t="s">
        <v>145</v>
      </c>
      <c r="P1184" s="30" t="s">
        <v>145</v>
      </c>
      <c r="Q1184" s="30" t="s">
        <v>4738</v>
      </c>
    </row>
    <row r="1185" hidden="1">
      <c r="A1185" s="33" t="s">
        <v>5909</v>
      </c>
      <c r="B1185" s="30" t="s">
        <v>139</v>
      </c>
      <c r="C1185" s="30" t="s">
        <v>4827</v>
      </c>
      <c r="D1185" s="30" t="s">
        <v>140</v>
      </c>
      <c r="E1185" s="35">
        <v>42607.0</v>
      </c>
      <c r="F1185" s="37" t="s">
        <v>184</v>
      </c>
      <c r="G1185" s="30" t="s">
        <v>3843</v>
      </c>
      <c r="H1185" s="30" t="s">
        <v>146</v>
      </c>
      <c r="I1185" s="30" t="s">
        <v>5837</v>
      </c>
      <c r="J1185" s="30" t="s">
        <v>6459</v>
      </c>
      <c r="K1185" s="30" t="s">
        <v>6460</v>
      </c>
      <c r="L1185" s="30" t="s">
        <v>6461</v>
      </c>
      <c r="M1185" s="30" t="s">
        <v>145</v>
      </c>
      <c r="N1185" s="30" t="s">
        <v>145</v>
      </c>
      <c r="O1185" s="30" t="s">
        <v>145</v>
      </c>
      <c r="P1185" s="30" t="s">
        <v>145</v>
      </c>
      <c r="Q1185" s="30" t="s">
        <v>5837</v>
      </c>
    </row>
    <row r="1186" hidden="1">
      <c r="A1186" s="33" t="s">
        <v>5911</v>
      </c>
      <c r="B1186" s="30" t="s">
        <v>139</v>
      </c>
      <c r="C1186" s="30" t="s">
        <v>140</v>
      </c>
      <c r="D1186" s="30" t="s">
        <v>5913</v>
      </c>
      <c r="E1186" s="35">
        <v>42550.0</v>
      </c>
      <c r="F1186" s="37" t="s">
        <v>184</v>
      </c>
      <c r="G1186" s="30" t="s">
        <v>6462</v>
      </c>
      <c r="H1186" s="30" t="s">
        <v>145</v>
      </c>
      <c r="I1186" s="30" t="s">
        <v>145</v>
      </c>
      <c r="J1186" s="30" t="s">
        <v>145</v>
      </c>
      <c r="K1186" s="30" t="s">
        <v>145</v>
      </c>
      <c r="L1186" s="30" t="s">
        <v>145</v>
      </c>
      <c r="M1186" s="30" t="s">
        <v>145</v>
      </c>
      <c r="N1186" s="30" t="s">
        <v>145</v>
      </c>
      <c r="O1186" s="30" t="s">
        <v>145</v>
      </c>
      <c r="P1186" s="30" t="s">
        <v>145</v>
      </c>
      <c r="Q1186" s="30" t="s">
        <v>146</v>
      </c>
    </row>
    <row r="1187" hidden="1">
      <c r="A1187" s="33" t="s">
        <v>5914</v>
      </c>
      <c r="B1187" s="30" t="s">
        <v>139</v>
      </c>
      <c r="C1187" s="30" t="s">
        <v>140</v>
      </c>
      <c r="D1187" s="30" t="s">
        <v>5913</v>
      </c>
      <c r="E1187" s="35">
        <v>42550.0</v>
      </c>
      <c r="F1187" s="37" t="s">
        <v>184</v>
      </c>
      <c r="G1187" s="30" t="s">
        <v>6462</v>
      </c>
      <c r="H1187" s="30" t="s">
        <v>145</v>
      </c>
      <c r="I1187" s="30" t="s">
        <v>145</v>
      </c>
      <c r="J1187" s="30" t="s">
        <v>145</v>
      </c>
      <c r="K1187" s="30" t="s">
        <v>145</v>
      </c>
      <c r="L1187" s="30" t="s">
        <v>145</v>
      </c>
      <c r="M1187" s="30" t="s">
        <v>145</v>
      </c>
      <c r="N1187" s="30" t="s">
        <v>145</v>
      </c>
      <c r="O1187" s="30" t="s">
        <v>145</v>
      </c>
      <c r="P1187" s="30" t="s">
        <v>145</v>
      </c>
      <c r="Q1187" s="30" t="s">
        <v>146</v>
      </c>
    </row>
    <row r="1188" hidden="1">
      <c r="A1188" s="33" t="s">
        <v>5915</v>
      </c>
      <c r="B1188" s="30" t="s">
        <v>139</v>
      </c>
      <c r="C1188" s="30" t="s">
        <v>140</v>
      </c>
      <c r="D1188" s="30" t="s">
        <v>5913</v>
      </c>
      <c r="E1188" s="35">
        <v>42550.0</v>
      </c>
      <c r="F1188" s="37" t="s">
        <v>184</v>
      </c>
      <c r="G1188" s="30" t="s">
        <v>6462</v>
      </c>
      <c r="H1188" s="30" t="s">
        <v>145</v>
      </c>
      <c r="I1188" s="30" t="s">
        <v>145</v>
      </c>
      <c r="J1188" s="30" t="s">
        <v>145</v>
      </c>
      <c r="K1188" s="30" t="s">
        <v>145</v>
      </c>
      <c r="L1188" s="30" t="s">
        <v>145</v>
      </c>
      <c r="M1188" s="30" t="s">
        <v>145</v>
      </c>
      <c r="N1188" s="30" t="s">
        <v>145</v>
      </c>
      <c r="O1188" s="30" t="s">
        <v>145</v>
      </c>
      <c r="P1188" s="30" t="s">
        <v>145</v>
      </c>
      <c r="Q1188" s="30" t="s">
        <v>146</v>
      </c>
    </row>
    <row r="1189" hidden="1">
      <c r="A1189" s="33" t="s">
        <v>5918</v>
      </c>
      <c r="B1189" s="30" t="s">
        <v>139</v>
      </c>
      <c r="C1189" s="30" t="s">
        <v>140</v>
      </c>
      <c r="D1189" s="30" t="s">
        <v>5913</v>
      </c>
      <c r="E1189" s="35">
        <v>42550.0</v>
      </c>
      <c r="F1189" s="37" t="s">
        <v>184</v>
      </c>
      <c r="G1189" s="30" t="s">
        <v>3106</v>
      </c>
      <c r="H1189" s="30" t="s">
        <v>145</v>
      </c>
      <c r="I1189" s="30" t="s">
        <v>145</v>
      </c>
      <c r="J1189" s="30" t="s">
        <v>145</v>
      </c>
      <c r="K1189" s="30" t="s">
        <v>145</v>
      </c>
      <c r="L1189" s="30" t="s">
        <v>145</v>
      </c>
      <c r="M1189" s="30" t="s">
        <v>145</v>
      </c>
      <c r="N1189" s="30" t="s">
        <v>145</v>
      </c>
      <c r="O1189" s="30" t="s">
        <v>145</v>
      </c>
      <c r="P1189" s="30" t="s">
        <v>145</v>
      </c>
      <c r="Q1189" s="30" t="s">
        <v>146</v>
      </c>
    </row>
    <row r="1190" hidden="1">
      <c r="A1190" s="33" t="s">
        <v>5920</v>
      </c>
      <c r="B1190" s="30" t="s">
        <v>139</v>
      </c>
      <c r="C1190" s="30" t="s">
        <v>140</v>
      </c>
      <c r="D1190" s="30" t="s">
        <v>5913</v>
      </c>
      <c r="E1190" s="35">
        <v>42538.0</v>
      </c>
      <c r="F1190" s="37" t="s">
        <v>150</v>
      </c>
      <c r="G1190" s="30" t="s">
        <v>6475</v>
      </c>
      <c r="H1190" s="30" t="s">
        <v>145</v>
      </c>
      <c r="I1190" s="30" t="s">
        <v>145</v>
      </c>
      <c r="J1190" s="30" t="s">
        <v>145</v>
      </c>
      <c r="K1190" s="30" t="s">
        <v>145</v>
      </c>
      <c r="L1190" s="30" t="s">
        <v>145</v>
      </c>
      <c r="M1190" s="30" t="s">
        <v>145</v>
      </c>
      <c r="N1190" s="30" t="s">
        <v>145</v>
      </c>
      <c r="O1190" s="30" t="s">
        <v>145</v>
      </c>
      <c r="P1190" s="30" t="s">
        <v>145</v>
      </c>
      <c r="Q1190" s="30" t="s">
        <v>146</v>
      </c>
    </row>
    <row r="1191" hidden="1">
      <c r="A1191" s="33" t="s">
        <v>5923</v>
      </c>
      <c r="B1191" s="30" t="s">
        <v>139</v>
      </c>
      <c r="C1191" s="30" t="s">
        <v>5925</v>
      </c>
      <c r="D1191" s="30" t="s">
        <v>5925</v>
      </c>
      <c r="E1191" s="35">
        <v>42535.0</v>
      </c>
      <c r="F1191" s="37" t="s">
        <v>184</v>
      </c>
      <c r="G1191" s="30" t="s">
        <v>6483</v>
      </c>
      <c r="H1191" s="30" t="s">
        <v>145</v>
      </c>
      <c r="I1191" s="30" t="s">
        <v>145</v>
      </c>
      <c r="J1191" s="30" t="s">
        <v>145</v>
      </c>
      <c r="K1191" s="30" t="s">
        <v>145</v>
      </c>
      <c r="L1191" s="30" t="s">
        <v>145</v>
      </c>
      <c r="M1191" s="30" t="s">
        <v>145</v>
      </c>
      <c r="N1191" s="30" t="s">
        <v>145</v>
      </c>
      <c r="O1191" s="30" t="s">
        <v>145</v>
      </c>
      <c r="P1191" s="30" t="s">
        <v>145</v>
      </c>
      <c r="Q1191" s="30" t="s">
        <v>1898</v>
      </c>
    </row>
    <row r="1192" hidden="1">
      <c r="A1192" s="33" t="s">
        <v>5926</v>
      </c>
      <c r="B1192" s="30" t="s">
        <v>139</v>
      </c>
      <c r="C1192" s="30" t="s">
        <v>140</v>
      </c>
      <c r="D1192" s="30" t="s">
        <v>140</v>
      </c>
      <c r="E1192" s="35">
        <v>42479.0</v>
      </c>
      <c r="F1192" s="37" t="s">
        <v>452</v>
      </c>
      <c r="G1192" s="2" t="s">
        <v>6489</v>
      </c>
      <c r="H1192" s="30" t="s">
        <v>145</v>
      </c>
      <c r="I1192" s="30" t="s">
        <v>140</v>
      </c>
      <c r="J1192" s="30" t="s">
        <v>145</v>
      </c>
      <c r="K1192" s="30" t="s">
        <v>145</v>
      </c>
      <c r="L1192" s="30" t="s">
        <v>145</v>
      </c>
      <c r="M1192" s="30" t="s">
        <v>145</v>
      </c>
      <c r="N1192" s="30" t="s">
        <v>145</v>
      </c>
      <c r="O1192" s="30" t="s">
        <v>145</v>
      </c>
      <c r="P1192" s="30" t="s">
        <v>145</v>
      </c>
      <c r="Q1192" s="30" t="s">
        <v>146</v>
      </c>
    </row>
    <row r="1193" hidden="1">
      <c r="A1193" s="33" t="s">
        <v>5928</v>
      </c>
      <c r="B1193" s="30" t="s">
        <v>139</v>
      </c>
      <c r="C1193" s="30" t="s">
        <v>177</v>
      </c>
      <c r="D1193" s="30" t="s">
        <v>177</v>
      </c>
      <c r="E1193" s="35">
        <v>42400.0</v>
      </c>
      <c r="F1193" s="37" t="s">
        <v>150</v>
      </c>
      <c r="G1193" s="30" t="s">
        <v>6494</v>
      </c>
      <c r="H1193" s="30" t="s">
        <v>145</v>
      </c>
      <c r="I1193" s="30" t="s">
        <v>145</v>
      </c>
      <c r="J1193" s="30" t="s">
        <v>145</v>
      </c>
      <c r="K1193" s="30" t="s">
        <v>145</v>
      </c>
      <c r="L1193" s="30" t="s">
        <v>145</v>
      </c>
      <c r="M1193" s="30" t="s">
        <v>145</v>
      </c>
      <c r="N1193" s="30" t="s">
        <v>145</v>
      </c>
      <c r="O1193" s="30" t="s">
        <v>145</v>
      </c>
      <c r="P1193" s="30" t="s">
        <v>145</v>
      </c>
      <c r="Q1193" s="30" t="s">
        <v>177</v>
      </c>
    </row>
    <row r="1194" hidden="1">
      <c r="A1194" s="33" t="s">
        <v>5930</v>
      </c>
      <c r="B1194" s="30" t="s">
        <v>139</v>
      </c>
      <c r="C1194" s="30" t="s">
        <v>216</v>
      </c>
      <c r="D1194" s="30" t="s">
        <v>216</v>
      </c>
      <c r="E1194" s="35">
        <v>42400.0</v>
      </c>
      <c r="F1194" s="37" t="s">
        <v>150</v>
      </c>
      <c r="G1194" s="30" t="s">
        <v>6498</v>
      </c>
      <c r="H1194" s="30" t="s">
        <v>145</v>
      </c>
      <c r="I1194" s="30" t="s">
        <v>145</v>
      </c>
      <c r="J1194" s="30" t="s">
        <v>145</v>
      </c>
      <c r="K1194" s="30" t="s">
        <v>145</v>
      </c>
      <c r="L1194" s="30" t="s">
        <v>145</v>
      </c>
      <c r="M1194" s="30" t="s">
        <v>145</v>
      </c>
      <c r="N1194" s="30" t="s">
        <v>145</v>
      </c>
      <c r="O1194" s="30" t="s">
        <v>145</v>
      </c>
      <c r="P1194" s="30" t="s">
        <v>145</v>
      </c>
      <c r="Q1194" s="30" t="s">
        <v>216</v>
      </c>
    </row>
    <row r="1195" hidden="1">
      <c r="A1195" s="33" t="s">
        <v>5932</v>
      </c>
      <c r="B1195" s="30" t="s">
        <v>139</v>
      </c>
      <c r="C1195" s="30" t="s">
        <v>216</v>
      </c>
      <c r="D1195" s="30" t="s">
        <v>216</v>
      </c>
      <c r="E1195" s="35">
        <v>42400.0</v>
      </c>
      <c r="F1195" s="37" t="s">
        <v>150</v>
      </c>
      <c r="G1195" s="30" t="s">
        <v>6498</v>
      </c>
      <c r="H1195" s="30" t="s">
        <v>145</v>
      </c>
      <c r="I1195" s="30" t="s">
        <v>145</v>
      </c>
      <c r="J1195" s="30" t="s">
        <v>145</v>
      </c>
      <c r="K1195" s="30" t="s">
        <v>145</v>
      </c>
      <c r="L1195" s="30" t="s">
        <v>145</v>
      </c>
      <c r="M1195" s="30" t="s">
        <v>145</v>
      </c>
      <c r="N1195" s="30" t="s">
        <v>145</v>
      </c>
      <c r="O1195" s="30" t="s">
        <v>145</v>
      </c>
      <c r="P1195" s="30" t="s">
        <v>145</v>
      </c>
      <c r="Q1195" s="30" t="s">
        <v>216</v>
      </c>
    </row>
    <row r="1196" hidden="1">
      <c r="A1196" s="33" t="s">
        <v>5935</v>
      </c>
      <c r="B1196" s="30" t="s">
        <v>139</v>
      </c>
      <c r="C1196" s="30" t="s">
        <v>216</v>
      </c>
      <c r="D1196" s="30" t="s">
        <v>216</v>
      </c>
      <c r="E1196" s="35">
        <v>42400.0</v>
      </c>
      <c r="F1196" s="37" t="s">
        <v>150</v>
      </c>
      <c r="G1196" s="30" t="s">
        <v>6498</v>
      </c>
      <c r="H1196" s="30" t="s">
        <v>145</v>
      </c>
      <c r="I1196" s="30" t="s">
        <v>145</v>
      </c>
      <c r="J1196" s="30" t="s">
        <v>145</v>
      </c>
      <c r="K1196" s="30" t="s">
        <v>145</v>
      </c>
      <c r="L1196" s="30" t="s">
        <v>145</v>
      </c>
      <c r="M1196" s="30" t="s">
        <v>145</v>
      </c>
      <c r="N1196" s="30" t="s">
        <v>145</v>
      </c>
      <c r="O1196" s="30" t="s">
        <v>145</v>
      </c>
      <c r="P1196" s="30" t="s">
        <v>145</v>
      </c>
      <c r="Q1196" s="30" t="s">
        <v>216</v>
      </c>
    </row>
    <row r="1197" hidden="1">
      <c r="A1197" s="33" t="s">
        <v>5937</v>
      </c>
      <c r="B1197" s="30" t="s">
        <v>139</v>
      </c>
      <c r="C1197" s="30" t="s">
        <v>5939</v>
      </c>
      <c r="D1197" s="30" t="s">
        <v>5939</v>
      </c>
      <c r="E1197" s="35">
        <v>42399.0</v>
      </c>
      <c r="F1197" s="37" t="s">
        <v>150</v>
      </c>
      <c r="G1197" s="30" t="s">
        <v>6511</v>
      </c>
      <c r="H1197" s="30" t="s">
        <v>5939</v>
      </c>
      <c r="I1197" s="30" t="s">
        <v>145</v>
      </c>
      <c r="J1197" s="30" t="s">
        <v>145</v>
      </c>
      <c r="K1197" s="30" t="s">
        <v>145</v>
      </c>
      <c r="L1197" s="30" t="s">
        <v>145</v>
      </c>
      <c r="M1197" s="30" t="s">
        <v>145</v>
      </c>
      <c r="N1197" s="30" t="s">
        <v>145</v>
      </c>
      <c r="O1197" s="30" t="s">
        <v>145</v>
      </c>
      <c r="P1197" s="30" t="s">
        <v>145</v>
      </c>
      <c r="Q1197" s="30" t="s">
        <v>1898</v>
      </c>
    </row>
    <row r="1198" hidden="1">
      <c r="A1198" s="33" t="s">
        <v>5940</v>
      </c>
      <c r="B1198" s="30" t="s">
        <v>139</v>
      </c>
      <c r="C1198" s="30" t="s">
        <v>216</v>
      </c>
      <c r="D1198" s="30" t="s">
        <v>216</v>
      </c>
      <c r="E1198" s="35">
        <v>42399.0</v>
      </c>
      <c r="F1198" s="37" t="s">
        <v>150</v>
      </c>
      <c r="G1198" s="30" t="s">
        <v>6515</v>
      </c>
      <c r="H1198" s="30" t="s">
        <v>145</v>
      </c>
      <c r="I1198" s="30" t="s">
        <v>145</v>
      </c>
      <c r="J1198" s="30" t="s">
        <v>145</v>
      </c>
      <c r="K1198" s="30" t="s">
        <v>145</v>
      </c>
      <c r="L1198" s="30" t="s">
        <v>145</v>
      </c>
      <c r="M1198" s="30" t="s">
        <v>145</v>
      </c>
      <c r="N1198" s="30" t="s">
        <v>145</v>
      </c>
      <c r="O1198" s="30" t="s">
        <v>145</v>
      </c>
      <c r="P1198" s="30" t="s">
        <v>145</v>
      </c>
      <c r="Q1198" s="30" t="s">
        <v>216</v>
      </c>
    </row>
    <row r="1199" hidden="1">
      <c r="A1199" s="33" t="s">
        <v>5943</v>
      </c>
      <c r="B1199" s="30" t="s">
        <v>139</v>
      </c>
      <c r="C1199" s="30" t="s">
        <v>177</v>
      </c>
      <c r="D1199" s="30" t="s">
        <v>177</v>
      </c>
      <c r="E1199" s="35">
        <v>42398.0</v>
      </c>
      <c r="F1199" s="37" t="s">
        <v>150</v>
      </c>
      <c r="G1199" s="30" t="s">
        <v>6518</v>
      </c>
      <c r="H1199" s="30" t="s">
        <v>145</v>
      </c>
      <c r="I1199" s="30" t="s">
        <v>145</v>
      </c>
      <c r="J1199" s="30" t="s">
        <v>145</v>
      </c>
      <c r="K1199" s="30" t="s">
        <v>145</v>
      </c>
      <c r="L1199" s="30" t="s">
        <v>145</v>
      </c>
      <c r="M1199" s="30" t="s">
        <v>145</v>
      </c>
      <c r="N1199" s="30" t="s">
        <v>145</v>
      </c>
      <c r="O1199" s="30" t="s">
        <v>145</v>
      </c>
      <c r="P1199" s="30" t="s">
        <v>145</v>
      </c>
      <c r="Q1199" s="30" t="s">
        <v>177</v>
      </c>
    </row>
    <row r="1200" hidden="1">
      <c r="A1200" s="33" t="s">
        <v>5945</v>
      </c>
      <c r="B1200" s="30" t="s">
        <v>139</v>
      </c>
      <c r="C1200" s="30" t="s">
        <v>609</v>
      </c>
      <c r="D1200" s="30" t="s">
        <v>609</v>
      </c>
      <c r="E1200" s="35">
        <v>42398.0</v>
      </c>
      <c r="F1200" s="37" t="s">
        <v>150</v>
      </c>
      <c r="G1200" s="30" t="s">
        <v>6522</v>
      </c>
      <c r="H1200" s="30" t="s">
        <v>145</v>
      </c>
      <c r="I1200" s="30" t="s">
        <v>145</v>
      </c>
      <c r="J1200" s="30" t="s">
        <v>145</v>
      </c>
      <c r="K1200" s="30" t="s">
        <v>145</v>
      </c>
      <c r="L1200" s="30" t="s">
        <v>145</v>
      </c>
      <c r="M1200" s="30" t="s">
        <v>145</v>
      </c>
      <c r="N1200" s="30" t="s">
        <v>145</v>
      </c>
      <c r="O1200" s="30" t="s">
        <v>145</v>
      </c>
      <c r="P1200" s="30" t="s">
        <v>145</v>
      </c>
      <c r="Q1200" s="30" t="s">
        <v>609</v>
      </c>
    </row>
    <row r="1201" hidden="1">
      <c r="A1201" s="33" t="s">
        <v>5947</v>
      </c>
      <c r="B1201" s="30" t="s">
        <v>139</v>
      </c>
      <c r="C1201" s="30" t="s">
        <v>216</v>
      </c>
      <c r="D1201" s="30" t="s">
        <v>216</v>
      </c>
      <c r="E1201" s="35">
        <v>42398.0</v>
      </c>
      <c r="F1201" s="37" t="s">
        <v>150</v>
      </c>
      <c r="G1201" s="30" t="s">
        <v>6524</v>
      </c>
      <c r="H1201" s="30" t="s">
        <v>145</v>
      </c>
      <c r="I1201" s="30" t="s">
        <v>145</v>
      </c>
      <c r="J1201" s="30" t="s">
        <v>145</v>
      </c>
      <c r="K1201" s="30" t="s">
        <v>145</v>
      </c>
      <c r="L1201" s="30" t="s">
        <v>145</v>
      </c>
      <c r="M1201" s="30" t="s">
        <v>145</v>
      </c>
      <c r="N1201" s="30" t="s">
        <v>145</v>
      </c>
      <c r="O1201" s="30" t="s">
        <v>145</v>
      </c>
      <c r="P1201" s="30" t="s">
        <v>145</v>
      </c>
      <c r="Q1201" s="30" t="s">
        <v>216</v>
      </c>
    </row>
    <row r="1202" hidden="1">
      <c r="A1202" s="33" t="s">
        <v>5949</v>
      </c>
      <c r="B1202" s="30" t="s">
        <v>139</v>
      </c>
      <c r="C1202" s="30" t="s">
        <v>609</v>
      </c>
      <c r="D1202" s="30" t="s">
        <v>609</v>
      </c>
      <c r="E1202" s="35">
        <v>42398.0</v>
      </c>
      <c r="F1202" s="37" t="s">
        <v>150</v>
      </c>
      <c r="G1202" s="30" t="s">
        <v>6522</v>
      </c>
      <c r="H1202" s="30" t="s">
        <v>145</v>
      </c>
      <c r="I1202" s="30" t="s">
        <v>145</v>
      </c>
      <c r="J1202" s="30" t="s">
        <v>145</v>
      </c>
      <c r="K1202" s="30" t="s">
        <v>145</v>
      </c>
      <c r="L1202" s="30" t="s">
        <v>145</v>
      </c>
      <c r="M1202" s="30" t="s">
        <v>145</v>
      </c>
      <c r="N1202" s="30" t="s">
        <v>145</v>
      </c>
      <c r="O1202" s="30" t="s">
        <v>145</v>
      </c>
      <c r="P1202" s="30" t="s">
        <v>145</v>
      </c>
      <c r="Q1202" s="30" t="s">
        <v>609</v>
      </c>
    </row>
    <row r="1203" hidden="1">
      <c r="A1203" s="33" t="s">
        <v>5951</v>
      </c>
      <c r="B1203" s="30" t="s">
        <v>139</v>
      </c>
      <c r="C1203" s="30" t="s">
        <v>216</v>
      </c>
      <c r="D1203" s="30" t="s">
        <v>216</v>
      </c>
      <c r="E1203" s="35">
        <v>42397.0</v>
      </c>
      <c r="F1203" s="37" t="s">
        <v>150</v>
      </c>
      <c r="G1203" s="30" t="s">
        <v>6533</v>
      </c>
      <c r="H1203" s="30" t="s">
        <v>145</v>
      </c>
      <c r="I1203" s="30" t="s">
        <v>145</v>
      </c>
      <c r="J1203" s="30" t="s">
        <v>145</v>
      </c>
      <c r="K1203" s="30" t="s">
        <v>145</v>
      </c>
      <c r="L1203" s="30" t="s">
        <v>145</v>
      </c>
      <c r="M1203" s="30" t="s">
        <v>145</v>
      </c>
      <c r="N1203" s="30" t="s">
        <v>145</v>
      </c>
      <c r="O1203" s="30" t="s">
        <v>145</v>
      </c>
      <c r="P1203" s="30" t="s">
        <v>145</v>
      </c>
      <c r="Q1203" s="30" t="s">
        <v>216</v>
      </c>
    </row>
    <row r="1204" hidden="1">
      <c r="A1204" s="33" t="s">
        <v>5953</v>
      </c>
      <c r="B1204" s="30" t="s">
        <v>139</v>
      </c>
      <c r="C1204" s="30" t="s">
        <v>609</v>
      </c>
      <c r="D1204" s="30" t="s">
        <v>609</v>
      </c>
      <c r="E1204" s="35">
        <v>42397.0</v>
      </c>
      <c r="F1204" s="37" t="s">
        <v>150</v>
      </c>
      <c r="G1204" s="30" t="s">
        <v>6536</v>
      </c>
      <c r="H1204" s="30" t="s">
        <v>145</v>
      </c>
      <c r="I1204" s="30" t="s">
        <v>145</v>
      </c>
      <c r="J1204" s="30" t="s">
        <v>145</v>
      </c>
      <c r="K1204" s="30" t="s">
        <v>145</v>
      </c>
      <c r="L1204" s="30" t="s">
        <v>145</v>
      </c>
      <c r="M1204" s="30" t="s">
        <v>145</v>
      </c>
      <c r="N1204" s="30" t="s">
        <v>145</v>
      </c>
      <c r="O1204" s="30" t="s">
        <v>145</v>
      </c>
      <c r="P1204" s="30" t="s">
        <v>145</v>
      </c>
      <c r="Q1204" s="30" t="s">
        <v>609</v>
      </c>
    </row>
    <row r="1205" hidden="1">
      <c r="A1205" s="33" t="s">
        <v>5956</v>
      </c>
      <c r="B1205" s="30" t="s">
        <v>139</v>
      </c>
      <c r="C1205" s="30" t="s">
        <v>609</v>
      </c>
      <c r="D1205" s="30" t="s">
        <v>609</v>
      </c>
      <c r="E1205" s="35">
        <v>42397.0</v>
      </c>
      <c r="F1205" s="37" t="s">
        <v>150</v>
      </c>
      <c r="G1205" s="30" t="s">
        <v>6536</v>
      </c>
      <c r="H1205" s="30" t="s">
        <v>145</v>
      </c>
      <c r="I1205" s="30" t="s">
        <v>145</v>
      </c>
      <c r="J1205" s="30" t="s">
        <v>145</v>
      </c>
      <c r="K1205" s="30" t="s">
        <v>145</v>
      </c>
      <c r="L1205" s="30" t="s">
        <v>145</v>
      </c>
      <c r="M1205" s="30" t="s">
        <v>145</v>
      </c>
      <c r="N1205" s="30" t="s">
        <v>145</v>
      </c>
      <c r="O1205" s="30" t="s">
        <v>145</v>
      </c>
      <c r="P1205" s="30" t="s">
        <v>145</v>
      </c>
      <c r="Q1205" s="30" t="s">
        <v>609</v>
      </c>
    </row>
    <row r="1206" hidden="1">
      <c r="A1206" s="33" t="s">
        <v>5958</v>
      </c>
      <c r="B1206" s="30" t="s">
        <v>139</v>
      </c>
      <c r="C1206" s="30" t="s">
        <v>177</v>
      </c>
      <c r="D1206" s="30" t="s">
        <v>177</v>
      </c>
      <c r="E1206" s="35">
        <v>42395.0</v>
      </c>
      <c r="F1206" s="37" t="s">
        <v>150</v>
      </c>
      <c r="G1206" s="30" t="s">
        <v>6542</v>
      </c>
      <c r="H1206" s="30" t="s">
        <v>145</v>
      </c>
      <c r="I1206" s="30" t="s">
        <v>145</v>
      </c>
      <c r="J1206" s="30" t="s">
        <v>145</v>
      </c>
      <c r="K1206" s="30" t="s">
        <v>145</v>
      </c>
      <c r="L1206" s="30" t="s">
        <v>145</v>
      </c>
      <c r="M1206" s="30" t="s">
        <v>145</v>
      </c>
      <c r="N1206" s="30" t="s">
        <v>145</v>
      </c>
      <c r="O1206" s="30" t="s">
        <v>145</v>
      </c>
      <c r="P1206" s="30" t="s">
        <v>145</v>
      </c>
      <c r="Q1206" s="30" t="s">
        <v>177</v>
      </c>
    </row>
    <row r="1207" hidden="1">
      <c r="A1207" s="33" t="s">
        <v>5961</v>
      </c>
      <c r="B1207" s="30" t="s">
        <v>139</v>
      </c>
      <c r="C1207" s="30" t="s">
        <v>5621</v>
      </c>
      <c r="D1207" s="30" t="s">
        <v>216</v>
      </c>
      <c r="E1207" s="35">
        <v>42395.0</v>
      </c>
      <c r="F1207" s="37" t="s">
        <v>150</v>
      </c>
      <c r="G1207" s="30" t="s">
        <v>6547</v>
      </c>
      <c r="H1207" s="30" t="s">
        <v>6548</v>
      </c>
      <c r="I1207" s="30" t="s">
        <v>145</v>
      </c>
      <c r="J1207" s="30" t="s">
        <v>145</v>
      </c>
      <c r="K1207" s="30" t="s">
        <v>145</v>
      </c>
      <c r="L1207" s="30" t="s">
        <v>145</v>
      </c>
      <c r="M1207" s="30" t="s">
        <v>145</v>
      </c>
      <c r="N1207" s="30" t="s">
        <v>145</v>
      </c>
      <c r="O1207" s="30" t="s">
        <v>145</v>
      </c>
      <c r="P1207" s="30" t="s">
        <v>145</v>
      </c>
      <c r="Q1207" s="30" t="s">
        <v>6195</v>
      </c>
    </row>
    <row r="1208" hidden="1">
      <c r="A1208" s="33" t="s">
        <v>5963</v>
      </c>
      <c r="B1208" s="30" t="s">
        <v>139</v>
      </c>
      <c r="C1208" s="30" t="s">
        <v>216</v>
      </c>
      <c r="D1208" s="30" t="s">
        <v>216</v>
      </c>
      <c r="E1208" s="35">
        <v>42395.0</v>
      </c>
      <c r="F1208" s="37" t="s">
        <v>150</v>
      </c>
      <c r="G1208" s="30" t="s">
        <v>6553</v>
      </c>
      <c r="H1208" s="30" t="s">
        <v>145</v>
      </c>
      <c r="I1208" s="30" t="s">
        <v>145</v>
      </c>
      <c r="J1208" s="30" t="s">
        <v>145</v>
      </c>
      <c r="K1208" s="30" t="s">
        <v>145</v>
      </c>
      <c r="L1208" s="30" t="s">
        <v>145</v>
      </c>
      <c r="M1208" s="30" t="s">
        <v>145</v>
      </c>
      <c r="N1208" s="30" t="s">
        <v>145</v>
      </c>
      <c r="O1208" s="30" t="s">
        <v>145</v>
      </c>
      <c r="P1208" s="30" t="s">
        <v>145</v>
      </c>
      <c r="Q1208" s="30" t="s">
        <v>216</v>
      </c>
    </row>
    <row r="1209" hidden="1">
      <c r="A1209" s="33" t="s">
        <v>5965</v>
      </c>
      <c r="B1209" s="30" t="s">
        <v>139</v>
      </c>
      <c r="C1209" s="30" t="s">
        <v>216</v>
      </c>
      <c r="D1209" s="30" t="s">
        <v>216</v>
      </c>
      <c r="E1209" s="35">
        <v>42395.0</v>
      </c>
      <c r="F1209" s="37" t="s">
        <v>150</v>
      </c>
      <c r="G1209" s="30" t="s">
        <v>6553</v>
      </c>
      <c r="H1209" s="30" t="s">
        <v>145</v>
      </c>
      <c r="I1209" s="30" t="s">
        <v>145</v>
      </c>
      <c r="J1209" s="30" t="s">
        <v>145</v>
      </c>
      <c r="K1209" s="30" t="s">
        <v>145</v>
      </c>
      <c r="L1209" s="30" t="s">
        <v>145</v>
      </c>
      <c r="M1209" s="30" t="s">
        <v>145</v>
      </c>
      <c r="N1209" s="30" t="s">
        <v>145</v>
      </c>
      <c r="O1209" s="30" t="s">
        <v>145</v>
      </c>
      <c r="P1209" s="30" t="s">
        <v>145</v>
      </c>
      <c r="Q1209" s="30" t="s">
        <v>216</v>
      </c>
    </row>
    <row r="1210" hidden="1">
      <c r="A1210" s="33" t="s">
        <v>5967</v>
      </c>
      <c r="B1210" s="30" t="s">
        <v>139</v>
      </c>
      <c r="C1210" s="30" t="s">
        <v>216</v>
      </c>
      <c r="D1210" s="30" t="s">
        <v>216</v>
      </c>
      <c r="E1210" s="35">
        <v>42395.0</v>
      </c>
      <c r="F1210" s="37" t="s">
        <v>150</v>
      </c>
      <c r="G1210" s="30" t="s">
        <v>6553</v>
      </c>
      <c r="H1210" s="30" t="s">
        <v>145</v>
      </c>
      <c r="I1210" s="30" t="s">
        <v>145</v>
      </c>
      <c r="J1210" s="30" t="s">
        <v>145</v>
      </c>
      <c r="K1210" s="30" t="s">
        <v>145</v>
      </c>
      <c r="L1210" s="30" t="s">
        <v>145</v>
      </c>
      <c r="M1210" s="30" t="s">
        <v>145</v>
      </c>
      <c r="N1210" s="30" t="s">
        <v>145</v>
      </c>
      <c r="O1210" s="30" t="s">
        <v>145</v>
      </c>
      <c r="P1210" s="30" t="s">
        <v>145</v>
      </c>
      <c r="Q1210" s="30" t="s">
        <v>216</v>
      </c>
    </row>
    <row r="1211" hidden="1">
      <c r="A1211" s="33" t="s">
        <v>5969</v>
      </c>
      <c r="B1211" s="30" t="s">
        <v>139</v>
      </c>
      <c r="C1211" s="30" t="s">
        <v>216</v>
      </c>
      <c r="D1211" s="30" t="s">
        <v>216</v>
      </c>
      <c r="E1211" s="35">
        <v>42395.0</v>
      </c>
      <c r="F1211" s="37" t="s">
        <v>150</v>
      </c>
      <c r="G1211" s="30" t="s">
        <v>6553</v>
      </c>
      <c r="H1211" s="30" t="s">
        <v>145</v>
      </c>
      <c r="I1211" s="30" t="s">
        <v>145</v>
      </c>
      <c r="J1211" s="30" t="s">
        <v>145</v>
      </c>
      <c r="K1211" s="30" t="s">
        <v>145</v>
      </c>
      <c r="L1211" s="30" t="s">
        <v>145</v>
      </c>
      <c r="M1211" s="30" t="s">
        <v>145</v>
      </c>
      <c r="N1211" s="30" t="s">
        <v>145</v>
      </c>
      <c r="O1211" s="30" t="s">
        <v>145</v>
      </c>
      <c r="P1211" s="30" t="s">
        <v>145</v>
      </c>
      <c r="Q1211" s="30" t="s">
        <v>216</v>
      </c>
    </row>
    <row r="1212" hidden="1">
      <c r="A1212" s="33" t="s">
        <v>5972</v>
      </c>
      <c r="B1212" s="30" t="s">
        <v>139</v>
      </c>
      <c r="C1212" s="30" t="s">
        <v>216</v>
      </c>
      <c r="D1212" s="30" t="s">
        <v>216</v>
      </c>
      <c r="E1212" s="35">
        <v>42395.0</v>
      </c>
      <c r="F1212" s="37" t="s">
        <v>150</v>
      </c>
      <c r="G1212" s="30" t="s">
        <v>6553</v>
      </c>
      <c r="H1212" s="30" t="s">
        <v>145</v>
      </c>
      <c r="I1212" s="30" t="s">
        <v>145</v>
      </c>
      <c r="J1212" s="30" t="s">
        <v>145</v>
      </c>
      <c r="K1212" s="30" t="s">
        <v>145</v>
      </c>
      <c r="L1212" s="30" t="s">
        <v>145</v>
      </c>
      <c r="M1212" s="30" t="s">
        <v>145</v>
      </c>
      <c r="N1212" s="30" t="s">
        <v>145</v>
      </c>
      <c r="O1212" s="30" t="s">
        <v>145</v>
      </c>
      <c r="P1212" s="30" t="s">
        <v>145</v>
      </c>
      <c r="Q1212" s="30" t="s">
        <v>216</v>
      </c>
    </row>
    <row r="1213" hidden="1">
      <c r="A1213" s="33" t="s">
        <v>5975</v>
      </c>
      <c r="B1213" s="30" t="s">
        <v>139</v>
      </c>
      <c r="C1213" s="30" t="s">
        <v>216</v>
      </c>
      <c r="D1213" s="30" t="s">
        <v>216</v>
      </c>
      <c r="E1213" s="35">
        <v>42395.0</v>
      </c>
      <c r="F1213" s="37" t="s">
        <v>150</v>
      </c>
      <c r="G1213" s="30" t="s">
        <v>6553</v>
      </c>
      <c r="H1213" s="30" t="s">
        <v>145</v>
      </c>
      <c r="I1213" s="30" t="s">
        <v>145</v>
      </c>
      <c r="J1213" s="30" t="s">
        <v>145</v>
      </c>
      <c r="K1213" s="30" t="s">
        <v>145</v>
      </c>
      <c r="L1213" s="30" t="s">
        <v>145</v>
      </c>
      <c r="M1213" s="30" t="s">
        <v>145</v>
      </c>
      <c r="N1213" s="30" t="s">
        <v>145</v>
      </c>
      <c r="O1213" s="30" t="s">
        <v>145</v>
      </c>
      <c r="P1213" s="30" t="s">
        <v>145</v>
      </c>
      <c r="Q1213" s="30" t="s">
        <v>216</v>
      </c>
    </row>
    <row r="1214" hidden="1">
      <c r="A1214" s="33" t="s">
        <v>5977</v>
      </c>
      <c r="B1214" s="30" t="s">
        <v>139</v>
      </c>
      <c r="C1214" s="30" t="s">
        <v>609</v>
      </c>
      <c r="D1214" s="30" t="s">
        <v>609</v>
      </c>
      <c r="E1214" s="35">
        <v>42395.0</v>
      </c>
      <c r="F1214" s="37" t="s">
        <v>150</v>
      </c>
      <c r="G1214" s="30" t="s">
        <v>6570</v>
      </c>
      <c r="H1214" s="30" t="s">
        <v>145</v>
      </c>
      <c r="I1214" s="30" t="s">
        <v>145</v>
      </c>
      <c r="J1214" s="30" t="s">
        <v>145</v>
      </c>
      <c r="K1214" s="30" t="s">
        <v>145</v>
      </c>
      <c r="L1214" s="30" t="s">
        <v>145</v>
      </c>
      <c r="M1214" s="30" t="s">
        <v>145</v>
      </c>
      <c r="N1214" s="30" t="s">
        <v>145</v>
      </c>
      <c r="O1214" s="30" t="s">
        <v>145</v>
      </c>
      <c r="P1214" s="30" t="s">
        <v>145</v>
      </c>
      <c r="Q1214" s="30" t="s">
        <v>609</v>
      </c>
    </row>
    <row r="1215" hidden="1">
      <c r="A1215" s="33" t="s">
        <v>5980</v>
      </c>
      <c r="B1215" s="30" t="s">
        <v>139</v>
      </c>
      <c r="C1215" s="30" t="s">
        <v>609</v>
      </c>
      <c r="D1215" s="30" t="s">
        <v>609</v>
      </c>
      <c r="E1215" s="35">
        <v>42395.0</v>
      </c>
      <c r="F1215" s="37" t="s">
        <v>150</v>
      </c>
      <c r="G1215" s="30" t="s">
        <v>6570</v>
      </c>
      <c r="H1215" s="30" t="s">
        <v>145</v>
      </c>
      <c r="I1215" s="30" t="s">
        <v>145</v>
      </c>
      <c r="J1215" s="30" t="s">
        <v>145</v>
      </c>
      <c r="K1215" s="30" t="s">
        <v>145</v>
      </c>
      <c r="L1215" s="30" t="s">
        <v>145</v>
      </c>
      <c r="M1215" s="30" t="s">
        <v>145</v>
      </c>
      <c r="N1215" s="30" t="s">
        <v>145</v>
      </c>
      <c r="O1215" s="30" t="s">
        <v>145</v>
      </c>
      <c r="P1215" s="30" t="s">
        <v>145</v>
      </c>
      <c r="Q1215" s="30" t="s">
        <v>609</v>
      </c>
    </row>
    <row r="1216" hidden="1">
      <c r="A1216" s="33" t="s">
        <v>5985</v>
      </c>
      <c r="B1216" s="30" t="s">
        <v>139</v>
      </c>
      <c r="C1216" s="30" t="s">
        <v>609</v>
      </c>
      <c r="D1216" s="30" t="s">
        <v>609</v>
      </c>
      <c r="E1216" s="35">
        <v>42395.0</v>
      </c>
      <c r="F1216" s="37" t="s">
        <v>150</v>
      </c>
      <c r="G1216" s="30" t="s">
        <v>6570</v>
      </c>
      <c r="H1216" s="30" t="s">
        <v>145</v>
      </c>
      <c r="I1216" s="30" t="s">
        <v>145</v>
      </c>
      <c r="J1216" s="30" t="s">
        <v>145</v>
      </c>
      <c r="K1216" s="30" t="s">
        <v>145</v>
      </c>
      <c r="L1216" s="30" t="s">
        <v>145</v>
      </c>
      <c r="M1216" s="30" t="s">
        <v>145</v>
      </c>
      <c r="N1216" s="30" t="s">
        <v>145</v>
      </c>
      <c r="O1216" s="30" t="s">
        <v>145</v>
      </c>
      <c r="P1216" s="30" t="s">
        <v>145</v>
      </c>
      <c r="Q1216" s="30" t="s">
        <v>609</v>
      </c>
    </row>
    <row r="1217" hidden="1">
      <c r="A1217" s="33" t="s">
        <v>5988</v>
      </c>
      <c r="B1217" s="30" t="s">
        <v>139</v>
      </c>
      <c r="C1217" s="30" t="s">
        <v>1400</v>
      </c>
      <c r="D1217" s="30" t="s">
        <v>1400</v>
      </c>
      <c r="E1217" s="35">
        <v>42394.0</v>
      </c>
      <c r="F1217" s="37" t="s">
        <v>150</v>
      </c>
      <c r="G1217" s="30" t="s">
        <v>6584</v>
      </c>
      <c r="H1217" s="30" t="s">
        <v>145</v>
      </c>
      <c r="I1217" s="30" t="s">
        <v>145</v>
      </c>
      <c r="J1217" s="30" t="s">
        <v>145</v>
      </c>
      <c r="K1217" s="30" t="s">
        <v>145</v>
      </c>
      <c r="L1217" s="30" t="s">
        <v>145</v>
      </c>
      <c r="M1217" s="30" t="s">
        <v>145</v>
      </c>
      <c r="N1217" s="30" t="s">
        <v>145</v>
      </c>
      <c r="O1217" s="30" t="s">
        <v>145</v>
      </c>
      <c r="P1217" s="30" t="s">
        <v>145</v>
      </c>
      <c r="Q1217" s="30" t="s">
        <v>1400</v>
      </c>
    </row>
    <row r="1218" hidden="1">
      <c r="A1218" s="33" t="s">
        <v>5991</v>
      </c>
      <c r="B1218" s="30" t="s">
        <v>139</v>
      </c>
      <c r="C1218" s="30" t="s">
        <v>453</v>
      </c>
      <c r="D1218" s="30" t="s">
        <v>1400</v>
      </c>
      <c r="E1218" s="35">
        <v>42394.0</v>
      </c>
      <c r="F1218" s="37" t="s">
        <v>150</v>
      </c>
      <c r="G1218" s="30" t="s">
        <v>6589</v>
      </c>
      <c r="H1218" s="30" t="s">
        <v>1400</v>
      </c>
      <c r="I1218" s="30" t="s">
        <v>145</v>
      </c>
      <c r="J1218" s="30" t="s">
        <v>145</v>
      </c>
      <c r="K1218" s="30" t="s">
        <v>145</v>
      </c>
      <c r="L1218" s="30" t="s">
        <v>145</v>
      </c>
      <c r="M1218" s="30" t="s">
        <v>145</v>
      </c>
      <c r="N1218" s="30" t="s">
        <v>145</v>
      </c>
      <c r="O1218" s="30" t="s">
        <v>145</v>
      </c>
      <c r="P1218" s="30" t="s">
        <v>145</v>
      </c>
      <c r="Q1218" s="30" t="s">
        <v>6592</v>
      </c>
    </row>
    <row r="1219" hidden="1">
      <c r="A1219" s="33" t="s">
        <v>5995</v>
      </c>
      <c r="B1219" s="30" t="s">
        <v>139</v>
      </c>
      <c r="C1219" s="30" t="s">
        <v>177</v>
      </c>
      <c r="D1219" s="30" t="s">
        <v>177</v>
      </c>
      <c r="E1219" s="35">
        <v>42393.0</v>
      </c>
      <c r="F1219" s="37" t="s">
        <v>150</v>
      </c>
      <c r="G1219" s="30" t="s">
        <v>6595</v>
      </c>
      <c r="H1219" s="30" t="s">
        <v>145</v>
      </c>
      <c r="I1219" s="30" t="s">
        <v>145</v>
      </c>
      <c r="J1219" s="30" t="s">
        <v>145</v>
      </c>
      <c r="K1219" s="30" t="s">
        <v>145</v>
      </c>
      <c r="L1219" s="30" t="s">
        <v>145</v>
      </c>
      <c r="M1219" s="30" t="s">
        <v>145</v>
      </c>
      <c r="N1219" s="30" t="s">
        <v>145</v>
      </c>
      <c r="O1219" s="30" t="s">
        <v>145</v>
      </c>
      <c r="P1219" s="30" t="s">
        <v>145</v>
      </c>
      <c r="Q1219" s="30" t="s">
        <v>177</v>
      </c>
    </row>
    <row r="1220" hidden="1">
      <c r="A1220" s="33" t="s">
        <v>5998</v>
      </c>
      <c r="B1220" s="30" t="s">
        <v>139</v>
      </c>
      <c r="C1220" s="30" t="s">
        <v>177</v>
      </c>
      <c r="D1220" s="30" t="s">
        <v>177</v>
      </c>
      <c r="E1220" s="35">
        <v>42393.0</v>
      </c>
      <c r="F1220" s="37" t="s">
        <v>150</v>
      </c>
      <c r="G1220" s="30" t="s">
        <v>6595</v>
      </c>
      <c r="H1220" s="30" t="s">
        <v>145</v>
      </c>
      <c r="I1220" s="30" t="s">
        <v>145</v>
      </c>
      <c r="J1220" s="30" t="s">
        <v>145</v>
      </c>
      <c r="K1220" s="30" t="s">
        <v>145</v>
      </c>
      <c r="L1220" s="30" t="s">
        <v>145</v>
      </c>
      <c r="M1220" s="30" t="s">
        <v>145</v>
      </c>
      <c r="N1220" s="30" t="s">
        <v>145</v>
      </c>
      <c r="O1220" s="30" t="s">
        <v>145</v>
      </c>
      <c r="P1220" s="30" t="s">
        <v>145</v>
      </c>
      <c r="Q1220" s="30" t="s">
        <v>177</v>
      </c>
    </row>
    <row r="1221" hidden="1">
      <c r="A1221" s="33" t="s">
        <v>6002</v>
      </c>
      <c r="B1221" s="30" t="s">
        <v>139</v>
      </c>
      <c r="C1221" s="30" t="s">
        <v>177</v>
      </c>
      <c r="D1221" s="30" t="s">
        <v>177</v>
      </c>
      <c r="E1221" s="35">
        <v>42393.0</v>
      </c>
      <c r="F1221" s="37" t="s">
        <v>150</v>
      </c>
      <c r="G1221" s="30" t="s">
        <v>6595</v>
      </c>
      <c r="H1221" s="30" t="s">
        <v>145</v>
      </c>
      <c r="I1221" s="30" t="s">
        <v>145</v>
      </c>
      <c r="J1221" s="30" t="s">
        <v>145</v>
      </c>
      <c r="K1221" s="30" t="s">
        <v>145</v>
      </c>
      <c r="L1221" s="30" t="s">
        <v>145</v>
      </c>
      <c r="M1221" s="30" t="s">
        <v>145</v>
      </c>
      <c r="N1221" s="30" t="s">
        <v>145</v>
      </c>
      <c r="O1221" s="30" t="s">
        <v>145</v>
      </c>
      <c r="P1221" s="30" t="s">
        <v>145</v>
      </c>
      <c r="Q1221" s="30" t="s">
        <v>177</v>
      </c>
    </row>
    <row r="1222" hidden="1">
      <c r="A1222" s="33" t="s">
        <v>6010</v>
      </c>
      <c r="B1222" s="30" t="s">
        <v>139</v>
      </c>
      <c r="C1222" s="30" t="s">
        <v>216</v>
      </c>
      <c r="D1222" s="30" t="s">
        <v>216</v>
      </c>
      <c r="E1222" s="35">
        <v>42393.0</v>
      </c>
      <c r="F1222" s="37" t="s">
        <v>150</v>
      </c>
      <c r="G1222" s="30" t="s">
        <v>6605</v>
      </c>
      <c r="H1222" s="30" t="s">
        <v>145</v>
      </c>
      <c r="I1222" s="30" t="s">
        <v>145</v>
      </c>
      <c r="J1222" s="30" t="s">
        <v>145</v>
      </c>
      <c r="K1222" s="30" t="s">
        <v>145</v>
      </c>
      <c r="L1222" s="30" t="s">
        <v>145</v>
      </c>
      <c r="M1222" s="30" t="s">
        <v>145</v>
      </c>
      <c r="N1222" s="30" t="s">
        <v>145</v>
      </c>
      <c r="O1222" s="30" t="s">
        <v>145</v>
      </c>
      <c r="P1222" s="30" t="s">
        <v>145</v>
      </c>
      <c r="Q1222" s="30" t="s">
        <v>216</v>
      </c>
    </row>
    <row r="1223" hidden="1">
      <c r="A1223" s="33" t="s">
        <v>6014</v>
      </c>
      <c r="B1223" s="30" t="s">
        <v>139</v>
      </c>
      <c r="C1223" s="30" t="s">
        <v>216</v>
      </c>
      <c r="D1223" s="30" t="s">
        <v>216</v>
      </c>
      <c r="E1223" s="35">
        <v>42393.0</v>
      </c>
      <c r="F1223" s="37" t="s">
        <v>150</v>
      </c>
      <c r="G1223" s="30" t="s">
        <v>6605</v>
      </c>
      <c r="H1223" s="30" t="s">
        <v>145</v>
      </c>
      <c r="I1223" s="30" t="s">
        <v>145</v>
      </c>
      <c r="J1223" s="30" t="s">
        <v>145</v>
      </c>
      <c r="K1223" s="30" t="s">
        <v>145</v>
      </c>
      <c r="L1223" s="30" t="s">
        <v>145</v>
      </c>
      <c r="M1223" s="30" t="s">
        <v>145</v>
      </c>
      <c r="N1223" s="30" t="s">
        <v>145</v>
      </c>
      <c r="O1223" s="30" t="s">
        <v>145</v>
      </c>
      <c r="P1223" s="30" t="s">
        <v>145</v>
      </c>
      <c r="Q1223" s="30" t="s">
        <v>216</v>
      </c>
    </row>
    <row r="1224" hidden="1">
      <c r="A1224" s="33" t="s">
        <v>6017</v>
      </c>
      <c r="B1224" s="30" t="s">
        <v>139</v>
      </c>
      <c r="C1224" s="30" t="s">
        <v>216</v>
      </c>
      <c r="D1224" s="30" t="s">
        <v>216</v>
      </c>
      <c r="E1224" s="35">
        <v>42393.0</v>
      </c>
      <c r="F1224" s="37" t="s">
        <v>150</v>
      </c>
      <c r="G1224" s="30" t="s">
        <v>6605</v>
      </c>
      <c r="H1224" s="30" t="s">
        <v>145</v>
      </c>
      <c r="I1224" s="30" t="s">
        <v>145</v>
      </c>
      <c r="J1224" s="30" t="s">
        <v>145</v>
      </c>
      <c r="K1224" s="30" t="s">
        <v>145</v>
      </c>
      <c r="L1224" s="30" t="s">
        <v>145</v>
      </c>
      <c r="M1224" s="30" t="s">
        <v>145</v>
      </c>
      <c r="N1224" s="30" t="s">
        <v>145</v>
      </c>
      <c r="O1224" s="30" t="s">
        <v>145</v>
      </c>
      <c r="P1224" s="30" t="s">
        <v>145</v>
      </c>
      <c r="Q1224" s="30" t="s">
        <v>216</v>
      </c>
    </row>
    <row r="1225" hidden="1">
      <c r="A1225" s="33" t="s">
        <v>6021</v>
      </c>
      <c r="B1225" s="30" t="s">
        <v>139</v>
      </c>
      <c r="C1225" s="30" t="s">
        <v>216</v>
      </c>
      <c r="D1225" s="30" t="s">
        <v>216</v>
      </c>
      <c r="E1225" s="35">
        <v>42393.0</v>
      </c>
      <c r="F1225" s="37" t="s">
        <v>150</v>
      </c>
      <c r="G1225" s="30" t="s">
        <v>6605</v>
      </c>
      <c r="H1225" s="30" t="s">
        <v>145</v>
      </c>
      <c r="I1225" s="30" t="s">
        <v>145</v>
      </c>
      <c r="J1225" s="30" t="s">
        <v>145</v>
      </c>
      <c r="K1225" s="30" t="s">
        <v>145</v>
      </c>
      <c r="L1225" s="30" t="s">
        <v>145</v>
      </c>
      <c r="M1225" s="30" t="s">
        <v>145</v>
      </c>
      <c r="N1225" s="30" t="s">
        <v>145</v>
      </c>
      <c r="O1225" s="30" t="s">
        <v>145</v>
      </c>
      <c r="P1225" s="30" t="s">
        <v>145</v>
      </c>
      <c r="Q1225" s="30" t="s">
        <v>216</v>
      </c>
    </row>
    <row r="1226" hidden="1">
      <c r="A1226" s="33" t="s">
        <v>6023</v>
      </c>
      <c r="B1226" s="30" t="s">
        <v>139</v>
      </c>
      <c r="C1226" s="30" t="s">
        <v>726</v>
      </c>
      <c r="D1226" s="30" t="s">
        <v>6026</v>
      </c>
      <c r="E1226" s="35">
        <v>42393.0</v>
      </c>
      <c r="F1226" s="37" t="s">
        <v>150</v>
      </c>
      <c r="G1226" s="30" t="s">
        <v>6621</v>
      </c>
      <c r="H1226" s="30" t="s">
        <v>145</v>
      </c>
      <c r="I1226" s="30" t="s">
        <v>145</v>
      </c>
      <c r="J1226" s="30" t="s">
        <v>145</v>
      </c>
      <c r="K1226" s="30" t="s">
        <v>6026</v>
      </c>
      <c r="L1226" s="30" t="s">
        <v>6623</v>
      </c>
      <c r="M1226" s="30" t="s">
        <v>6624</v>
      </c>
      <c r="N1226" s="30" t="s">
        <v>145</v>
      </c>
      <c r="O1226" s="30" t="s">
        <v>145</v>
      </c>
      <c r="P1226" s="30" t="s">
        <v>145</v>
      </c>
      <c r="Q1226" s="30" t="s">
        <v>6625</v>
      </c>
    </row>
    <row r="1227" hidden="1">
      <c r="A1227" s="33" t="s">
        <v>6028</v>
      </c>
      <c r="B1227" s="30" t="s">
        <v>139</v>
      </c>
      <c r="C1227" s="30" t="s">
        <v>177</v>
      </c>
      <c r="D1227" s="30" t="s">
        <v>177</v>
      </c>
      <c r="E1227" s="35">
        <v>42392.0</v>
      </c>
      <c r="F1227" s="37" t="s">
        <v>150</v>
      </c>
      <c r="G1227" s="30" t="s">
        <v>6627</v>
      </c>
      <c r="H1227" s="30" t="s">
        <v>145</v>
      </c>
      <c r="I1227" s="30" t="s">
        <v>145</v>
      </c>
      <c r="J1227" s="30" t="s">
        <v>145</v>
      </c>
      <c r="K1227" s="30" t="s">
        <v>145</v>
      </c>
      <c r="L1227" s="30" t="s">
        <v>145</v>
      </c>
      <c r="M1227" s="30" t="s">
        <v>145</v>
      </c>
      <c r="N1227" s="30" t="s">
        <v>145</v>
      </c>
      <c r="O1227" s="30" t="s">
        <v>145</v>
      </c>
      <c r="P1227" s="30" t="s">
        <v>145</v>
      </c>
      <c r="Q1227" s="30" t="s">
        <v>177</v>
      </c>
    </row>
    <row r="1228" hidden="1">
      <c r="A1228" s="33" t="s">
        <v>6005</v>
      </c>
      <c r="B1228" s="30" t="s">
        <v>139</v>
      </c>
      <c r="C1228" s="30" t="s">
        <v>244</v>
      </c>
      <c r="D1228" s="30" t="s">
        <v>244</v>
      </c>
      <c r="E1228" s="35">
        <v>42392.0</v>
      </c>
      <c r="F1228" s="37" t="s">
        <v>150</v>
      </c>
      <c r="G1228" s="30" t="s">
        <v>6632</v>
      </c>
      <c r="H1228" s="30" t="s">
        <v>145</v>
      </c>
      <c r="I1228" s="30" t="s">
        <v>145</v>
      </c>
      <c r="J1228" s="30" t="s">
        <v>145</v>
      </c>
      <c r="K1228" s="30" t="s">
        <v>145</v>
      </c>
      <c r="L1228" s="30" t="s">
        <v>145</v>
      </c>
      <c r="M1228" s="30" t="s">
        <v>145</v>
      </c>
      <c r="N1228" s="30" t="s">
        <v>145</v>
      </c>
      <c r="O1228" s="30" t="s">
        <v>145</v>
      </c>
      <c r="P1228" s="30" t="s">
        <v>145</v>
      </c>
      <c r="Q1228" s="30" t="s">
        <v>244</v>
      </c>
    </row>
    <row r="1229" hidden="1">
      <c r="A1229" s="33" t="s">
        <v>6007</v>
      </c>
      <c r="B1229" s="30" t="s">
        <v>139</v>
      </c>
      <c r="C1229" s="30" t="s">
        <v>244</v>
      </c>
      <c r="D1229" s="30" t="s">
        <v>244</v>
      </c>
      <c r="E1229" s="35">
        <v>42392.0</v>
      </c>
      <c r="F1229" s="37" t="s">
        <v>150</v>
      </c>
      <c r="G1229" s="30" t="s">
        <v>6632</v>
      </c>
      <c r="H1229" s="30" t="s">
        <v>145</v>
      </c>
      <c r="I1229" s="30" t="s">
        <v>145</v>
      </c>
      <c r="J1229" s="30" t="s">
        <v>145</v>
      </c>
      <c r="K1229" s="30" t="s">
        <v>145</v>
      </c>
      <c r="L1229" s="30" t="s">
        <v>145</v>
      </c>
      <c r="M1229" s="30" t="s">
        <v>145</v>
      </c>
      <c r="N1229" s="30" t="s">
        <v>145</v>
      </c>
      <c r="O1229" s="30" t="s">
        <v>145</v>
      </c>
      <c r="P1229" s="30" t="s">
        <v>145</v>
      </c>
      <c r="Q1229" s="30" t="s">
        <v>244</v>
      </c>
    </row>
    <row r="1230" hidden="1">
      <c r="A1230" s="33" t="s">
        <v>6031</v>
      </c>
      <c r="B1230" s="30" t="s">
        <v>139</v>
      </c>
      <c r="C1230" s="30" t="s">
        <v>216</v>
      </c>
      <c r="D1230" s="30" t="s">
        <v>216</v>
      </c>
      <c r="E1230" s="35">
        <v>42392.0</v>
      </c>
      <c r="F1230" s="37" t="s">
        <v>150</v>
      </c>
      <c r="G1230" s="30" t="s">
        <v>6641</v>
      </c>
      <c r="H1230" s="30" t="s">
        <v>145</v>
      </c>
      <c r="I1230" s="30" t="s">
        <v>145</v>
      </c>
      <c r="J1230" s="30" t="s">
        <v>145</v>
      </c>
      <c r="K1230" s="30" t="s">
        <v>145</v>
      </c>
      <c r="L1230" s="30" t="s">
        <v>145</v>
      </c>
      <c r="M1230" s="30" t="s">
        <v>145</v>
      </c>
      <c r="N1230" s="30" t="s">
        <v>145</v>
      </c>
      <c r="O1230" s="30" t="s">
        <v>145</v>
      </c>
      <c r="P1230" s="30" t="s">
        <v>145</v>
      </c>
      <c r="Q1230" s="30" t="s">
        <v>216</v>
      </c>
    </row>
    <row r="1231" hidden="1">
      <c r="A1231" s="33" t="s">
        <v>6035</v>
      </c>
      <c r="B1231" s="30" t="s">
        <v>139</v>
      </c>
      <c r="C1231" s="30" t="s">
        <v>216</v>
      </c>
      <c r="D1231" s="30" t="s">
        <v>216</v>
      </c>
      <c r="E1231" s="35">
        <v>42392.0</v>
      </c>
      <c r="F1231" s="37" t="s">
        <v>150</v>
      </c>
      <c r="G1231" s="30" t="s">
        <v>6641</v>
      </c>
      <c r="H1231" s="30" t="s">
        <v>145</v>
      </c>
      <c r="I1231" s="30" t="s">
        <v>145</v>
      </c>
      <c r="J1231" s="30" t="s">
        <v>145</v>
      </c>
      <c r="K1231" s="30" t="s">
        <v>145</v>
      </c>
      <c r="L1231" s="30" t="s">
        <v>145</v>
      </c>
      <c r="M1231" s="30" t="s">
        <v>145</v>
      </c>
      <c r="N1231" s="30" t="s">
        <v>145</v>
      </c>
      <c r="O1231" s="30" t="s">
        <v>145</v>
      </c>
      <c r="P1231" s="30" t="s">
        <v>145</v>
      </c>
      <c r="Q1231" s="30" t="s">
        <v>216</v>
      </c>
    </row>
    <row r="1232" hidden="1">
      <c r="A1232" s="33" t="s">
        <v>6039</v>
      </c>
      <c r="B1232" s="30" t="s">
        <v>139</v>
      </c>
      <c r="C1232" s="30" t="s">
        <v>609</v>
      </c>
      <c r="D1232" s="30" t="s">
        <v>609</v>
      </c>
      <c r="E1232" s="35">
        <v>42392.0</v>
      </c>
      <c r="F1232" s="37" t="s">
        <v>150</v>
      </c>
      <c r="G1232" s="30" t="s">
        <v>6647</v>
      </c>
      <c r="H1232" s="30" t="s">
        <v>145</v>
      </c>
      <c r="I1232" s="30" t="s">
        <v>145</v>
      </c>
      <c r="J1232" s="30" t="s">
        <v>145</v>
      </c>
      <c r="K1232" s="30" t="s">
        <v>145</v>
      </c>
      <c r="L1232" s="30" t="s">
        <v>145</v>
      </c>
      <c r="M1232" s="30" t="s">
        <v>145</v>
      </c>
      <c r="N1232" s="30" t="s">
        <v>145</v>
      </c>
      <c r="O1232" s="30" t="s">
        <v>145</v>
      </c>
      <c r="P1232" s="30" t="s">
        <v>145</v>
      </c>
      <c r="Q1232" s="30" t="s">
        <v>609</v>
      </c>
    </row>
    <row r="1233" hidden="1">
      <c r="A1233" s="33" t="s">
        <v>6041</v>
      </c>
      <c r="B1233" s="30" t="s">
        <v>139</v>
      </c>
      <c r="C1233" s="30" t="s">
        <v>609</v>
      </c>
      <c r="D1233" s="30" t="s">
        <v>609</v>
      </c>
      <c r="E1233" s="35">
        <v>42392.0</v>
      </c>
      <c r="F1233" s="37" t="s">
        <v>150</v>
      </c>
      <c r="G1233" s="30" t="s">
        <v>6647</v>
      </c>
      <c r="H1233" s="30" t="s">
        <v>145</v>
      </c>
      <c r="I1233" s="30" t="s">
        <v>145</v>
      </c>
      <c r="J1233" s="30" t="s">
        <v>145</v>
      </c>
      <c r="K1233" s="30" t="s">
        <v>145</v>
      </c>
      <c r="L1233" s="30" t="s">
        <v>145</v>
      </c>
      <c r="M1233" s="30" t="s">
        <v>145</v>
      </c>
      <c r="N1233" s="30" t="s">
        <v>145</v>
      </c>
      <c r="O1233" s="30" t="s">
        <v>145</v>
      </c>
      <c r="P1233" s="30" t="s">
        <v>145</v>
      </c>
      <c r="Q1233" s="30" t="s">
        <v>609</v>
      </c>
    </row>
    <row r="1234" hidden="1">
      <c r="A1234" s="33" t="s">
        <v>6044</v>
      </c>
      <c r="B1234" s="30" t="s">
        <v>139</v>
      </c>
      <c r="C1234" s="30" t="s">
        <v>216</v>
      </c>
      <c r="D1234" s="30" t="s">
        <v>216</v>
      </c>
      <c r="E1234" s="35">
        <v>42391.0</v>
      </c>
      <c r="F1234" s="37" t="s">
        <v>150</v>
      </c>
      <c r="G1234" s="30" t="s">
        <v>6652</v>
      </c>
      <c r="H1234" s="30" t="s">
        <v>145</v>
      </c>
      <c r="I1234" s="30" t="s">
        <v>145</v>
      </c>
      <c r="J1234" s="30" t="s">
        <v>145</v>
      </c>
      <c r="K1234" s="30" t="s">
        <v>145</v>
      </c>
      <c r="L1234" s="30" t="s">
        <v>145</v>
      </c>
      <c r="M1234" s="30" t="s">
        <v>145</v>
      </c>
      <c r="N1234" s="30" t="s">
        <v>145</v>
      </c>
      <c r="O1234" s="30" t="s">
        <v>145</v>
      </c>
      <c r="P1234" s="30" t="s">
        <v>145</v>
      </c>
      <c r="Q1234" s="30" t="s">
        <v>216</v>
      </c>
    </row>
    <row r="1235" hidden="1">
      <c r="A1235" s="33" t="s">
        <v>6046</v>
      </c>
      <c r="B1235" s="30" t="s">
        <v>139</v>
      </c>
      <c r="C1235" s="30" t="s">
        <v>609</v>
      </c>
      <c r="D1235" s="30" t="s">
        <v>609</v>
      </c>
      <c r="E1235" s="35">
        <v>42391.0</v>
      </c>
      <c r="F1235" s="37" t="s">
        <v>150</v>
      </c>
      <c r="G1235" s="30" t="s">
        <v>6656</v>
      </c>
      <c r="H1235" s="30" t="s">
        <v>145</v>
      </c>
      <c r="I1235" s="30" t="s">
        <v>145</v>
      </c>
      <c r="J1235" s="30" t="s">
        <v>145</v>
      </c>
      <c r="K1235" s="30" t="s">
        <v>145</v>
      </c>
      <c r="L1235" s="30" t="s">
        <v>145</v>
      </c>
      <c r="M1235" s="30" t="s">
        <v>145</v>
      </c>
      <c r="N1235" s="30" t="s">
        <v>145</v>
      </c>
      <c r="O1235" s="30" t="s">
        <v>145</v>
      </c>
      <c r="P1235" s="30" t="s">
        <v>145</v>
      </c>
      <c r="Q1235" s="30" t="s">
        <v>609</v>
      </c>
    </row>
    <row r="1236" hidden="1">
      <c r="A1236" s="33" t="s">
        <v>6049</v>
      </c>
      <c r="B1236" s="30" t="s">
        <v>139</v>
      </c>
      <c r="C1236" s="30" t="s">
        <v>177</v>
      </c>
      <c r="D1236" s="30" t="s">
        <v>177</v>
      </c>
      <c r="E1236" s="35">
        <v>42390.0</v>
      </c>
      <c r="F1236" s="37" t="s">
        <v>150</v>
      </c>
      <c r="G1236" s="30" t="s">
        <v>6660</v>
      </c>
      <c r="H1236" s="30" t="s">
        <v>145</v>
      </c>
      <c r="I1236" s="30" t="s">
        <v>145</v>
      </c>
      <c r="J1236" s="30" t="s">
        <v>145</v>
      </c>
      <c r="K1236" s="30" t="s">
        <v>145</v>
      </c>
      <c r="L1236" s="30" t="s">
        <v>145</v>
      </c>
      <c r="M1236" s="30" t="s">
        <v>145</v>
      </c>
      <c r="N1236" s="30" t="s">
        <v>145</v>
      </c>
      <c r="O1236" s="30" t="s">
        <v>145</v>
      </c>
      <c r="P1236" s="30" t="s">
        <v>145</v>
      </c>
      <c r="Q1236" s="30" t="s">
        <v>177</v>
      </c>
    </row>
    <row r="1237" hidden="1">
      <c r="A1237" s="33" t="s">
        <v>6051</v>
      </c>
      <c r="B1237" s="30" t="s">
        <v>139</v>
      </c>
      <c r="C1237" s="30" t="s">
        <v>216</v>
      </c>
      <c r="D1237" s="30" t="s">
        <v>216</v>
      </c>
      <c r="E1237" s="35">
        <v>42390.0</v>
      </c>
      <c r="F1237" s="37" t="s">
        <v>150</v>
      </c>
      <c r="G1237" s="30" t="s">
        <v>6665</v>
      </c>
      <c r="H1237" s="30" t="s">
        <v>145</v>
      </c>
      <c r="I1237" s="30" t="s">
        <v>145</v>
      </c>
      <c r="J1237" s="30" t="s">
        <v>145</v>
      </c>
      <c r="K1237" s="30" t="s">
        <v>145</v>
      </c>
      <c r="L1237" s="30" t="s">
        <v>145</v>
      </c>
      <c r="M1237" s="30" t="s">
        <v>145</v>
      </c>
      <c r="N1237" s="30" t="s">
        <v>145</v>
      </c>
      <c r="O1237" s="30" t="s">
        <v>145</v>
      </c>
      <c r="P1237" s="30" t="s">
        <v>145</v>
      </c>
      <c r="Q1237" s="30" t="s">
        <v>216</v>
      </c>
    </row>
    <row r="1238" hidden="1">
      <c r="A1238" s="33" t="s">
        <v>6063</v>
      </c>
      <c r="B1238" s="30" t="s">
        <v>139</v>
      </c>
      <c r="C1238" s="30" t="s">
        <v>216</v>
      </c>
      <c r="D1238" s="30" t="s">
        <v>216</v>
      </c>
      <c r="E1238" s="35">
        <v>42390.0</v>
      </c>
      <c r="F1238" s="37" t="s">
        <v>150</v>
      </c>
      <c r="G1238" s="30" t="s">
        <v>6665</v>
      </c>
      <c r="H1238" s="30" t="s">
        <v>145</v>
      </c>
      <c r="I1238" s="30" t="s">
        <v>145</v>
      </c>
      <c r="J1238" s="30" t="s">
        <v>145</v>
      </c>
      <c r="K1238" s="30" t="s">
        <v>145</v>
      </c>
      <c r="L1238" s="30" t="s">
        <v>145</v>
      </c>
      <c r="M1238" s="30" t="s">
        <v>145</v>
      </c>
      <c r="N1238" s="30" t="s">
        <v>145</v>
      </c>
      <c r="O1238" s="30" t="s">
        <v>145</v>
      </c>
      <c r="P1238" s="30" t="s">
        <v>145</v>
      </c>
      <c r="Q1238" s="30" t="s">
        <v>216</v>
      </c>
    </row>
    <row r="1239" hidden="1">
      <c r="A1239" s="33" t="s">
        <v>6068</v>
      </c>
      <c r="B1239" s="30" t="s">
        <v>139</v>
      </c>
      <c r="C1239" s="30" t="s">
        <v>216</v>
      </c>
      <c r="D1239" s="30" t="s">
        <v>216</v>
      </c>
      <c r="E1239" s="35">
        <v>42390.0</v>
      </c>
      <c r="F1239" s="37" t="s">
        <v>150</v>
      </c>
      <c r="G1239" s="30" t="s">
        <v>6665</v>
      </c>
      <c r="H1239" s="30" t="s">
        <v>145</v>
      </c>
      <c r="I1239" s="30" t="s">
        <v>145</v>
      </c>
      <c r="J1239" s="30" t="s">
        <v>145</v>
      </c>
      <c r="K1239" s="30" t="s">
        <v>145</v>
      </c>
      <c r="L1239" s="30" t="s">
        <v>145</v>
      </c>
      <c r="M1239" s="30" t="s">
        <v>145</v>
      </c>
      <c r="N1239" s="30" t="s">
        <v>145</v>
      </c>
      <c r="O1239" s="30" t="s">
        <v>145</v>
      </c>
      <c r="P1239" s="30" t="s">
        <v>145</v>
      </c>
      <c r="Q1239" s="30" t="s">
        <v>216</v>
      </c>
    </row>
    <row r="1240" hidden="1">
      <c r="A1240" s="33" t="s">
        <v>6071</v>
      </c>
      <c r="B1240" s="30" t="s">
        <v>139</v>
      </c>
      <c r="C1240" s="30" t="s">
        <v>609</v>
      </c>
      <c r="D1240" s="30" t="s">
        <v>609</v>
      </c>
      <c r="E1240" s="35">
        <v>42389.0</v>
      </c>
      <c r="F1240" s="37" t="s">
        <v>150</v>
      </c>
      <c r="G1240" s="30" t="s">
        <v>6677</v>
      </c>
      <c r="H1240" s="30" t="s">
        <v>145</v>
      </c>
      <c r="I1240" s="30" t="s">
        <v>145</v>
      </c>
      <c r="J1240" s="30" t="s">
        <v>145</v>
      </c>
      <c r="K1240" s="30" t="s">
        <v>145</v>
      </c>
      <c r="L1240" s="30" t="s">
        <v>145</v>
      </c>
      <c r="M1240" s="30" t="s">
        <v>145</v>
      </c>
      <c r="N1240" s="30" t="s">
        <v>145</v>
      </c>
      <c r="O1240" s="30" t="s">
        <v>145</v>
      </c>
      <c r="P1240" s="30" t="s">
        <v>145</v>
      </c>
      <c r="Q1240" s="30" t="s">
        <v>609</v>
      </c>
    </row>
    <row r="1241" hidden="1">
      <c r="A1241" s="33" t="s">
        <v>6073</v>
      </c>
      <c r="B1241" s="30" t="s">
        <v>139</v>
      </c>
      <c r="C1241" s="30" t="s">
        <v>216</v>
      </c>
      <c r="D1241" s="30" t="s">
        <v>216</v>
      </c>
      <c r="E1241" s="35">
        <v>42389.0</v>
      </c>
      <c r="F1241" s="37" t="s">
        <v>150</v>
      </c>
      <c r="G1241" s="30" t="s">
        <v>6682</v>
      </c>
      <c r="H1241" s="30" t="s">
        <v>145</v>
      </c>
      <c r="I1241" s="30" t="s">
        <v>145</v>
      </c>
      <c r="J1241" s="30" t="s">
        <v>145</v>
      </c>
      <c r="K1241" s="30" t="s">
        <v>145</v>
      </c>
      <c r="L1241" s="30" t="s">
        <v>145</v>
      </c>
      <c r="M1241" s="30" t="s">
        <v>145</v>
      </c>
      <c r="N1241" s="30" t="s">
        <v>145</v>
      </c>
      <c r="O1241" s="30" t="s">
        <v>145</v>
      </c>
      <c r="P1241" s="30" t="s">
        <v>145</v>
      </c>
      <c r="Q1241" s="30" t="s">
        <v>216</v>
      </c>
    </row>
    <row r="1242" hidden="1">
      <c r="A1242" s="33" t="s">
        <v>6077</v>
      </c>
      <c r="B1242" s="30" t="s">
        <v>139</v>
      </c>
      <c r="C1242" s="30" t="s">
        <v>216</v>
      </c>
      <c r="D1242" s="30" t="s">
        <v>216</v>
      </c>
      <c r="E1242" s="35">
        <v>42389.0</v>
      </c>
      <c r="F1242" s="37" t="s">
        <v>150</v>
      </c>
      <c r="G1242" s="30" t="s">
        <v>6682</v>
      </c>
      <c r="H1242" s="30" t="s">
        <v>145</v>
      </c>
      <c r="I1242" s="30" t="s">
        <v>145</v>
      </c>
      <c r="J1242" s="30" t="s">
        <v>145</v>
      </c>
      <c r="K1242" s="30" t="s">
        <v>145</v>
      </c>
      <c r="L1242" s="30" t="s">
        <v>145</v>
      </c>
      <c r="M1242" s="30" t="s">
        <v>145</v>
      </c>
      <c r="N1242" s="30" t="s">
        <v>145</v>
      </c>
      <c r="O1242" s="30" t="s">
        <v>145</v>
      </c>
      <c r="P1242" s="30" t="s">
        <v>145</v>
      </c>
      <c r="Q1242" s="30" t="s">
        <v>216</v>
      </c>
    </row>
    <row r="1243" hidden="1">
      <c r="A1243" s="33" t="s">
        <v>6081</v>
      </c>
      <c r="B1243" s="30" t="s">
        <v>139</v>
      </c>
      <c r="C1243" s="30" t="s">
        <v>216</v>
      </c>
      <c r="D1243" s="30" t="s">
        <v>216</v>
      </c>
      <c r="E1243" s="35">
        <v>42389.0</v>
      </c>
      <c r="F1243" s="37" t="s">
        <v>150</v>
      </c>
      <c r="G1243" s="30" t="s">
        <v>6682</v>
      </c>
      <c r="H1243" s="30" t="s">
        <v>145</v>
      </c>
      <c r="I1243" s="30" t="s">
        <v>145</v>
      </c>
      <c r="J1243" s="30" t="s">
        <v>145</v>
      </c>
      <c r="K1243" s="30" t="s">
        <v>145</v>
      </c>
      <c r="L1243" s="30" t="s">
        <v>145</v>
      </c>
      <c r="M1243" s="30" t="s">
        <v>145</v>
      </c>
      <c r="N1243" s="30" t="s">
        <v>145</v>
      </c>
      <c r="O1243" s="30" t="s">
        <v>145</v>
      </c>
      <c r="P1243" s="30" t="s">
        <v>145</v>
      </c>
      <c r="Q1243" s="30" t="s">
        <v>216</v>
      </c>
    </row>
    <row r="1244" hidden="1">
      <c r="A1244" s="33" t="s">
        <v>6083</v>
      </c>
      <c r="B1244" s="30" t="s">
        <v>139</v>
      </c>
      <c r="C1244" s="30" t="s">
        <v>216</v>
      </c>
      <c r="D1244" s="30" t="s">
        <v>216</v>
      </c>
      <c r="E1244" s="35">
        <v>42389.0</v>
      </c>
      <c r="F1244" s="37" t="s">
        <v>150</v>
      </c>
      <c r="G1244" s="30" t="s">
        <v>6682</v>
      </c>
      <c r="H1244" s="30" t="s">
        <v>145</v>
      </c>
      <c r="I1244" s="30" t="s">
        <v>145</v>
      </c>
      <c r="J1244" s="30" t="s">
        <v>145</v>
      </c>
      <c r="K1244" s="30" t="s">
        <v>145</v>
      </c>
      <c r="L1244" s="30" t="s">
        <v>145</v>
      </c>
      <c r="M1244" s="30" t="s">
        <v>145</v>
      </c>
      <c r="N1244" s="30" t="s">
        <v>145</v>
      </c>
      <c r="O1244" s="30" t="s">
        <v>145</v>
      </c>
      <c r="P1244" s="30" t="s">
        <v>145</v>
      </c>
      <c r="Q1244" s="30" t="s">
        <v>216</v>
      </c>
    </row>
    <row r="1245" hidden="1">
      <c r="A1245" s="33" t="s">
        <v>6087</v>
      </c>
      <c r="B1245" s="30" t="s">
        <v>139</v>
      </c>
      <c r="C1245" s="30" t="s">
        <v>609</v>
      </c>
      <c r="D1245" s="30" t="s">
        <v>609</v>
      </c>
      <c r="E1245" s="35">
        <v>42389.0</v>
      </c>
      <c r="F1245" s="37" t="s">
        <v>150</v>
      </c>
      <c r="G1245" s="30" t="s">
        <v>6677</v>
      </c>
      <c r="H1245" s="30" t="s">
        <v>145</v>
      </c>
      <c r="I1245" s="30" t="s">
        <v>145</v>
      </c>
      <c r="J1245" s="30" t="s">
        <v>145</v>
      </c>
      <c r="K1245" s="30" t="s">
        <v>145</v>
      </c>
      <c r="L1245" s="30" t="s">
        <v>145</v>
      </c>
      <c r="M1245" s="30" t="s">
        <v>145</v>
      </c>
      <c r="N1245" s="30" t="s">
        <v>145</v>
      </c>
      <c r="O1245" s="30" t="s">
        <v>145</v>
      </c>
      <c r="P1245" s="30" t="s">
        <v>145</v>
      </c>
      <c r="Q1245" s="30" t="s">
        <v>609</v>
      </c>
    </row>
    <row r="1246" hidden="1">
      <c r="A1246" s="33" t="s">
        <v>6090</v>
      </c>
      <c r="B1246" s="30" t="s">
        <v>139</v>
      </c>
      <c r="C1246" s="30" t="s">
        <v>216</v>
      </c>
      <c r="D1246" s="30" t="s">
        <v>216</v>
      </c>
      <c r="E1246" s="35">
        <v>42389.0</v>
      </c>
      <c r="F1246" s="37" t="s">
        <v>150</v>
      </c>
      <c r="G1246" s="30" t="s">
        <v>6682</v>
      </c>
      <c r="H1246" s="30" t="s">
        <v>145</v>
      </c>
      <c r="I1246" s="30" t="s">
        <v>145</v>
      </c>
      <c r="J1246" s="30" t="s">
        <v>145</v>
      </c>
      <c r="K1246" s="30" t="s">
        <v>145</v>
      </c>
      <c r="L1246" s="30" t="s">
        <v>145</v>
      </c>
      <c r="M1246" s="30" t="s">
        <v>145</v>
      </c>
      <c r="N1246" s="30" t="s">
        <v>145</v>
      </c>
      <c r="O1246" s="30" t="s">
        <v>145</v>
      </c>
      <c r="P1246" s="30" t="s">
        <v>145</v>
      </c>
      <c r="Q1246" s="30" t="s">
        <v>216</v>
      </c>
    </row>
    <row r="1247" hidden="1">
      <c r="A1247" s="33" t="s">
        <v>6092</v>
      </c>
      <c r="B1247" s="30" t="s">
        <v>139</v>
      </c>
      <c r="C1247" s="30" t="s">
        <v>609</v>
      </c>
      <c r="D1247" s="30" t="s">
        <v>609</v>
      </c>
      <c r="E1247" s="35">
        <v>42388.0</v>
      </c>
      <c r="F1247" s="37" t="s">
        <v>150</v>
      </c>
      <c r="G1247" s="30" t="s">
        <v>6706</v>
      </c>
      <c r="H1247" s="30" t="s">
        <v>145</v>
      </c>
      <c r="I1247" s="30" t="s">
        <v>145</v>
      </c>
      <c r="J1247" s="30" t="s">
        <v>145</v>
      </c>
      <c r="K1247" s="30" t="s">
        <v>145</v>
      </c>
      <c r="L1247" s="30" t="s">
        <v>145</v>
      </c>
      <c r="M1247" s="30" t="s">
        <v>145</v>
      </c>
      <c r="N1247" s="30" t="s">
        <v>145</v>
      </c>
      <c r="O1247" s="30" t="s">
        <v>145</v>
      </c>
      <c r="P1247" s="30" t="s">
        <v>145</v>
      </c>
      <c r="Q1247" s="30" t="s">
        <v>609</v>
      </c>
    </row>
    <row r="1248" hidden="1">
      <c r="A1248" s="33" t="s">
        <v>6096</v>
      </c>
      <c r="B1248" s="30" t="s">
        <v>139</v>
      </c>
      <c r="C1248" s="30" t="s">
        <v>216</v>
      </c>
      <c r="D1248" s="30" t="s">
        <v>216</v>
      </c>
      <c r="E1248" s="35">
        <v>42387.0</v>
      </c>
      <c r="F1248" s="37" t="s">
        <v>150</v>
      </c>
      <c r="G1248" s="30" t="s">
        <v>6711</v>
      </c>
      <c r="H1248" s="30" t="s">
        <v>145</v>
      </c>
      <c r="I1248" s="30" t="s">
        <v>145</v>
      </c>
      <c r="J1248" s="30" t="s">
        <v>145</v>
      </c>
      <c r="K1248" s="30" t="s">
        <v>145</v>
      </c>
      <c r="L1248" s="30" t="s">
        <v>145</v>
      </c>
      <c r="M1248" s="30" t="s">
        <v>145</v>
      </c>
      <c r="N1248" s="30" t="s">
        <v>145</v>
      </c>
      <c r="O1248" s="30" t="s">
        <v>145</v>
      </c>
      <c r="P1248" s="30" t="s">
        <v>145</v>
      </c>
      <c r="Q1248" s="30" t="s">
        <v>216</v>
      </c>
    </row>
    <row r="1249" hidden="1">
      <c r="A1249" s="33" t="s">
        <v>6098</v>
      </c>
      <c r="B1249" s="30" t="s">
        <v>139</v>
      </c>
      <c r="C1249" s="30" t="s">
        <v>609</v>
      </c>
      <c r="D1249" s="30" t="s">
        <v>609</v>
      </c>
      <c r="E1249" s="35">
        <v>42387.0</v>
      </c>
      <c r="F1249" s="37" t="s">
        <v>150</v>
      </c>
      <c r="G1249" s="30" t="s">
        <v>6716</v>
      </c>
      <c r="H1249" s="30" t="s">
        <v>145</v>
      </c>
      <c r="I1249" s="30" t="s">
        <v>145</v>
      </c>
      <c r="J1249" s="30" t="s">
        <v>145</v>
      </c>
      <c r="K1249" s="30" t="s">
        <v>145</v>
      </c>
      <c r="L1249" s="30" t="s">
        <v>145</v>
      </c>
      <c r="M1249" s="30" t="s">
        <v>145</v>
      </c>
      <c r="N1249" s="30" t="s">
        <v>145</v>
      </c>
      <c r="O1249" s="30" t="s">
        <v>145</v>
      </c>
      <c r="P1249" s="30" t="s">
        <v>145</v>
      </c>
      <c r="Q1249" s="30" t="s">
        <v>609</v>
      </c>
    </row>
    <row r="1250" hidden="1">
      <c r="A1250" s="33" t="s">
        <v>6101</v>
      </c>
      <c r="B1250" s="30" t="s">
        <v>139</v>
      </c>
      <c r="C1250" s="30" t="s">
        <v>609</v>
      </c>
      <c r="D1250" s="30" t="s">
        <v>609</v>
      </c>
      <c r="E1250" s="35">
        <v>42387.0</v>
      </c>
      <c r="F1250" s="37" t="s">
        <v>150</v>
      </c>
      <c r="G1250" s="30" t="s">
        <v>6716</v>
      </c>
      <c r="H1250" s="30" t="s">
        <v>145</v>
      </c>
      <c r="I1250" s="30" t="s">
        <v>145</v>
      </c>
      <c r="J1250" s="30" t="s">
        <v>145</v>
      </c>
      <c r="K1250" s="30" t="s">
        <v>145</v>
      </c>
      <c r="L1250" s="30" t="s">
        <v>145</v>
      </c>
      <c r="M1250" s="30" t="s">
        <v>145</v>
      </c>
      <c r="N1250" s="30" t="s">
        <v>145</v>
      </c>
      <c r="O1250" s="30" t="s">
        <v>145</v>
      </c>
      <c r="P1250" s="30" t="s">
        <v>145</v>
      </c>
      <c r="Q1250" s="30" t="s">
        <v>609</v>
      </c>
    </row>
    <row r="1251" hidden="1">
      <c r="A1251" s="33" t="s">
        <v>6104</v>
      </c>
      <c r="B1251" s="30" t="s">
        <v>139</v>
      </c>
      <c r="C1251" s="30" t="s">
        <v>609</v>
      </c>
      <c r="D1251" s="30" t="s">
        <v>609</v>
      </c>
      <c r="E1251" s="35">
        <v>42386.0</v>
      </c>
      <c r="F1251" s="37" t="s">
        <v>150</v>
      </c>
      <c r="G1251" s="30" t="s">
        <v>6723</v>
      </c>
      <c r="H1251" s="30" t="s">
        <v>145</v>
      </c>
      <c r="I1251" s="30" t="s">
        <v>145</v>
      </c>
      <c r="J1251" s="30" t="s">
        <v>145</v>
      </c>
      <c r="K1251" s="30" t="s">
        <v>145</v>
      </c>
      <c r="L1251" s="30" t="s">
        <v>145</v>
      </c>
      <c r="M1251" s="30" t="s">
        <v>145</v>
      </c>
      <c r="N1251" s="30" t="s">
        <v>145</v>
      </c>
      <c r="O1251" s="30" t="s">
        <v>145</v>
      </c>
      <c r="P1251" s="30" t="s">
        <v>145</v>
      </c>
      <c r="Q1251" s="30" t="s">
        <v>609</v>
      </c>
    </row>
    <row r="1252" hidden="1">
      <c r="A1252" s="33" t="s">
        <v>6106</v>
      </c>
      <c r="B1252" s="30" t="s">
        <v>139</v>
      </c>
      <c r="C1252" s="30" t="s">
        <v>216</v>
      </c>
      <c r="D1252" s="30" t="s">
        <v>216</v>
      </c>
      <c r="E1252" s="35">
        <v>42386.0</v>
      </c>
      <c r="F1252" s="37" t="s">
        <v>150</v>
      </c>
      <c r="G1252" s="30" t="s">
        <v>6728</v>
      </c>
      <c r="H1252" s="30" t="s">
        <v>145</v>
      </c>
      <c r="I1252" s="30" t="s">
        <v>145</v>
      </c>
      <c r="J1252" s="30" t="s">
        <v>145</v>
      </c>
      <c r="K1252" s="30" t="s">
        <v>145</v>
      </c>
      <c r="L1252" s="30" t="s">
        <v>145</v>
      </c>
      <c r="M1252" s="30" t="s">
        <v>145</v>
      </c>
      <c r="N1252" s="30" t="s">
        <v>145</v>
      </c>
      <c r="O1252" s="30" t="s">
        <v>145</v>
      </c>
      <c r="P1252" s="30" t="s">
        <v>145</v>
      </c>
      <c r="Q1252" s="30" t="s">
        <v>216</v>
      </c>
    </row>
    <row r="1253" hidden="1">
      <c r="A1253" s="33" t="s">
        <v>6109</v>
      </c>
      <c r="B1253" s="30" t="s">
        <v>139</v>
      </c>
      <c r="C1253" s="30" t="s">
        <v>609</v>
      </c>
      <c r="D1253" s="30" t="s">
        <v>609</v>
      </c>
      <c r="E1253" s="35">
        <v>42386.0</v>
      </c>
      <c r="F1253" s="37" t="s">
        <v>150</v>
      </c>
      <c r="G1253" s="30" t="s">
        <v>6723</v>
      </c>
      <c r="H1253" s="30" t="s">
        <v>145</v>
      </c>
      <c r="I1253" s="30" t="s">
        <v>145</v>
      </c>
      <c r="J1253" s="30" t="s">
        <v>145</v>
      </c>
      <c r="K1253" s="30" t="s">
        <v>145</v>
      </c>
      <c r="L1253" s="30" t="s">
        <v>145</v>
      </c>
      <c r="M1253" s="30" t="s">
        <v>145</v>
      </c>
      <c r="N1253" s="30" t="s">
        <v>145</v>
      </c>
      <c r="O1253" s="30" t="s">
        <v>145</v>
      </c>
      <c r="P1253" s="30" t="s">
        <v>145</v>
      </c>
      <c r="Q1253" s="30" t="s">
        <v>609</v>
      </c>
    </row>
    <row r="1254" hidden="1">
      <c r="A1254" s="33" t="s">
        <v>6111</v>
      </c>
      <c r="B1254" s="30" t="s">
        <v>139</v>
      </c>
      <c r="C1254" s="30" t="s">
        <v>609</v>
      </c>
      <c r="D1254" s="30" t="s">
        <v>609</v>
      </c>
      <c r="E1254" s="35">
        <v>42386.0</v>
      </c>
      <c r="F1254" s="37" t="s">
        <v>150</v>
      </c>
      <c r="G1254" s="30" t="s">
        <v>6723</v>
      </c>
      <c r="H1254" s="30" t="s">
        <v>145</v>
      </c>
      <c r="I1254" s="30" t="s">
        <v>145</v>
      </c>
      <c r="J1254" s="30" t="s">
        <v>145</v>
      </c>
      <c r="K1254" s="30" t="s">
        <v>145</v>
      </c>
      <c r="L1254" s="30" t="s">
        <v>145</v>
      </c>
      <c r="M1254" s="30" t="s">
        <v>145</v>
      </c>
      <c r="N1254" s="30" t="s">
        <v>145</v>
      </c>
      <c r="O1254" s="30" t="s">
        <v>145</v>
      </c>
      <c r="P1254" s="30" t="s">
        <v>145</v>
      </c>
      <c r="Q1254" s="30" t="s">
        <v>609</v>
      </c>
    </row>
    <row r="1255" hidden="1">
      <c r="A1255" s="33" t="s">
        <v>6114</v>
      </c>
      <c r="B1255" s="30" t="s">
        <v>139</v>
      </c>
      <c r="C1255" s="30" t="s">
        <v>177</v>
      </c>
      <c r="D1255" s="30" t="s">
        <v>177</v>
      </c>
      <c r="E1255" s="35">
        <v>42385.0</v>
      </c>
      <c r="F1255" s="37" t="s">
        <v>150</v>
      </c>
      <c r="G1255" s="30" t="s">
        <v>6738</v>
      </c>
      <c r="H1255" s="30" t="s">
        <v>145</v>
      </c>
      <c r="I1255" s="30" t="s">
        <v>145</v>
      </c>
      <c r="J1255" s="30" t="s">
        <v>145</v>
      </c>
      <c r="K1255" s="30" t="s">
        <v>145</v>
      </c>
      <c r="L1255" s="30" t="s">
        <v>145</v>
      </c>
      <c r="M1255" s="30" t="s">
        <v>145</v>
      </c>
      <c r="N1255" s="30" t="s">
        <v>145</v>
      </c>
      <c r="O1255" s="30" t="s">
        <v>145</v>
      </c>
      <c r="P1255" s="30" t="s">
        <v>145</v>
      </c>
      <c r="Q1255" s="30" t="s">
        <v>177</v>
      </c>
    </row>
    <row r="1256" hidden="1">
      <c r="A1256" s="33" t="s">
        <v>6116</v>
      </c>
      <c r="B1256" s="30" t="s">
        <v>139</v>
      </c>
      <c r="C1256" s="30" t="s">
        <v>177</v>
      </c>
      <c r="D1256" s="30" t="s">
        <v>177</v>
      </c>
      <c r="E1256" s="35">
        <v>42385.0</v>
      </c>
      <c r="F1256" s="37" t="s">
        <v>150</v>
      </c>
      <c r="G1256" s="30" t="s">
        <v>6738</v>
      </c>
      <c r="H1256" s="30" t="s">
        <v>145</v>
      </c>
      <c r="I1256" s="30" t="s">
        <v>145</v>
      </c>
      <c r="J1256" s="30" t="s">
        <v>145</v>
      </c>
      <c r="K1256" s="30" t="s">
        <v>145</v>
      </c>
      <c r="L1256" s="30" t="s">
        <v>145</v>
      </c>
      <c r="M1256" s="30" t="s">
        <v>145</v>
      </c>
      <c r="N1256" s="30" t="s">
        <v>145</v>
      </c>
      <c r="O1256" s="30" t="s">
        <v>145</v>
      </c>
      <c r="P1256" s="30" t="s">
        <v>145</v>
      </c>
      <c r="Q1256" s="30" t="s">
        <v>177</v>
      </c>
    </row>
    <row r="1257" hidden="1">
      <c r="A1257" s="33" t="s">
        <v>6118</v>
      </c>
      <c r="B1257" s="30" t="s">
        <v>139</v>
      </c>
      <c r="C1257" s="30" t="s">
        <v>216</v>
      </c>
      <c r="D1257" s="30" t="s">
        <v>216</v>
      </c>
      <c r="E1257" s="35">
        <v>42384.0</v>
      </c>
      <c r="F1257" s="37" t="s">
        <v>150</v>
      </c>
      <c r="G1257" s="30" t="s">
        <v>6744</v>
      </c>
      <c r="H1257" s="30" t="s">
        <v>145</v>
      </c>
      <c r="I1257" s="30" t="s">
        <v>145</v>
      </c>
      <c r="J1257" s="30" t="s">
        <v>145</v>
      </c>
      <c r="K1257" s="30" t="s">
        <v>145</v>
      </c>
      <c r="L1257" s="30" t="s">
        <v>145</v>
      </c>
      <c r="M1257" s="30" t="s">
        <v>145</v>
      </c>
      <c r="N1257" s="30" t="s">
        <v>145</v>
      </c>
      <c r="O1257" s="30" t="s">
        <v>145</v>
      </c>
      <c r="P1257" s="30" t="s">
        <v>145</v>
      </c>
      <c r="Q1257" s="30" t="s">
        <v>216</v>
      </c>
    </row>
    <row r="1258" hidden="1">
      <c r="A1258" s="33" t="s">
        <v>6126</v>
      </c>
      <c r="B1258" s="30" t="s">
        <v>139</v>
      </c>
      <c r="C1258" s="30" t="s">
        <v>216</v>
      </c>
      <c r="D1258" s="30" t="s">
        <v>216</v>
      </c>
      <c r="E1258" s="35">
        <v>42384.0</v>
      </c>
      <c r="F1258" s="37" t="s">
        <v>150</v>
      </c>
      <c r="G1258" s="30" t="s">
        <v>6744</v>
      </c>
      <c r="H1258" s="30" t="s">
        <v>145</v>
      </c>
      <c r="I1258" s="30" t="s">
        <v>145</v>
      </c>
      <c r="J1258" s="30" t="s">
        <v>145</v>
      </c>
      <c r="K1258" s="30" t="s">
        <v>145</v>
      </c>
      <c r="L1258" s="30" t="s">
        <v>145</v>
      </c>
      <c r="M1258" s="30" t="s">
        <v>145</v>
      </c>
      <c r="N1258" s="30" t="s">
        <v>145</v>
      </c>
      <c r="O1258" s="30" t="s">
        <v>145</v>
      </c>
      <c r="P1258" s="30" t="s">
        <v>145</v>
      </c>
      <c r="Q1258" s="30" t="s">
        <v>216</v>
      </c>
    </row>
    <row r="1259" hidden="1">
      <c r="A1259" s="33" t="s">
        <v>6129</v>
      </c>
      <c r="B1259" s="30" t="s">
        <v>139</v>
      </c>
      <c r="C1259" s="30" t="s">
        <v>177</v>
      </c>
      <c r="D1259" s="30" t="s">
        <v>177</v>
      </c>
      <c r="E1259" s="35">
        <v>42383.0</v>
      </c>
      <c r="F1259" s="37" t="s">
        <v>150</v>
      </c>
      <c r="G1259" s="30" t="s">
        <v>6750</v>
      </c>
      <c r="H1259" s="30" t="s">
        <v>145</v>
      </c>
      <c r="I1259" s="30" t="s">
        <v>145</v>
      </c>
      <c r="J1259" s="30" t="s">
        <v>145</v>
      </c>
      <c r="K1259" s="30" t="s">
        <v>145</v>
      </c>
      <c r="L1259" s="30" t="s">
        <v>145</v>
      </c>
      <c r="M1259" s="30" t="s">
        <v>145</v>
      </c>
      <c r="N1259" s="30" t="s">
        <v>145</v>
      </c>
      <c r="O1259" s="30" t="s">
        <v>145</v>
      </c>
      <c r="P1259" s="30" t="s">
        <v>145</v>
      </c>
      <c r="Q1259" s="30" t="s">
        <v>177</v>
      </c>
    </row>
    <row r="1260" hidden="1">
      <c r="A1260" s="33" t="s">
        <v>6132</v>
      </c>
      <c r="B1260" s="30" t="s">
        <v>139</v>
      </c>
      <c r="C1260" s="30" t="s">
        <v>216</v>
      </c>
      <c r="D1260" s="30" t="s">
        <v>216</v>
      </c>
      <c r="E1260" s="35">
        <v>42383.0</v>
      </c>
      <c r="F1260" s="37" t="s">
        <v>150</v>
      </c>
      <c r="G1260" s="30" t="s">
        <v>6753</v>
      </c>
      <c r="H1260" s="30" t="s">
        <v>145</v>
      </c>
      <c r="I1260" s="30" t="s">
        <v>145</v>
      </c>
      <c r="J1260" s="30" t="s">
        <v>145</v>
      </c>
      <c r="K1260" s="30" t="s">
        <v>145</v>
      </c>
      <c r="L1260" s="30" t="s">
        <v>145</v>
      </c>
      <c r="M1260" s="30" t="s">
        <v>145</v>
      </c>
      <c r="N1260" s="30" t="s">
        <v>145</v>
      </c>
      <c r="O1260" s="30" t="s">
        <v>145</v>
      </c>
      <c r="P1260" s="30" t="s">
        <v>145</v>
      </c>
      <c r="Q1260" s="30" t="s">
        <v>216</v>
      </c>
    </row>
    <row r="1261" hidden="1">
      <c r="A1261" s="33" t="s">
        <v>6135</v>
      </c>
      <c r="B1261" s="30" t="s">
        <v>139</v>
      </c>
      <c r="C1261" s="30" t="s">
        <v>216</v>
      </c>
      <c r="D1261" s="30" t="s">
        <v>216</v>
      </c>
      <c r="E1261" s="35">
        <v>42383.0</v>
      </c>
      <c r="F1261" s="37" t="s">
        <v>150</v>
      </c>
      <c r="G1261" s="30" t="s">
        <v>6753</v>
      </c>
      <c r="H1261" s="30" t="s">
        <v>145</v>
      </c>
      <c r="I1261" s="30" t="s">
        <v>145</v>
      </c>
      <c r="J1261" s="30" t="s">
        <v>145</v>
      </c>
      <c r="K1261" s="30" t="s">
        <v>145</v>
      </c>
      <c r="L1261" s="30" t="s">
        <v>145</v>
      </c>
      <c r="M1261" s="30" t="s">
        <v>145</v>
      </c>
      <c r="N1261" s="30" t="s">
        <v>145</v>
      </c>
      <c r="O1261" s="30" t="s">
        <v>145</v>
      </c>
      <c r="P1261" s="30" t="s">
        <v>145</v>
      </c>
      <c r="Q1261" s="30" t="s">
        <v>216</v>
      </c>
    </row>
    <row r="1262" hidden="1">
      <c r="A1262" s="33" t="s">
        <v>6137</v>
      </c>
      <c r="B1262" s="30" t="s">
        <v>139</v>
      </c>
      <c r="C1262" s="30" t="s">
        <v>216</v>
      </c>
      <c r="D1262" s="30" t="s">
        <v>216</v>
      </c>
      <c r="E1262" s="35">
        <v>42383.0</v>
      </c>
      <c r="F1262" s="37" t="s">
        <v>150</v>
      </c>
      <c r="G1262" s="30" t="s">
        <v>6753</v>
      </c>
      <c r="H1262" s="30" t="s">
        <v>145</v>
      </c>
      <c r="I1262" s="30" t="s">
        <v>145</v>
      </c>
      <c r="J1262" s="30" t="s">
        <v>145</v>
      </c>
      <c r="K1262" s="30" t="s">
        <v>145</v>
      </c>
      <c r="L1262" s="30" t="s">
        <v>145</v>
      </c>
      <c r="M1262" s="30" t="s">
        <v>145</v>
      </c>
      <c r="N1262" s="30" t="s">
        <v>145</v>
      </c>
      <c r="O1262" s="30" t="s">
        <v>145</v>
      </c>
      <c r="P1262" s="30" t="s">
        <v>145</v>
      </c>
      <c r="Q1262" s="30" t="s">
        <v>216</v>
      </c>
    </row>
    <row r="1263" hidden="1">
      <c r="A1263" s="33" t="s">
        <v>6140</v>
      </c>
      <c r="B1263" s="30" t="s">
        <v>139</v>
      </c>
      <c r="C1263" s="30" t="s">
        <v>216</v>
      </c>
      <c r="D1263" s="30" t="s">
        <v>216</v>
      </c>
      <c r="E1263" s="35">
        <v>42383.0</v>
      </c>
      <c r="F1263" s="37" t="s">
        <v>150</v>
      </c>
      <c r="G1263" s="30" t="s">
        <v>6753</v>
      </c>
      <c r="H1263" s="30" t="s">
        <v>145</v>
      </c>
      <c r="I1263" s="30" t="s">
        <v>145</v>
      </c>
      <c r="J1263" s="30" t="s">
        <v>145</v>
      </c>
      <c r="K1263" s="30" t="s">
        <v>145</v>
      </c>
      <c r="L1263" s="30" t="s">
        <v>145</v>
      </c>
      <c r="M1263" s="30" t="s">
        <v>145</v>
      </c>
      <c r="N1263" s="30" t="s">
        <v>145</v>
      </c>
      <c r="O1263" s="30" t="s">
        <v>145</v>
      </c>
      <c r="P1263" s="30" t="s">
        <v>145</v>
      </c>
      <c r="Q1263" s="30" t="s">
        <v>216</v>
      </c>
    </row>
    <row r="1264" hidden="1">
      <c r="A1264" s="33" t="s">
        <v>6143</v>
      </c>
      <c r="B1264" s="30" t="s">
        <v>139</v>
      </c>
      <c r="C1264" s="30" t="s">
        <v>216</v>
      </c>
      <c r="D1264" s="30" t="s">
        <v>216</v>
      </c>
      <c r="E1264" s="35">
        <v>42383.0</v>
      </c>
      <c r="F1264" s="37" t="s">
        <v>150</v>
      </c>
      <c r="G1264" s="30" t="s">
        <v>6753</v>
      </c>
      <c r="H1264" s="30" t="s">
        <v>145</v>
      </c>
      <c r="I1264" s="30" t="s">
        <v>145</v>
      </c>
      <c r="J1264" s="30" t="s">
        <v>145</v>
      </c>
      <c r="K1264" s="30" t="s">
        <v>145</v>
      </c>
      <c r="L1264" s="30" t="s">
        <v>145</v>
      </c>
      <c r="M1264" s="30" t="s">
        <v>145</v>
      </c>
      <c r="N1264" s="30" t="s">
        <v>145</v>
      </c>
      <c r="O1264" s="30" t="s">
        <v>145</v>
      </c>
      <c r="P1264" s="30" t="s">
        <v>145</v>
      </c>
      <c r="Q1264" s="30" t="s">
        <v>216</v>
      </c>
    </row>
    <row r="1265" hidden="1">
      <c r="A1265" s="33" t="s">
        <v>6146</v>
      </c>
      <c r="B1265" s="30" t="s">
        <v>139</v>
      </c>
      <c r="C1265" s="30" t="s">
        <v>216</v>
      </c>
      <c r="D1265" s="30" t="s">
        <v>216</v>
      </c>
      <c r="E1265" s="35">
        <v>42383.0</v>
      </c>
      <c r="F1265" s="37" t="s">
        <v>150</v>
      </c>
      <c r="G1265" s="30" t="s">
        <v>6753</v>
      </c>
      <c r="H1265" s="30" t="s">
        <v>145</v>
      </c>
      <c r="I1265" s="30" t="s">
        <v>145</v>
      </c>
      <c r="J1265" s="30" t="s">
        <v>145</v>
      </c>
      <c r="K1265" s="30" t="s">
        <v>145</v>
      </c>
      <c r="L1265" s="30" t="s">
        <v>145</v>
      </c>
      <c r="M1265" s="30" t="s">
        <v>145</v>
      </c>
      <c r="N1265" s="30" t="s">
        <v>145</v>
      </c>
      <c r="O1265" s="30" t="s">
        <v>145</v>
      </c>
      <c r="P1265" s="30" t="s">
        <v>145</v>
      </c>
      <c r="Q1265" s="30" t="s">
        <v>216</v>
      </c>
    </row>
    <row r="1266" hidden="1">
      <c r="A1266" s="33" t="s">
        <v>6151</v>
      </c>
      <c r="B1266" s="30" t="s">
        <v>139</v>
      </c>
      <c r="C1266" s="30" t="s">
        <v>216</v>
      </c>
      <c r="D1266" s="30" t="s">
        <v>216</v>
      </c>
      <c r="E1266" s="35">
        <v>42383.0</v>
      </c>
      <c r="F1266" s="37" t="s">
        <v>150</v>
      </c>
      <c r="G1266" s="30" t="s">
        <v>6753</v>
      </c>
      <c r="H1266" s="30" t="s">
        <v>145</v>
      </c>
      <c r="I1266" s="30" t="s">
        <v>145</v>
      </c>
      <c r="J1266" s="30" t="s">
        <v>145</v>
      </c>
      <c r="K1266" s="30" t="s">
        <v>145</v>
      </c>
      <c r="L1266" s="30" t="s">
        <v>145</v>
      </c>
      <c r="M1266" s="30" t="s">
        <v>145</v>
      </c>
      <c r="N1266" s="30" t="s">
        <v>145</v>
      </c>
      <c r="O1266" s="30" t="s">
        <v>145</v>
      </c>
      <c r="P1266" s="30" t="s">
        <v>145</v>
      </c>
      <c r="Q1266" s="30" t="s">
        <v>216</v>
      </c>
    </row>
    <row r="1267" hidden="1">
      <c r="A1267" s="33" t="s">
        <v>6153</v>
      </c>
      <c r="B1267" s="30" t="s">
        <v>139</v>
      </c>
      <c r="C1267" s="30" t="s">
        <v>609</v>
      </c>
      <c r="D1267" s="30" t="s">
        <v>609</v>
      </c>
      <c r="E1267" s="35">
        <v>42383.0</v>
      </c>
      <c r="F1267" s="37" t="s">
        <v>150</v>
      </c>
      <c r="G1267" s="30" t="s">
        <v>6774</v>
      </c>
      <c r="H1267" s="30" t="s">
        <v>145</v>
      </c>
      <c r="I1267" s="30" t="s">
        <v>145</v>
      </c>
      <c r="J1267" s="30" t="s">
        <v>145</v>
      </c>
      <c r="K1267" s="30" t="s">
        <v>145</v>
      </c>
      <c r="L1267" s="30" t="s">
        <v>145</v>
      </c>
      <c r="M1267" s="30" t="s">
        <v>145</v>
      </c>
      <c r="N1267" s="30" t="s">
        <v>145</v>
      </c>
      <c r="O1267" s="30" t="s">
        <v>145</v>
      </c>
      <c r="P1267" s="30" t="s">
        <v>145</v>
      </c>
      <c r="Q1267" s="30" t="s">
        <v>609</v>
      </c>
    </row>
    <row r="1268" hidden="1">
      <c r="A1268" s="33" t="s">
        <v>6156</v>
      </c>
      <c r="B1268" s="30" t="s">
        <v>139</v>
      </c>
      <c r="C1268" s="30" t="s">
        <v>609</v>
      </c>
      <c r="D1268" s="30" t="s">
        <v>609</v>
      </c>
      <c r="E1268" s="35">
        <v>42383.0</v>
      </c>
      <c r="F1268" s="37" t="s">
        <v>150</v>
      </c>
      <c r="G1268" s="30" t="s">
        <v>6774</v>
      </c>
      <c r="H1268" s="30" t="s">
        <v>145</v>
      </c>
      <c r="I1268" s="30" t="s">
        <v>145</v>
      </c>
      <c r="J1268" s="30" t="s">
        <v>145</v>
      </c>
      <c r="K1268" s="30" t="s">
        <v>145</v>
      </c>
      <c r="L1268" s="30" t="s">
        <v>145</v>
      </c>
      <c r="M1268" s="30" t="s">
        <v>145</v>
      </c>
      <c r="N1268" s="30" t="s">
        <v>145</v>
      </c>
      <c r="O1268" s="30" t="s">
        <v>145</v>
      </c>
      <c r="P1268" s="30" t="s">
        <v>145</v>
      </c>
      <c r="Q1268" s="30" t="s">
        <v>609</v>
      </c>
    </row>
    <row r="1269" hidden="1">
      <c r="A1269" s="33" t="s">
        <v>6158</v>
      </c>
      <c r="B1269" s="30" t="s">
        <v>139</v>
      </c>
      <c r="C1269" s="30" t="s">
        <v>609</v>
      </c>
      <c r="D1269" s="30" t="s">
        <v>609</v>
      </c>
      <c r="E1269" s="35">
        <v>42382.0</v>
      </c>
      <c r="F1269" s="37" t="s">
        <v>150</v>
      </c>
      <c r="G1269" s="30" t="s">
        <v>6780</v>
      </c>
      <c r="H1269" s="30" t="s">
        <v>145</v>
      </c>
      <c r="I1269" s="30" t="s">
        <v>145</v>
      </c>
      <c r="J1269" s="30" t="s">
        <v>145</v>
      </c>
      <c r="K1269" s="30" t="s">
        <v>145</v>
      </c>
      <c r="L1269" s="30" t="s">
        <v>145</v>
      </c>
      <c r="M1269" s="30" t="s">
        <v>145</v>
      </c>
      <c r="N1269" s="30" t="s">
        <v>145</v>
      </c>
      <c r="O1269" s="30" t="s">
        <v>145</v>
      </c>
      <c r="P1269" s="30" t="s">
        <v>145</v>
      </c>
      <c r="Q1269" s="30" t="s">
        <v>609</v>
      </c>
    </row>
    <row r="1270" hidden="1">
      <c r="A1270" s="33" t="s">
        <v>6161</v>
      </c>
      <c r="B1270" s="30" t="s">
        <v>139</v>
      </c>
      <c r="C1270" s="30" t="s">
        <v>216</v>
      </c>
      <c r="D1270" s="30" t="s">
        <v>216</v>
      </c>
      <c r="E1270" s="35">
        <v>42382.0</v>
      </c>
      <c r="F1270" s="37" t="s">
        <v>150</v>
      </c>
      <c r="G1270" s="30" t="s">
        <v>6784</v>
      </c>
      <c r="H1270" s="30" t="s">
        <v>145</v>
      </c>
      <c r="I1270" s="30" t="s">
        <v>145</v>
      </c>
      <c r="J1270" s="30" t="s">
        <v>145</v>
      </c>
      <c r="K1270" s="30" t="s">
        <v>145</v>
      </c>
      <c r="L1270" s="30" t="s">
        <v>145</v>
      </c>
      <c r="M1270" s="30" t="s">
        <v>145</v>
      </c>
      <c r="N1270" s="30" t="s">
        <v>145</v>
      </c>
      <c r="O1270" s="30" t="s">
        <v>145</v>
      </c>
      <c r="P1270" s="30" t="s">
        <v>145</v>
      </c>
      <c r="Q1270" s="30" t="s">
        <v>216</v>
      </c>
    </row>
    <row r="1271" hidden="1">
      <c r="A1271" s="33" t="s">
        <v>6163</v>
      </c>
      <c r="B1271" s="30" t="s">
        <v>139</v>
      </c>
      <c r="C1271" s="30" t="s">
        <v>216</v>
      </c>
      <c r="D1271" s="30" t="s">
        <v>216</v>
      </c>
      <c r="E1271" s="35">
        <v>42382.0</v>
      </c>
      <c r="F1271" s="37" t="s">
        <v>150</v>
      </c>
      <c r="G1271" s="30" t="s">
        <v>6784</v>
      </c>
      <c r="H1271" s="30" t="s">
        <v>145</v>
      </c>
      <c r="I1271" s="30" t="s">
        <v>145</v>
      </c>
      <c r="J1271" s="30" t="s">
        <v>145</v>
      </c>
      <c r="K1271" s="30" t="s">
        <v>145</v>
      </c>
      <c r="L1271" s="30" t="s">
        <v>145</v>
      </c>
      <c r="M1271" s="30" t="s">
        <v>145</v>
      </c>
      <c r="N1271" s="30" t="s">
        <v>145</v>
      </c>
      <c r="O1271" s="30" t="s">
        <v>145</v>
      </c>
      <c r="P1271" s="30" t="s">
        <v>145</v>
      </c>
      <c r="Q1271" s="30" t="s">
        <v>216</v>
      </c>
    </row>
    <row r="1272" hidden="1">
      <c r="A1272" s="33" t="s">
        <v>6166</v>
      </c>
      <c r="B1272" s="30" t="s">
        <v>139</v>
      </c>
      <c r="C1272" s="30" t="s">
        <v>216</v>
      </c>
      <c r="D1272" s="30" t="s">
        <v>216</v>
      </c>
      <c r="E1272" s="35">
        <v>42382.0</v>
      </c>
      <c r="F1272" s="37" t="s">
        <v>150</v>
      </c>
      <c r="G1272" s="30" t="s">
        <v>6784</v>
      </c>
      <c r="H1272" s="30" t="s">
        <v>145</v>
      </c>
      <c r="I1272" s="30" t="s">
        <v>145</v>
      </c>
      <c r="J1272" s="30" t="s">
        <v>145</v>
      </c>
      <c r="K1272" s="30" t="s">
        <v>145</v>
      </c>
      <c r="L1272" s="30" t="s">
        <v>145</v>
      </c>
      <c r="M1272" s="30" t="s">
        <v>145</v>
      </c>
      <c r="N1272" s="30" t="s">
        <v>145</v>
      </c>
      <c r="O1272" s="30" t="s">
        <v>145</v>
      </c>
      <c r="P1272" s="30" t="s">
        <v>145</v>
      </c>
      <c r="Q1272" s="30" t="s">
        <v>216</v>
      </c>
    </row>
    <row r="1273" hidden="1">
      <c r="A1273" s="33" t="s">
        <v>6168</v>
      </c>
      <c r="B1273" s="30" t="s">
        <v>139</v>
      </c>
      <c r="C1273" s="30" t="s">
        <v>216</v>
      </c>
      <c r="D1273" s="30" t="s">
        <v>216</v>
      </c>
      <c r="E1273" s="35">
        <v>42382.0</v>
      </c>
      <c r="F1273" s="37" t="s">
        <v>150</v>
      </c>
      <c r="G1273" s="30" t="s">
        <v>6784</v>
      </c>
      <c r="H1273" s="30" t="s">
        <v>145</v>
      </c>
      <c r="I1273" s="30" t="s">
        <v>145</v>
      </c>
      <c r="J1273" s="30" t="s">
        <v>145</v>
      </c>
      <c r="K1273" s="30" t="s">
        <v>145</v>
      </c>
      <c r="L1273" s="30" t="s">
        <v>145</v>
      </c>
      <c r="M1273" s="30" t="s">
        <v>145</v>
      </c>
      <c r="N1273" s="30" t="s">
        <v>145</v>
      </c>
      <c r="O1273" s="30" t="s">
        <v>145</v>
      </c>
      <c r="P1273" s="30" t="s">
        <v>145</v>
      </c>
      <c r="Q1273" s="30" t="s">
        <v>216</v>
      </c>
    </row>
    <row r="1274" hidden="1">
      <c r="A1274" s="33" t="s">
        <v>6172</v>
      </c>
      <c r="B1274" s="30" t="s">
        <v>139</v>
      </c>
      <c r="C1274" s="30" t="s">
        <v>216</v>
      </c>
      <c r="D1274" s="30" t="s">
        <v>216</v>
      </c>
      <c r="E1274" s="35">
        <v>42382.0</v>
      </c>
      <c r="F1274" s="37" t="s">
        <v>150</v>
      </c>
      <c r="G1274" s="30" t="s">
        <v>6784</v>
      </c>
      <c r="H1274" s="30" t="s">
        <v>145</v>
      </c>
      <c r="I1274" s="30" t="s">
        <v>145</v>
      </c>
      <c r="J1274" s="30" t="s">
        <v>145</v>
      </c>
      <c r="K1274" s="30" t="s">
        <v>145</v>
      </c>
      <c r="L1274" s="30" t="s">
        <v>145</v>
      </c>
      <c r="M1274" s="30" t="s">
        <v>145</v>
      </c>
      <c r="N1274" s="30" t="s">
        <v>145</v>
      </c>
      <c r="O1274" s="30" t="s">
        <v>145</v>
      </c>
      <c r="P1274" s="30" t="s">
        <v>145</v>
      </c>
      <c r="Q1274" s="30" t="s">
        <v>216</v>
      </c>
    </row>
    <row r="1275" hidden="1">
      <c r="A1275" s="33" t="s">
        <v>6177</v>
      </c>
      <c r="B1275" s="30" t="s">
        <v>139</v>
      </c>
      <c r="C1275" s="30" t="s">
        <v>216</v>
      </c>
      <c r="D1275" s="30" t="s">
        <v>216</v>
      </c>
      <c r="E1275" s="35">
        <v>42382.0</v>
      </c>
      <c r="F1275" s="37" t="s">
        <v>150</v>
      </c>
      <c r="G1275" s="30" t="s">
        <v>6784</v>
      </c>
      <c r="H1275" s="30" t="s">
        <v>145</v>
      </c>
      <c r="I1275" s="30" t="s">
        <v>145</v>
      </c>
      <c r="J1275" s="30" t="s">
        <v>145</v>
      </c>
      <c r="K1275" s="30" t="s">
        <v>145</v>
      </c>
      <c r="L1275" s="30" t="s">
        <v>145</v>
      </c>
      <c r="M1275" s="30" t="s">
        <v>145</v>
      </c>
      <c r="N1275" s="30" t="s">
        <v>145</v>
      </c>
      <c r="O1275" s="30" t="s">
        <v>145</v>
      </c>
      <c r="P1275" s="30" t="s">
        <v>145</v>
      </c>
      <c r="Q1275" s="30" t="s">
        <v>216</v>
      </c>
    </row>
    <row r="1276" hidden="1">
      <c r="A1276" s="33" t="s">
        <v>6179</v>
      </c>
      <c r="B1276" s="30" t="s">
        <v>139</v>
      </c>
      <c r="C1276" s="30" t="s">
        <v>216</v>
      </c>
      <c r="D1276" s="30" t="s">
        <v>216</v>
      </c>
      <c r="E1276" s="35">
        <v>42382.0</v>
      </c>
      <c r="F1276" s="37" t="s">
        <v>150</v>
      </c>
      <c r="G1276" s="30" t="s">
        <v>6784</v>
      </c>
      <c r="H1276" s="30" t="s">
        <v>145</v>
      </c>
      <c r="I1276" s="30" t="s">
        <v>145</v>
      </c>
      <c r="J1276" s="30" t="s">
        <v>145</v>
      </c>
      <c r="K1276" s="30" t="s">
        <v>145</v>
      </c>
      <c r="L1276" s="30" t="s">
        <v>145</v>
      </c>
      <c r="M1276" s="30" t="s">
        <v>145</v>
      </c>
      <c r="N1276" s="30" t="s">
        <v>145</v>
      </c>
      <c r="O1276" s="30" t="s">
        <v>145</v>
      </c>
      <c r="P1276" s="30" t="s">
        <v>145</v>
      </c>
      <c r="Q1276" s="30" t="s">
        <v>216</v>
      </c>
    </row>
    <row r="1277" hidden="1">
      <c r="A1277" s="33" t="s">
        <v>6183</v>
      </c>
      <c r="B1277" s="30" t="s">
        <v>139</v>
      </c>
      <c r="C1277" s="30" t="s">
        <v>216</v>
      </c>
      <c r="D1277" s="30" t="s">
        <v>216</v>
      </c>
      <c r="E1277" s="35">
        <v>42382.0</v>
      </c>
      <c r="F1277" s="37" t="s">
        <v>150</v>
      </c>
      <c r="G1277" s="30" t="s">
        <v>6784</v>
      </c>
      <c r="H1277" s="30" t="s">
        <v>145</v>
      </c>
      <c r="I1277" s="30" t="s">
        <v>145</v>
      </c>
      <c r="J1277" s="30" t="s">
        <v>145</v>
      </c>
      <c r="K1277" s="30" t="s">
        <v>145</v>
      </c>
      <c r="L1277" s="30" t="s">
        <v>145</v>
      </c>
      <c r="M1277" s="30" t="s">
        <v>145</v>
      </c>
      <c r="N1277" s="30" t="s">
        <v>145</v>
      </c>
      <c r="O1277" s="30" t="s">
        <v>145</v>
      </c>
      <c r="P1277" s="30" t="s">
        <v>145</v>
      </c>
      <c r="Q1277" s="30" t="s">
        <v>216</v>
      </c>
    </row>
    <row r="1278" hidden="1">
      <c r="A1278" s="33" t="s">
        <v>6185</v>
      </c>
      <c r="B1278" s="30" t="s">
        <v>139</v>
      </c>
      <c r="C1278" s="30" t="s">
        <v>216</v>
      </c>
      <c r="D1278" s="30" t="s">
        <v>216</v>
      </c>
      <c r="E1278" s="35">
        <v>42382.0</v>
      </c>
      <c r="F1278" s="37" t="s">
        <v>150</v>
      </c>
      <c r="G1278" s="30" t="s">
        <v>6784</v>
      </c>
      <c r="H1278" s="30" t="s">
        <v>145</v>
      </c>
      <c r="I1278" s="30" t="s">
        <v>145</v>
      </c>
      <c r="J1278" s="30" t="s">
        <v>145</v>
      </c>
      <c r="K1278" s="30" t="s">
        <v>145</v>
      </c>
      <c r="L1278" s="30" t="s">
        <v>145</v>
      </c>
      <c r="M1278" s="30" t="s">
        <v>145</v>
      </c>
      <c r="N1278" s="30" t="s">
        <v>145</v>
      </c>
      <c r="O1278" s="30" t="s">
        <v>145</v>
      </c>
      <c r="P1278" s="30" t="s">
        <v>145</v>
      </c>
      <c r="Q1278" s="30" t="s">
        <v>216</v>
      </c>
    </row>
    <row r="1279" hidden="1">
      <c r="A1279" s="33" t="s">
        <v>6190</v>
      </c>
      <c r="B1279" s="30" t="s">
        <v>139</v>
      </c>
      <c r="C1279" s="30" t="s">
        <v>177</v>
      </c>
      <c r="D1279" s="30" t="s">
        <v>177</v>
      </c>
      <c r="E1279" s="35">
        <v>42381.0</v>
      </c>
      <c r="F1279" s="37" t="s">
        <v>150</v>
      </c>
      <c r="G1279" s="30" t="s">
        <v>6809</v>
      </c>
      <c r="H1279" s="30" t="s">
        <v>145</v>
      </c>
      <c r="I1279" s="30" t="s">
        <v>145</v>
      </c>
      <c r="J1279" s="30" t="s">
        <v>145</v>
      </c>
      <c r="K1279" s="30" t="s">
        <v>145</v>
      </c>
      <c r="L1279" s="30" t="s">
        <v>145</v>
      </c>
      <c r="M1279" s="30" t="s">
        <v>145</v>
      </c>
      <c r="N1279" s="30" t="s">
        <v>145</v>
      </c>
      <c r="O1279" s="30" t="s">
        <v>145</v>
      </c>
      <c r="P1279" s="30" t="s">
        <v>145</v>
      </c>
      <c r="Q1279" s="30" t="s">
        <v>177</v>
      </c>
    </row>
    <row r="1280" hidden="1">
      <c r="A1280" s="33" t="s">
        <v>6194</v>
      </c>
      <c r="B1280" s="30" t="s">
        <v>139</v>
      </c>
      <c r="C1280" s="30" t="s">
        <v>216</v>
      </c>
      <c r="D1280" s="30" t="s">
        <v>216</v>
      </c>
      <c r="E1280" s="35">
        <v>42381.0</v>
      </c>
      <c r="F1280" s="37" t="s">
        <v>150</v>
      </c>
      <c r="G1280" s="30" t="s">
        <v>6815</v>
      </c>
      <c r="H1280" s="30" t="s">
        <v>145</v>
      </c>
      <c r="I1280" s="30" t="s">
        <v>145</v>
      </c>
      <c r="J1280" s="30" t="s">
        <v>145</v>
      </c>
      <c r="K1280" s="30" t="s">
        <v>145</v>
      </c>
      <c r="L1280" s="30" t="s">
        <v>145</v>
      </c>
      <c r="M1280" s="30" t="s">
        <v>145</v>
      </c>
      <c r="N1280" s="30" t="s">
        <v>145</v>
      </c>
      <c r="O1280" s="30" t="s">
        <v>145</v>
      </c>
      <c r="P1280" s="30" t="s">
        <v>145</v>
      </c>
      <c r="Q1280" s="30" t="s">
        <v>216</v>
      </c>
    </row>
    <row r="1281" hidden="1">
      <c r="A1281" s="33" t="s">
        <v>6198</v>
      </c>
      <c r="B1281" s="30" t="s">
        <v>139</v>
      </c>
      <c r="C1281" s="30" t="s">
        <v>1400</v>
      </c>
      <c r="D1281" s="30" t="s">
        <v>1400</v>
      </c>
      <c r="E1281" s="35">
        <v>42381.0</v>
      </c>
      <c r="F1281" s="37" t="s">
        <v>150</v>
      </c>
      <c r="G1281" s="30" t="s">
        <v>6818</v>
      </c>
      <c r="H1281" s="30" t="s">
        <v>145</v>
      </c>
      <c r="I1281" s="30" t="s">
        <v>145</v>
      </c>
      <c r="J1281" s="30" t="s">
        <v>145</v>
      </c>
      <c r="K1281" s="30" t="s">
        <v>145</v>
      </c>
      <c r="L1281" s="30" t="s">
        <v>145</v>
      </c>
      <c r="M1281" s="30" t="s">
        <v>145</v>
      </c>
      <c r="N1281" s="30" t="s">
        <v>145</v>
      </c>
      <c r="O1281" s="30" t="s">
        <v>145</v>
      </c>
      <c r="P1281" s="30" t="s">
        <v>145</v>
      </c>
      <c r="Q1281" s="30" t="s">
        <v>1400</v>
      </c>
    </row>
    <row r="1282" hidden="1">
      <c r="A1282" s="33" t="s">
        <v>6201</v>
      </c>
      <c r="B1282" s="30" t="s">
        <v>139</v>
      </c>
      <c r="C1282" s="30" t="s">
        <v>216</v>
      </c>
      <c r="D1282" s="30" t="s">
        <v>216</v>
      </c>
      <c r="E1282" s="35">
        <v>42381.0</v>
      </c>
      <c r="F1282" s="37" t="s">
        <v>150</v>
      </c>
      <c r="G1282" s="30" t="s">
        <v>6815</v>
      </c>
      <c r="H1282" s="30" t="s">
        <v>145</v>
      </c>
      <c r="I1282" s="30" t="s">
        <v>145</v>
      </c>
      <c r="J1282" s="30" t="s">
        <v>145</v>
      </c>
      <c r="K1282" s="30" t="s">
        <v>145</v>
      </c>
      <c r="L1282" s="30" t="s">
        <v>145</v>
      </c>
      <c r="M1282" s="30" t="s">
        <v>145</v>
      </c>
      <c r="N1282" s="30" t="s">
        <v>145</v>
      </c>
      <c r="O1282" s="30" t="s">
        <v>145</v>
      </c>
      <c r="P1282" s="30" t="s">
        <v>145</v>
      </c>
      <c r="Q1282" s="30" t="s">
        <v>216</v>
      </c>
    </row>
    <row r="1283" hidden="1">
      <c r="A1283" s="33" t="s">
        <v>6203</v>
      </c>
      <c r="B1283" s="30" t="s">
        <v>139</v>
      </c>
      <c r="C1283" s="30" t="s">
        <v>177</v>
      </c>
      <c r="D1283" s="30" t="s">
        <v>177</v>
      </c>
      <c r="E1283" s="35">
        <v>42380.0</v>
      </c>
      <c r="F1283" s="37" t="s">
        <v>150</v>
      </c>
      <c r="G1283" s="30" t="s">
        <v>6824</v>
      </c>
      <c r="H1283" s="30" t="s">
        <v>145</v>
      </c>
      <c r="I1283" s="30" t="s">
        <v>145</v>
      </c>
      <c r="J1283" s="30" t="s">
        <v>145</v>
      </c>
      <c r="K1283" s="30" t="s">
        <v>145</v>
      </c>
      <c r="L1283" s="30" t="s">
        <v>145</v>
      </c>
      <c r="M1283" s="30" t="s">
        <v>145</v>
      </c>
      <c r="N1283" s="30" t="s">
        <v>145</v>
      </c>
      <c r="O1283" s="30" t="s">
        <v>145</v>
      </c>
      <c r="P1283" s="30" t="s">
        <v>145</v>
      </c>
      <c r="Q1283" s="30" t="s">
        <v>177</v>
      </c>
    </row>
    <row r="1284" hidden="1">
      <c r="A1284" s="33" t="s">
        <v>6205</v>
      </c>
      <c r="B1284" s="30" t="s">
        <v>139</v>
      </c>
      <c r="C1284" s="30" t="s">
        <v>609</v>
      </c>
      <c r="D1284" s="30" t="s">
        <v>609</v>
      </c>
      <c r="E1284" s="35">
        <v>42380.0</v>
      </c>
      <c r="F1284" s="37" t="s">
        <v>150</v>
      </c>
      <c r="G1284" s="30" t="s">
        <v>6828</v>
      </c>
      <c r="H1284" s="30" t="s">
        <v>145</v>
      </c>
      <c r="I1284" s="30" t="s">
        <v>145</v>
      </c>
      <c r="J1284" s="30" t="s">
        <v>145</v>
      </c>
      <c r="K1284" s="30" t="s">
        <v>145</v>
      </c>
      <c r="L1284" s="30" t="s">
        <v>145</v>
      </c>
      <c r="M1284" s="30" t="s">
        <v>145</v>
      </c>
      <c r="N1284" s="30" t="s">
        <v>145</v>
      </c>
      <c r="O1284" s="30" t="s">
        <v>145</v>
      </c>
      <c r="P1284" s="30" t="s">
        <v>145</v>
      </c>
      <c r="Q1284" s="30" t="s">
        <v>609</v>
      </c>
    </row>
    <row r="1285" hidden="1">
      <c r="A1285" s="33" t="s">
        <v>6210</v>
      </c>
      <c r="B1285" s="30" t="s">
        <v>139</v>
      </c>
      <c r="C1285" s="30" t="s">
        <v>609</v>
      </c>
      <c r="D1285" s="30" t="s">
        <v>609</v>
      </c>
      <c r="E1285" s="35">
        <v>42380.0</v>
      </c>
      <c r="F1285" s="37" t="s">
        <v>150</v>
      </c>
      <c r="G1285" s="30" t="s">
        <v>6828</v>
      </c>
      <c r="H1285" s="30" t="s">
        <v>145</v>
      </c>
      <c r="I1285" s="30" t="s">
        <v>145</v>
      </c>
      <c r="J1285" s="30" t="s">
        <v>145</v>
      </c>
      <c r="K1285" s="30" t="s">
        <v>145</v>
      </c>
      <c r="L1285" s="30" t="s">
        <v>145</v>
      </c>
      <c r="M1285" s="30" t="s">
        <v>145</v>
      </c>
      <c r="N1285" s="30" t="s">
        <v>145</v>
      </c>
      <c r="O1285" s="30" t="s">
        <v>145</v>
      </c>
      <c r="P1285" s="30" t="s">
        <v>145</v>
      </c>
      <c r="Q1285" s="30" t="s">
        <v>609</v>
      </c>
    </row>
    <row r="1286" hidden="1">
      <c r="A1286" s="33" t="s">
        <v>6212</v>
      </c>
      <c r="B1286" s="30" t="s">
        <v>139</v>
      </c>
      <c r="C1286" s="30" t="s">
        <v>216</v>
      </c>
      <c r="D1286" s="30" t="s">
        <v>216</v>
      </c>
      <c r="E1286" s="35">
        <v>42380.0</v>
      </c>
      <c r="F1286" s="37" t="s">
        <v>150</v>
      </c>
      <c r="G1286" s="30" t="s">
        <v>6836</v>
      </c>
      <c r="H1286" s="30" t="s">
        <v>145</v>
      </c>
      <c r="I1286" s="30" t="s">
        <v>145</v>
      </c>
      <c r="J1286" s="30" t="s">
        <v>145</v>
      </c>
      <c r="K1286" s="30" t="s">
        <v>145</v>
      </c>
      <c r="L1286" s="30" t="s">
        <v>145</v>
      </c>
      <c r="M1286" s="30" t="s">
        <v>145</v>
      </c>
      <c r="N1286" s="30" t="s">
        <v>145</v>
      </c>
      <c r="O1286" s="30" t="s">
        <v>145</v>
      </c>
      <c r="P1286" s="30" t="s">
        <v>145</v>
      </c>
      <c r="Q1286" s="30" t="s">
        <v>216</v>
      </c>
    </row>
    <row r="1287" hidden="1">
      <c r="A1287" s="33" t="s">
        <v>6215</v>
      </c>
      <c r="B1287" s="30" t="s">
        <v>139</v>
      </c>
      <c r="C1287" s="30" t="s">
        <v>216</v>
      </c>
      <c r="D1287" s="30" t="s">
        <v>216</v>
      </c>
      <c r="E1287" s="35">
        <v>42380.0</v>
      </c>
      <c r="F1287" s="37" t="s">
        <v>150</v>
      </c>
      <c r="G1287" s="30" t="s">
        <v>6836</v>
      </c>
      <c r="H1287" s="30" t="s">
        <v>145</v>
      </c>
      <c r="I1287" s="30" t="s">
        <v>145</v>
      </c>
      <c r="J1287" s="30" t="s">
        <v>145</v>
      </c>
      <c r="K1287" s="30" t="s">
        <v>145</v>
      </c>
      <c r="L1287" s="30" t="s">
        <v>145</v>
      </c>
      <c r="M1287" s="30" t="s">
        <v>145</v>
      </c>
      <c r="N1287" s="30" t="s">
        <v>145</v>
      </c>
      <c r="O1287" s="30" t="s">
        <v>145</v>
      </c>
      <c r="P1287" s="30" t="s">
        <v>145</v>
      </c>
      <c r="Q1287" s="30" t="s">
        <v>216</v>
      </c>
    </row>
    <row r="1288" hidden="1">
      <c r="A1288" s="33" t="s">
        <v>6218</v>
      </c>
      <c r="B1288" s="30" t="s">
        <v>139</v>
      </c>
      <c r="C1288" s="30" t="s">
        <v>244</v>
      </c>
      <c r="D1288" s="30" t="s">
        <v>244</v>
      </c>
      <c r="E1288" s="35">
        <v>42380.0</v>
      </c>
      <c r="F1288" s="37" t="s">
        <v>150</v>
      </c>
      <c r="G1288" s="30" t="s">
        <v>6843</v>
      </c>
      <c r="H1288" s="30" t="s">
        <v>145</v>
      </c>
      <c r="I1288" s="30" t="s">
        <v>145</v>
      </c>
      <c r="J1288" s="30" t="s">
        <v>145</v>
      </c>
      <c r="K1288" s="30" t="s">
        <v>145</v>
      </c>
      <c r="L1288" s="30" t="s">
        <v>145</v>
      </c>
      <c r="M1288" s="30" t="s">
        <v>145</v>
      </c>
      <c r="N1288" s="30" t="s">
        <v>145</v>
      </c>
      <c r="O1288" s="30" t="s">
        <v>145</v>
      </c>
      <c r="P1288" s="30" t="s">
        <v>145</v>
      </c>
      <c r="Q1288" s="30" t="s">
        <v>244</v>
      </c>
    </row>
    <row r="1289" hidden="1">
      <c r="A1289" s="33" t="s">
        <v>6221</v>
      </c>
      <c r="B1289" s="30" t="s">
        <v>139</v>
      </c>
      <c r="C1289" s="30" t="s">
        <v>244</v>
      </c>
      <c r="D1289" s="30" t="s">
        <v>244</v>
      </c>
      <c r="E1289" s="35">
        <v>42380.0</v>
      </c>
      <c r="F1289" s="37" t="s">
        <v>150</v>
      </c>
      <c r="G1289" s="30" t="s">
        <v>6843</v>
      </c>
      <c r="H1289" s="30" t="s">
        <v>145</v>
      </c>
      <c r="I1289" s="30" t="s">
        <v>145</v>
      </c>
      <c r="J1289" s="30" t="s">
        <v>145</v>
      </c>
      <c r="K1289" s="30" t="s">
        <v>145</v>
      </c>
      <c r="L1289" s="30" t="s">
        <v>145</v>
      </c>
      <c r="M1289" s="30" t="s">
        <v>145</v>
      </c>
      <c r="N1289" s="30" t="s">
        <v>145</v>
      </c>
      <c r="O1289" s="30" t="s">
        <v>145</v>
      </c>
      <c r="P1289" s="30" t="s">
        <v>145</v>
      </c>
      <c r="Q1289" s="30" t="s">
        <v>244</v>
      </c>
    </row>
    <row r="1290" hidden="1">
      <c r="A1290" s="33" t="s">
        <v>6223</v>
      </c>
      <c r="B1290" s="30" t="s">
        <v>139</v>
      </c>
      <c r="C1290" s="30" t="s">
        <v>609</v>
      </c>
      <c r="D1290" s="30" t="s">
        <v>609</v>
      </c>
      <c r="E1290" s="35">
        <v>42380.0</v>
      </c>
      <c r="F1290" s="37" t="s">
        <v>150</v>
      </c>
      <c r="G1290" s="30" t="s">
        <v>6828</v>
      </c>
      <c r="H1290" s="30" t="s">
        <v>145</v>
      </c>
      <c r="I1290" s="30" t="s">
        <v>145</v>
      </c>
      <c r="J1290" s="30" t="s">
        <v>145</v>
      </c>
      <c r="K1290" s="30" t="s">
        <v>145</v>
      </c>
      <c r="L1290" s="30" t="s">
        <v>145</v>
      </c>
      <c r="M1290" s="30" t="s">
        <v>145</v>
      </c>
      <c r="N1290" s="30" t="s">
        <v>145</v>
      </c>
      <c r="O1290" s="30" t="s">
        <v>145</v>
      </c>
      <c r="P1290" s="30" t="s">
        <v>145</v>
      </c>
      <c r="Q1290" s="30" t="s">
        <v>609</v>
      </c>
    </row>
    <row r="1291" hidden="1">
      <c r="A1291" s="33" t="s">
        <v>6229</v>
      </c>
      <c r="B1291" s="30" t="s">
        <v>139</v>
      </c>
      <c r="C1291" s="30" t="s">
        <v>216</v>
      </c>
      <c r="D1291" s="30" t="s">
        <v>216</v>
      </c>
      <c r="E1291" s="35">
        <v>42379.0</v>
      </c>
      <c r="F1291" s="37" t="s">
        <v>150</v>
      </c>
      <c r="G1291" s="30" t="s">
        <v>6856</v>
      </c>
      <c r="H1291" s="30" t="s">
        <v>145</v>
      </c>
      <c r="I1291" s="30" t="s">
        <v>145</v>
      </c>
      <c r="J1291" s="30" t="s">
        <v>145</v>
      </c>
      <c r="K1291" s="30" t="s">
        <v>145</v>
      </c>
      <c r="L1291" s="30" t="s">
        <v>145</v>
      </c>
      <c r="M1291" s="30" t="s">
        <v>145</v>
      </c>
      <c r="N1291" s="30" t="s">
        <v>145</v>
      </c>
      <c r="O1291" s="30" t="s">
        <v>145</v>
      </c>
      <c r="P1291" s="30" t="s">
        <v>145</v>
      </c>
      <c r="Q1291" s="30" t="s">
        <v>216</v>
      </c>
    </row>
    <row r="1292" hidden="1">
      <c r="A1292" s="33" t="s">
        <v>6232</v>
      </c>
      <c r="B1292" s="30" t="s">
        <v>139</v>
      </c>
      <c r="C1292" s="30" t="s">
        <v>216</v>
      </c>
      <c r="D1292" s="30" t="s">
        <v>216</v>
      </c>
      <c r="E1292" s="35">
        <v>42379.0</v>
      </c>
      <c r="F1292" s="37" t="s">
        <v>150</v>
      </c>
      <c r="G1292" s="30" t="s">
        <v>6856</v>
      </c>
      <c r="H1292" s="30" t="s">
        <v>145</v>
      </c>
      <c r="I1292" s="30" t="s">
        <v>145</v>
      </c>
      <c r="J1292" s="30" t="s">
        <v>145</v>
      </c>
      <c r="K1292" s="30" t="s">
        <v>145</v>
      </c>
      <c r="L1292" s="30" t="s">
        <v>145</v>
      </c>
      <c r="M1292" s="30" t="s">
        <v>145</v>
      </c>
      <c r="N1292" s="30" t="s">
        <v>145</v>
      </c>
      <c r="O1292" s="30" t="s">
        <v>145</v>
      </c>
      <c r="P1292" s="30" t="s">
        <v>145</v>
      </c>
      <c r="Q1292" s="30" t="s">
        <v>216</v>
      </c>
    </row>
    <row r="1293" hidden="1">
      <c r="A1293" s="33" t="s">
        <v>6234</v>
      </c>
      <c r="B1293" s="30" t="s">
        <v>139</v>
      </c>
      <c r="C1293" s="30" t="s">
        <v>216</v>
      </c>
      <c r="D1293" s="30" t="s">
        <v>216</v>
      </c>
      <c r="E1293" s="35">
        <v>42379.0</v>
      </c>
      <c r="F1293" s="37" t="s">
        <v>150</v>
      </c>
      <c r="G1293" s="30" t="s">
        <v>6856</v>
      </c>
      <c r="H1293" s="30" t="s">
        <v>145</v>
      </c>
      <c r="I1293" s="30" t="s">
        <v>145</v>
      </c>
      <c r="J1293" s="30" t="s">
        <v>145</v>
      </c>
      <c r="K1293" s="30" t="s">
        <v>145</v>
      </c>
      <c r="L1293" s="30" t="s">
        <v>145</v>
      </c>
      <c r="M1293" s="30" t="s">
        <v>145</v>
      </c>
      <c r="N1293" s="30" t="s">
        <v>145</v>
      </c>
      <c r="O1293" s="30" t="s">
        <v>145</v>
      </c>
      <c r="P1293" s="30" t="s">
        <v>145</v>
      </c>
      <c r="Q1293" s="30" t="s">
        <v>216</v>
      </c>
    </row>
    <row r="1294" hidden="1">
      <c r="A1294" s="33" t="s">
        <v>6238</v>
      </c>
      <c r="B1294" s="30" t="s">
        <v>139</v>
      </c>
      <c r="C1294" s="30" t="s">
        <v>216</v>
      </c>
      <c r="D1294" s="30" t="s">
        <v>216</v>
      </c>
      <c r="E1294" s="35">
        <v>42379.0</v>
      </c>
      <c r="F1294" s="37" t="s">
        <v>150</v>
      </c>
      <c r="G1294" s="30" t="s">
        <v>6856</v>
      </c>
      <c r="H1294" s="30" t="s">
        <v>145</v>
      </c>
      <c r="I1294" s="30" t="s">
        <v>145</v>
      </c>
      <c r="J1294" s="30" t="s">
        <v>145</v>
      </c>
      <c r="K1294" s="30" t="s">
        <v>145</v>
      </c>
      <c r="L1294" s="30" t="s">
        <v>145</v>
      </c>
      <c r="M1294" s="30" t="s">
        <v>145</v>
      </c>
      <c r="N1294" s="30" t="s">
        <v>145</v>
      </c>
      <c r="O1294" s="30" t="s">
        <v>145</v>
      </c>
      <c r="P1294" s="30" t="s">
        <v>145</v>
      </c>
      <c r="Q1294" s="30" t="s">
        <v>216</v>
      </c>
    </row>
    <row r="1295" hidden="1">
      <c r="A1295" s="33" t="s">
        <v>6241</v>
      </c>
      <c r="B1295" s="30" t="s">
        <v>139</v>
      </c>
      <c r="C1295" s="30" t="s">
        <v>609</v>
      </c>
      <c r="D1295" s="30" t="s">
        <v>609</v>
      </c>
      <c r="E1295" s="35">
        <v>42379.0</v>
      </c>
      <c r="F1295" s="37" t="s">
        <v>150</v>
      </c>
      <c r="G1295" s="30" t="s">
        <v>6870</v>
      </c>
      <c r="H1295" s="30" t="s">
        <v>145</v>
      </c>
      <c r="I1295" s="30" t="s">
        <v>145</v>
      </c>
      <c r="J1295" s="30" t="s">
        <v>145</v>
      </c>
      <c r="K1295" s="30" t="s">
        <v>145</v>
      </c>
      <c r="L1295" s="30" t="s">
        <v>145</v>
      </c>
      <c r="M1295" s="30" t="s">
        <v>145</v>
      </c>
      <c r="N1295" s="30" t="s">
        <v>145</v>
      </c>
      <c r="O1295" s="30" t="s">
        <v>145</v>
      </c>
      <c r="P1295" s="30" t="s">
        <v>145</v>
      </c>
      <c r="Q1295" s="30" t="s">
        <v>609</v>
      </c>
    </row>
    <row r="1296" hidden="1">
      <c r="A1296" s="33" t="s">
        <v>6243</v>
      </c>
      <c r="B1296" s="30" t="s">
        <v>139</v>
      </c>
      <c r="C1296" s="30" t="s">
        <v>609</v>
      </c>
      <c r="D1296" s="30" t="s">
        <v>609</v>
      </c>
      <c r="E1296" s="35">
        <v>42378.0</v>
      </c>
      <c r="F1296" s="37" t="s">
        <v>150</v>
      </c>
      <c r="G1296" s="30" t="s">
        <v>6875</v>
      </c>
      <c r="H1296" s="30" t="s">
        <v>145</v>
      </c>
      <c r="I1296" s="30" t="s">
        <v>145</v>
      </c>
      <c r="J1296" s="30" t="s">
        <v>145</v>
      </c>
      <c r="K1296" s="30" t="s">
        <v>145</v>
      </c>
      <c r="L1296" s="30" t="s">
        <v>145</v>
      </c>
      <c r="M1296" s="30" t="s">
        <v>145</v>
      </c>
      <c r="N1296" s="30" t="s">
        <v>145</v>
      </c>
      <c r="O1296" s="30" t="s">
        <v>145</v>
      </c>
      <c r="P1296" s="30" t="s">
        <v>145</v>
      </c>
      <c r="Q1296" s="30" t="s">
        <v>609</v>
      </c>
    </row>
    <row r="1297" hidden="1">
      <c r="A1297" s="33" t="s">
        <v>6246</v>
      </c>
      <c r="B1297" s="30" t="s">
        <v>139</v>
      </c>
      <c r="C1297" s="30" t="s">
        <v>609</v>
      </c>
      <c r="D1297" s="30" t="s">
        <v>609</v>
      </c>
      <c r="E1297" s="35">
        <v>42378.0</v>
      </c>
      <c r="F1297" s="37" t="s">
        <v>150</v>
      </c>
      <c r="G1297" s="30" t="s">
        <v>6875</v>
      </c>
      <c r="H1297" s="30" t="s">
        <v>145</v>
      </c>
      <c r="I1297" s="30" t="s">
        <v>145</v>
      </c>
      <c r="J1297" s="30" t="s">
        <v>145</v>
      </c>
      <c r="K1297" s="30" t="s">
        <v>145</v>
      </c>
      <c r="L1297" s="30" t="s">
        <v>145</v>
      </c>
      <c r="M1297" s="30" t="s">
        <v>145</v>
      </c>
      <c r="N1297" s="30" t="s">
        <v>145</v>
      </c>
      <c r="O1297" s="30" t="s">
        <v>145</v>
      </c>
      <c r="P1297" s="30" t="s">
        <v>145</v>
      </c>
      <c r="Q1297" s="30" t="s">
        <v>609</v>
      </c>
    </row>
    <row r="1298" hidden="1">
      <c r="A1298" s="33" t="s">
        <v>6248</v>
      </c>
      <c r="B1298" s="30" t="s">
        <v>139</v>
      </c>
      <c r="C1298" s="30" t="s">
        <v>609</v>
      </c>
      <c r="D1298" s="30" t="s">
        <v>609</v>
      </c>
      <c r="E1298" s="35">
        <v>42378.0</v>
      </c>
      <c r="F1298" s="37" t="s">
        <v>150</v>
      </c>
      <c r="G1298" s="30" t="s">
        <v>6875</v>
      </c>
      <c r="H1298" s="30" t="s">
        <v>145</v>
      </c>
      <c r="I1298" s="30" t="s">
        <v>145</v>
      </c>
      <c r="J1298" s="30" t="s">
        <v>145</v>
      </c>
      <c r="K1298" s="30" t="s">
        <v>145</v>
      </c>
      <c r="L1298" s="30" t="s">
        <v>145</v>
      </c>
      <c r="M1298" s="30" t="s">
        <v>145</v>
      </c>
      <c r="N1298" s="30" t="s">
        <v>145</v>
      </c>
      <c r="O1298" s="30" t="s">
        <v>145</v>
      </c>
      <c r="P1298" s="30" t="s">
        <v>145</v>
      </c>
      <c r="Q1298" s="30" t="s">
        <v>609</v>
      </c>
    </row>
    <row r="1299" hidden="1">
      <c r="A1299" s="33" t="s">
        <v>6251</v>
      </c>
      <c r="B1299" s="30" t="s">
        <v>139</v>
      </c>
      <c r="C1299" s="30" t="s">
        <v>609</v>
      </c>
      <c r="D1299" s="30" t="s">
        <v>609</v>
      </c>
      <c r="E1299" s="35">
        <v>42378.0</v>
      </c>
      <c r="F1299" s="37" t="s">
        <v>150</v>
      </c>
      <c r="G1299" s="30" t="s">
        <v>6875</v>
      </c>
      <c r="H1299" s="30" t="s">
        <v>145</v>
      </c>
      <c r="I1299" s="30" t="s">
        <v>145</v>
      </c>
      <c r="J1299" s="30" t="s">
        <v>145</v>
      </c>
      <c r="K1299" s="30" t="s">
        <v>145</v>
      </c>
      <c r="L1299" s="30" t="s">
        <v>145</v>
      </c>
      <c r="M1299" s="30" t="s">
        <v>145</v>
      </c>
      <c r="N1299" s="30" t="s">
        <v>145</v>
      </c>
      <c r="O1299" s="30" t="s">
        <v>145</v>
      </c>
      <c r="P1299" s="30" t="s">
        <v>145</v>
      </c>
      <c r="Q1299" s="30" t="s">
        <v>609</v>
      </c>
    </row>
    <row r="1300" hidden="1">
      <c r="A1300" s="33" t="s">
        <v>6253</v>
      </c>
      <c r="B1300" s="30" t="s">
        <v>139</v>
      </c>
      <c r="C1300" s="30" t="s">
        <v>177</v>
      </c>
      <c r="D1300" s="30" t="s">
        <v>177</v>
      </c>
      <c r="E1300" s="35">
        <v>42377.0</v>
      </c>
      <c r="F1300" s="37" t="s">
        <v>150</v>
      </c>
      <c r="G1300" s="30" t="s">
        <v>6892</v>
      </c>
      <c r="H1300" s="30" t="s">
        <v>145</v>
      </c>
      <c r="I1300" s="30" t="s">
        <v>145</v>
      </c>
      <c r="J1300" s="30" t="s">
        <v>145</v>
      </c>
      <c r="K1300" s="30" t="s">
        <v>145</v>
      </c>
      <c r="L1300" s="30" t="s">
        <v>145</v>
      </c>
      <c r="M1300" s="30" t="s">
        <v>145</v>
      </c>
      <c r="N1300" s="30" t="s">
        <v>145</v>
      </c>
      <c r="O1300" s="30" t="s">
        <v>145</v>
      </c>
      <c r="P1300" s="30" t="s">
        <v>145</v>
      </c>
      <c r="Q1300" s="30" t="s">
        <v>177</v>
      </c>
    </row>
    <row r="1301" hidden="1">
      <c r="A1301" s="33" t="s">
        <v>6257</v>
      </c>
      <c r="B1301" s="30" t="s">
        <v>139</v>
      </c>
      <c r="C1301" s="30" t="s">
        <v>177</v>
      </c>
      <c r="D1301" s="30" t="s">
        <v>177</v>
      </c>
      <c r="E1301" s="35">
        <v>42377.0</v>
      </c>
      <c r="F1301" s="37" t="s">
        <v>150</v>
      </c>
      <c r="G1301" s="30" t="s">
        <v>6892</v>
      </c>
      <c r="H1301" s="30" t="s">
        <v>145</v>
      </c>
      <c r="I1301" s="30" t="s">
        <v>145</v>
      </c>
      <c r="J1301" s="30" t="s">
        <v>145</v>
      </c>
      <c r="K1301" s="30" t="s">
        <v>145</v>
      </c>
      <c r="L1301" s="30" t="s">
        <v>145</v>
      </c>
      <c r="M1301" s="30" t="s">
        <v>145</v>
      </c>
      <c r="N1301" s="30" t="s">
        <v>145</v>
      </c>
      <c r="O1301" s="30" t="s">
        <v>145</v>
      </c>
      <c r="P1301" s="30" t="s">
        <v>145</v>
      </c>
      <c r="Q1301" s="30" t="s">
        <v>177</v>
      </c>
    </row>
    <row r="1302" hidden="1">
      <c r="A1302" s="33" t="s">
        <v>6259</v>
      </c>
      <c r="B1302" s="30" t="s">
        <v>139</v>
      </c>
      <c r="C1302" s="30" t="s">
        <v>177</v>
      </c>
      <c r="D1302" s="30" t="s">
        <v>177</v>
      </c>
      <c r="E1302" s="35">
        <v>42377.0</v>
      </c>
      <c r="F1302" s="37" t="s">
        <v>150</v>
      </c>
      <c r="G1302" s="30" t="s">
        <v>6892</v>
      </c>
      <c r="H1302" s="30" t="s">
        <v>145</v>
      </c>
      <c r="I1302" s="30" t="s">
        <v>145</v>
      </c>
      <c r="J1302" s="30" t="s">
        <v>145</v>
      </c>
      <c r="K1302" s="30" t="s">
        <v>145</v>
      </c>
      <c r="L1302" s="30" t="s">
        <v>145</v>
      </c>
      <c r="M1302" s="30" t="s">
        <v>145</v>
      </c>
      <c r="N1302" s="30" t="s">
        <v>145</v>
      </c>
      <c r="O1302" s="30" t="s">
        <v>145</v>
      </c>
      <c r="P1302" s="30" t="s">
        <v>145</v>
      </c>
      <c r="Q1302" s="30" t="s">
        <v>177</v>
      </c>
    </row>
    <row r="1303" hidden="1">
      <c r="A1303" s="33" t="s">
        <v>6262</v>
      </c>
      <c r="B1303" s="30" t="s">
        <v>139</v>
      </c>
      <c r="C1303" s="30" t="s">
        <v>177</v>
      </c>
      <c r="D1303" s="30" t="s">
        <v>177</v>
      </c>
      <c r="E1303" s="35">
        <v>42377.0</v>
      </c>
      <c r="F1303" s="37" t="s">
        <v>150</v>
      </c>
      <c r="G1303" s="30" t="s">
        <v>6892</v>
      </c>
      <c r="H1303" s="30" t="s">
        <v>145</v>
      </c>
      <c r="I1303" s="30" t="s">
        <v>145</v>
      </c>
      <c r="J1303" s="30" t="s">
        <v>145</v>
      </c>
      <c r="K1303" s="30" t="s">
        <v>145</v>
      </c>
      <c r="L1303" s="30" t="s">
        <v>145</v>
      </c>
      <c r="M1303" s="30" t="s">
        <v>145</v>
      </c>
      <c r="N1303" s="30" t="s">
        <v>145</v>
      </c>
      <c r="O1303" s="30" t="s">
        <v>145</v>
      </c>
      <c r="P1303" s="30" t="s">
        <v>145</v>
      </c>
      <c r="Q1303" s="30" t="s">
        <v>177</v>
      </c>
    </row>
    <row r="1304" hidden="1">
      <c r="A1304" s="33" t="s">
        <v>6265</v>
      </c>
      <c r="B1304" s="30" t="s">
        <v>139</v>
      </c>
      <c r="C1304" s="30" t="s">
        <v>177</v>
      </c>
      <c r="D1304" s="30" t="s">
        <v>177</v>
      </c>
      <c r="E1304" s="35">
        <v>42377.0</v>
      </c>
      <c r="F1304" s="37" t="s">
        <v>150</v>
      </c>
      <c r="G1304" s="30" t="s">
        <v>6892</v>
      </c>
      <c r="H1304" s="30" t="s">
        <v>145</v>
      </c>
      <c r="I1304" s="30" t="s">
        <v>145</v>
      </c>
      <c r="J1304" s="30" t="s">
        <v>145</v>
      </c>
      <c r="K1304" s="30" t="s">
        <v>145</v>
      </c>
      <c r="L1304" s="30" t="s">
        <v>145</v>
      </c>
      <c r="M1304" s="30" t="s">
        <v>145</v>
      </c>
      <c r="N1304" s="30" t="s">
        <v>145</v>
      </c>
      <c r="O1304" s="30" t="s">
        <v>145</v>
      </c>
      <c r="P1304" s="30" t="s">
        <v>145</v>
      </c>
      <c r="Q1304" s="30" t="s">
        <v>177</v>
      </c>
    </row>
    <row r="1305" hidden="1">
      <c r="A1305" s="33" t="s">
        <v>6267</v>
      </c>
      <c r="B1305" s="30" t="s">
        <v>139</v>
      </c>
      <c r="C1305" s="30" t="s">
        <v>177</v>
      </c>
      <c r="D1305" s="30" t="s">
        <v>177</v>
      </c>
      <c r="E1305" s="35">
        <v>42377.0</v>
      </c>
      <c r="F1305" s="37" t="s">
        <v>150</v>
      </c>
      <c r="G1305" s="30" t="s">
        <v>6892</v>
      </c>
      <c r="H1305" s="30" t="s">
        <v>145</v>
      </c>
      <c r="I1305" s="30" t="s">
        <v>145</v>
      </c>
      <c r="J1305" s="30" t="s">
        <v>145</v>
      </c>
      <c r="K1305" s="30" t="s">
        <v>145</v>
      </c>
      <c r="L1305" s="30" t="s">
        <v>145</v>
      </c>
      <c r="M1305" s="30" t="s">
        <v>145</v>
      </c>
      <c r="N1305" s="30" t="s">
        <v>145</v>
      </c>
      <c r="O1305" s="30" t="s">
        <v>145</v>
      </c>
      <c r="P1305" s="30" t="s">
        <v>145</v>
      </c>
      <c r="Q1305" s="30" t="s">
        <v>177</v>
      </c>
    </row>
    <row r="1306" hidden="1">
      <c r="A1306" s="33" t="s">
        <v>6270</v>
      </c>
      <c r="B1306" s="30" t="s">
        <v>139</v>
      </c>
      <c r="C1306" s="30" t="s">
        <v>177</v>
      </c>
      <c r="D1306" s="30" t="s">
        <v>177</v>
      </c>
      <c r="E1306" s="35">
        <v>42377.0</v>
      </c>
      <c r="F1306" s="37" t="s">
        <v>150</v>
      </c>
      <c r="G1306" s="30" t="s">
        <v>6892</v>
      </c>
      <c r="H1306" s="30" t="s">
        <v>145</v>
      </c>
      <c r="I1306" s="30" t="s">
        <v>145</v>
      </c>
      <c r="J1306" s="30" t="s">
        <v>145</v>
      </c>
      <c r="K1306" s="30" t="s">
        <v>145</v>
      </c>
      <c r="L1306" s="30" t="s">
        <v>145</v>
      </c>
      <c r="M1306" s="30" t="s">
        <v>145</v>
      </c>
      <c r="N1306" s="30" t="s">
        <v>145</v>
      </c>
      <c r="O1306" s="30" t="s">
        <v>145</v>
      </c>
      <c r="P1306" s="30" t="s">
        <v>145</v>
      </c>
      <c r="Q1306" s="30" t="s">
        <v>177</v>
      </c>
    </row>
    <row r="1307" hidden="1">
      <c r="A1307" s="33" t="s">
        <v>6273</v>
      </c>
      <c r="B1307" s="30" t="s">
        <v>139</v>
      </c>
      <c r="C1307" s="30" t="s">
        <v>1400</v>
      </c>
      <c r="D1307" s="30" t="s">
        <v>1400</v>
      </c>
      <c r="E1307" s="35">
        <v>42377.0</v>
      </c>
      <c r="F1307" s="37" t="s">
        <v>150</v>
      </c>
      <c r="G1307" s="30" t="s">
        <v>6907</v>
      </c>
      <c r="H1307" s="30" t="s">
        <v>145</v>
      </c>
      <c r="I1307" s="30" t="s">
        <v>145</v>
      </c>
      <c r="J1307" s="30" t="s">
        <v>145</v>
      </c>
      <c r="K1307" s="30" t="s">
        <v>145</v>
      </c>
      <c r="L1307" s="30" t="s">
        <v>145</v>
      </c>
      <c r="M1307" s="30" t="s">
        <v>145</v>
      </c>
      <c r="N1307" s="30" t="s">
        <v>145</v>
      </c>
      <c r="O1307" s="30" t="s">
        <v>145</v>
      </c>
      <c r="P1307" s="30" t="s">
        <v>145</v>
      </c>
      <c r="Q1307" s="30" t="s">
        <v>1400</v>
      </c>
    </row>
    <row r="1308" hidden="1">
      <c r="A1308" s="33" t="s">
        <v>6275</v>
      </c>
      <c r="B1308" s="30" t="s">
        <v>139</v>
      </c>
      <c r="C1308" s="30" t="s">
        <v>216</v>
      </c>
      <c r="D1308" s="30" t="s">
        <v>216</v>
      </c>
      <c r="E1308" s="35">
        <v>42377.0</v>
      </c>
      <c r="F1308" s="37" t="s">
        <v>150</v>
      </c>
      <c r="G1308" s="30" t="s">
        <v>6909</v>
      </c>
      <c r="H1308" s="30" t="s">
        <v>145</v>
      </c>
      <c r="I1308" s="30" t="s">
        <v>145</v>
      </c>
      <c r="J1308" s="30" t="s">
        <v>145</v>
      </c>
      <c r="K1308" s="30" t="s">
        <v>145</v>
      </c>
      <c r="L1308" s="30" t="s">
        <v>145</v>
      </c>
      <c r="M1308" s="30" t="s">
        <v>145</v>
      </c>
      <c r="N1308" s="30" t="s">
        <v>145</v>
      </c>
      <c r="O1308" s="30" t="s">
        <v>145</v>
      </c>
      <c r="P1308" s="30" t="s">
        <v>145</v>
      </c>
      <c r="Q1308" s="30" t="s">
        <v>216</v>
      </c>
    </row>
    <row r="1309" hidden="1">
      <c r="A1309" s="33" t="s">
        <v>6278</v>
      </c>
      <c r="B1309" s="30" t="s">
        <v>139</v>
      </c>
      <c r="C1309" s="30" t="s">
        <v>216</v>
      </c>
      <c r="D1309" s="30" t="s">
        <v>216</v>
      </c>
      <c r="E1309" s="35">
        <v>42377.0</v>
      </c>
      <c r="F1309" s="37" t="s">
        <v>150</v>
      </c>
      <c r="G1309" s="30" t="s">
        <v>6909</v>
      </c>
      <c r="H1309" s="30" t="s">
        <v>145</v>
      </c>
      <c r="I1309" s="30" t="s">
        <v>145</v>
      </c>
      <c r="J1309" s="30" t="s">
        <v>145</v>
      </c>
      <c r="K1309" s="30" t="s">
        <v>145</v>
      </c>
      <c r="L1309" s="30" t="s">
        <v>145</v>
      </c>
      <c r="M1309" s="30" t="s">
        <v>145</v>
      </c>
      <c r="N1309" s="30" t="s">
        <v>145</v>
      </c>
      <c r="O1309" s="30" t="s">
        <v>145</v>
      </c>
      <c r="P1309" s="30" t="s">
        <v>145</v>
      </c>
      <c r="Q1309" s="30" t="s">
        <v>216</v>
      </c>
    </row>
    <row r="1310" hidden="1">
      <c r="A1310" s="33" t="s">
        <v>6280</v>
      </c>
      <c r="B1310" s="30" t="s">
        <v>139</v>
      </c>
      <c r="C1310" s="30" t="s">
        <v>609</v>
      </c>
      <c r="D1310" s="30" t="s">
        <v>609</v>
      </c>
      <c r="E1310" s="35">
        <v>42377.0</v>
      </c>
      <c r="F1310" s="37" t="s">
        <v>150</v>
      </c>
      <c r="G1310" s="30" t="s">
        <v>6912</v>
      </c>
      <c r="H1310" s="30" t="s">
        <v>145</v>
      </c>
      <c r="I1310" s="30" t="s">
        <v>145</v>
      </c>
      <c r="J1310" s="30" t="s">
        <v>145</v>
      </c>
      <c r="K1310" s="30" t="s">
        <v>145</v>
      </c>
      <c r="L1310" s="30" t="s">
        <v>145</v>
      </c>
      <c r="M1310" s="30" t="s">
        <v>145</v>
      </c>
      <c r="N1310" s="30" t="s">
        <v>145</v>
      </c>
      <c r="O1310" s="30" t="s">
        <v>145</v>
      </c>
      <c r="P1310" s="30" t="s">
        <v>145</v>
      </c>
      <c r="Q1310" s="30" t="s">
        <v>609</v>
      </c>
    </row>
    <row r="1311" hidden="1">
      <c r="A1311" s="33" t="s">
        <v>6283</v>
      </c>
      <c r="B1311" s="30" t="s">
        <v>139</v>
      </c>
      <c r="C1311" s="30" t="s">
        <v>609</v>
      </c>
      <c r="D1311" s="30" t="s">
        <v>609</v>
      </c>
      <c r="E1311" s="35">
        <v>42377.0</v>
      </c>
      <c r="F1311" s="37" t="s">
        <v>150</v>
      </c>
      <c r="G1311" s="30" t="s">
        <v>6912</v>
      </c>
      <c r="H1311" s="30" t="s">
        <v>145</v>
      </c>
      <c r="I1311" s="30" t="s">
        <v>145</v>
      </c>
      <c r="J1311" s="30" t="s">
        <v>145</v>
      </c>
      <c r="K1311" s="30" t="s">
        <v>145</v>
      </c>
      <c r="L1311" s="30" t="s">
        <v>145</v>
      </c>
      <c r="M1311" s="30" t="s">
        <v>145</v>
      </c>
      <c r="N1311" s="30" t="s">
        <v>145</v>
      </c>
      <c r="O1311" s="30" t="s">
        <v>145</v>
      </c>
      <c r="P1311" s="30" t="s">
        <v>145</v>
      </c>
      <c r="Q1311" s="30" t="s">
        <v>609</v>
      </c>
    </row>
    <row r="1312" hidden="1">
      <c r="A1312" s="33" t="s">
        <v>6286</v>
      </c>
      <c r="B1312" s="30" t="s">
        <v>139</v>
      </c>
      <c r="C1312" s="30" t="s">
        <v>609</v>
      </c>
      <c r="D1312" s="30" t="s">
        <v>609</v>
      </c>
      <c r="E1312" s="35">
        <v>42377.0</v>
      </c>
      <c r="F1312" s="37" t="s">
        <v>150</v>
      </c>
      <c r="G1312" s="30" t="s">
        <v>6912</v>
      </c>
      <c r="H1312" s="30" t="s">
        <v>145</v>
      </c>
      <c r="I1312" s="30" t="s">
        <v>145</v>
      </c>
      <c r="J1312" s="30" t="s">
        <v>145</v>
      </c>
      <c r="K1312" s="30" t="s">
        <v>145</v>
      </c>
      <c r="L1312" s="30" t="s">
        <v>145</v>
      </c>
      <c r="M1312" s="30" t="s">
        <v>145</v>
      </c>
      <c r="N1312" s="30" t="s">
        <v>145</v>
      </c>
      <c r="O1312" s="30" t="s">
        <v>145</v>
      </c>
      <c r="P1312" s="30" t="s">
        <v>145</v>
      </c>
      <c r="Q1312" s="30" t="s">
        <v>609</v>
      </c>
    </row>
    <row r="1313" hidden="1">
      <c r="A1313" s="33" t="s">
        <v>6290</v>
      </c>
      <c r="B1313" s="30" t="s">
        <v>139</v>
      </c>
      <c r="C1313" s="30" t="s">
        <v>609</v>
      </c>
      <c r="D1313" s="30" t="s">
        <v>609</v>
      </c>
      <c r="E1313" s="35">
        <v>42377.0</v>
      </c>
      <c r="F1313" s="37" t="s">
        <v>150</v>
      </c>
      <c r="G1313" s="30" t="s">
        <v>6912</v>
      </c>
      <c r="H1313" s="30" t="s">
        <v>145</v>
      </c>
      <c r="I1313" s="30" t="s">
        <v>145</v>
      </c>
      <c r="J1313" s="30" t="s">
        <v>145</v>
      </c>
      <c r="K1313" s="30" t="s">
        <v>145</v>
      </c>
      <c r="L1313" s="30" t="s">
        <v>145</v>
      </c>
      <c r="M1313" s="30" t="s">
        <v>145</v>
      </c>
      <c r="N1313" s="30" t="s">
        <v>145</v>
      </c>
      <c r="O1313" s="30" t="s">
        <v>145</v>
      </c>
      <c r="P1313" s="30" t="s">
        <v>145</v>
      </c>
      <c r="Q1313" s="30" t="s">
        <v>609</v>
      </c>
    </row>
    <row r="1314" hidden="1">
      <c r="A1314" s="33" t="s">
        <v>6292</v>
      </c>
      <c r="B1314" s="30" t="s">
        <v>139</v>
      </c>
      <c r="C1314" s="30" t="s">
        <v>609</v>
      </c>
      <c r="D1314" s="30" t="s">
        <v>609</v>
      </c>
      <c r="E1314" s="35">
        <v>42377.0</v>
      </c>
      <c r="F1314" s="37" t="s">
        <v>150</v>
      </c>
      <c r="G1314" s="30" t="s">
        <v>6912</v>
      </c>
      <c r="H1314" s="30" t="s">
        <v>145</v>
      </c>
      <c r="I1314" s="30" t="s">
        <v>145</v>
      </c>
      <c r="J1314" s="30" t="s">
        <v>145</v>
      </c>
      <c r="K1314" s="30" t="s">
        <v>145</v>
      </c>
      <c r="L1314" s="30" t="s">
        <v>145</v>
      </c>
      <c r="M1314" s="30" t="s">
        <v>145</v>
      </c>
      <c r="N1314" s="30" t="s">
        <v>145</v>
      </c>
      <c r="O1314" s="30" t="s">
        <v>145</v>
      </c>
      <c r="P1314" s="30" t="s">
        <v>145</v>
      </c>
      <c r="Q1314" s="30" t="s">
        <v>609</v>
      </c>
    </row>
    <row r="1315" hidden="1">
      <c r="A1315" s="33" t="s">
        <v>6295</v>
      </c>
      <c r="B1315" s="30" t="s">
        <v>139</v>
      </c>
      <c r="C1315" s="30" t="s">
        <v>609</v>
      </c>
      <c r="D1315" s="30" t="s">
        <v>609</v>
      </c>
      <c r="E1315" s="35">
        <v>42377.0</v>
      </c>
      <c r="F1315" s="37" t="s">
        <v>150</v>
      </c>
      <c r="G1315" s="30" t="s">
        <v>6912</v>
      </c>
      <c r="H1315" s="30" t="s">
        <v>145</v>
      </c>
      <c r="I1315" s="30" t="s">
        <v>145</v>
      </c>
      <c r="J1315" s="30" t="s">
        <v>145</v>
      </c>
      <c r="K1315" s="30" t="s">
        <v>145</v>
      </c>
      <c r="L1315" s="30" t="s">
        <v>145</v>
      </c>
      <c r="M1315" s="30" t="s">
        <v>145</v>
      </c>
      <c r="N1315" s="30" t="s">
        <v>145</v>
      </c>
      <c r="O1315" s="30" t="s">
        <v>145</v>
      </c>
      <c r="P1315" s="30" t="s">
        <v>145</v>
      </c>
      <c r="Q1315" s="30" t="s">
        <v>609</v>
      </c>
    </row>
    <row r="1316" hidden="1">
      <c r="A1316" s="33" t="s">
        <v>6297</v>
      </c>
      <c r="B1316" s="30" t="s">
        <v>139</v>
      </c>
      <c r="C1316" s="30" t="s">
        <v>216</v>
      </c>
      <c r="D1316" s="30" t="s">
        <v>216</v>
      </c>
      <c r="E1316" s="35">
        <v>42376.0</v>
      </c>
      <c r="F1316" s="37" t="s">
        <v>150</v>
      </c>
      <c r="G1316" s="30" t="s">
        <v>6927</v>
      </c>
      <c r="H1316" s="30" t="s">
        <v>145</v>
      </c>
      <c r="I1316" s="30" t="s">
        <v>145</v>
      </c>
      <c r="J1316" s="30" t="s">
        <v>145</v>
      </c>
      <c r="K1316" s="30" t="s">
        <v>145</v>
      </c>
      <c r="L1316" s="30" t="s">
        <v>145</v>
      </c>
      <c r="M1316" s="30" t="s">
        <v>145</v>
      </c>
      <c r="N1316" s="30" t="s">
        <v>145</v>
      </c>
      <c r="O1316" s="30" t="s">
        <v>145</v>
      </c>
      <c r="P1316" s="30" t="s">
        <v>145</v>
      </c>
      <c r="Q1316" s="30" t="s">
        <v>216</v>
      </c>
    </row>
    <row r="1317" hidden="1">
      <c r="A1317" s="33" t="s">
        <v>6302</v>
      </c>
      <c r="B1317" s="30" t="s">
        <v>139</v>
      </c>
      <c r="C1317" s="30" t="s">
        <v>177</v>
      </c>
      <c r="D1317" s="30" t="s">
        <v>177</v>
      </c>
      <c r="E1317" s="35">
        <v>42375.0</v>
      </c>
      <c r="F1317" s="37" t="s">
        <v>150</v>
      </c>
      <c r="G1317" s="30" t="s">
        <v>6930</v>
      </c>
      <c r="H1317" s="30" t="s">
        <v>145</v>
      </c>
      <c r="I1317" s="30" t="s">
        <v>145</v>
      </c>
      <c r="J1317" s="30" t="s">
        <v>145</v>
      </c>
      <c r="K1317" s="30" t="s">
        <v>145</v>
      </c>
      <c r="L1317" s="30" t="s">
        <v>145</v>
      </c>
      <c r="M1317" s="30" t="s">
        <v>145</v>
      </c>
      <c r="N1317" s="30" t="s">
        <v>145</v>
      </c>
      <c r="O1317" s="30" t="s">
        <v>145</v>
      </c>
      <c r="P1317" s="30" t="s">
        <v>145</v>
      </c>
      <c r="Q1317" s="30" t="s">
        <v>177</v>
      </c>
    </row>
    <row r="1318" hidden="1">
      <c r="A1318" s="33" t="s">
        <v>6304</v>
      </c>
      <c r="B1318" s="30" t="s">
        <v>139</v>
      </c>
      <c r="C1318" s="30" t="s">
        <v>177</v>
      </c>
      <c r="D1318" s="30" t="s">
        <v>177</v>
      </c>
      <c r="E1318" s="35">
        <v>42375.0</v>
      </c>
      <c r="F1318" s="37" t="s">
        <v>150</v>
      </c>
      <c r="G1318" s="30" t="s">
        <v>6930</v>
      </c>
      <c r="H1318" s="30" t="s">
        <v>145</v>
      </c>
      <c r="I1318" s="30" t="s">
        <v>145</v>
      </c>
      <c r="J1318" s="30" t="s">
        <v>145</v>
      </c>
      <c r="K1318" s="30" t="s">
        <v>145</v>
      </c>
      <c r="L1318" s="30" t="s">
        <v>145</v>
      </c>
      <c r="M1318" s="30" t="s">
        <v>145</v>
      </c>
      <c r="N1318" s="30" t="s">
        <v>145</v>
      </c>
      <c r="O1318" s="30" t="s">
        <v>145</v>
      </c>
      <c r="P1318" s="30" t="s">
        <v>145</v>
      </c>
      <c r="Q1318" s="30" t="s">
        <v>177</v>
      </c>
    </row>
    <row r="1319" hidden="1">
      <c r="A1319" s="33" t="s">
        <v>6309</v>
      </c>
      <c r="B1319" s="30" t="s">
        <v>139</v>
      </c>
      <c r="C1319" s="30" t="s">
        <v>177</v>
      </c>
      <c r="D1319" s="30" t="s">
        <v>177</v>
      </c>
      <c r="E1319" s="35">
        <v>42375.0</v>
      </c>
      <c r="F1319" s="37" t="s">
        <v>150</v>
      </c>
      <c r="G1319" s="30" t="s">
        <v>6930</v>
      </c>
      <c r="H1319" s="30" t="s">
        <v>145</v>
      </c>
      <c r="I1319" s="30" t="s">
        <v>145</v>
      </c>
      <c r="J1319" s="30" t="s">
        <v>145</v>
      </c>
      <c r="K1319" s="30" t="s">
        <v>145</v>
      </c>
      <c r="L1319" s="30" t="s">
        <v>145</v>
      </c>
      <c r="M1319" s="30" t="s">
        <v>145</v>
      </c>
      <c r="N1319" s="30" t="s">
        <v>145</v>
      </c>
      <c r="O1319" s="30" t="s">
        <v>145</v>
      </c>
      <c r="P1319" s="30" t="s">
        <v>145</v>
      </c>
      <c r="Q1319" s="30" t="s">
        <v>177</v>
      </c>
    </row>
    <row r="1320" hidden="1">
      <c r="A1320" s="33" t="s">
        <v>6311</v>
      </c>
      <c r="B1320" s="30" t="s">
        <v>139</v>
      </c>
      <c r="C1320" s="30" t="s">
        <v>609</v>
      </c>
      <c r="D1320" s="30" t="s">
        <v>609</v>
      </c>
      <c r="E1320" s="35">
        <v>42375.0</v>
      </c>
      <c r="F1320" s="37" t="s">
        <v>150</v>
      </c>
      <c r="G1320" s="30" t="s">
        <v>6936</v>
      </c>
      <c r="H1320" s="30" t="s">
        <v>145</v>
      </c>
      <c r="I1320" s="30" t="s">
        <v>145</v>
      </c>
      <c r="J1320" s="30" t="s">
        <v>145</v>
      </c>
      <c r="K1320" s="30" t="s">
        <v>145</v>
      </c>
      <c r="L1320" s="30" t="s">
        <v>145</v>
      </c>
      <c r="M1320" s="30" t="s">
        <v>145</v>
      </c>
      <c r="N1320" s="30" t="s">
        <v>145</v>
      </c>
      <c r="O1320" s="30" t="s">
        <v>145</v>
      </c>
      <c r="P1320" s="30" t="s">
        <v>145</v>
      </c>
      <c r="Q1320" s="30" t="s">
        <v>609</v>
      </c>
    </row>
    <row r="1321" hidden="1">
      <c r="A1321" s="33" t="s">
        <v>6313</v>
      </c>
      <c r="B1321" s="30" t="s">
        <v>139</v>
      </c>
      <c r="C1321" s="30" t="s">
        <v>177</v>
      </c>
      <c r="D1321" s="30" t="s">
        <v>177</v>
      </c>
      <c r="E1321" s="35">
        <v>42374.0</v>
      </c>
      <c r="F1321" s="37" t="s">
        <v>150</v>
      </c>
      <c r="G1321" s="30" t="s">
        <v>6940</v>
      </c>
      <c r="H1321" s="30" t="s">
        <v>145</v>
      </c>
      <c r="I1321" s="30" t="s">
        <v>145</v>
      </c>
      <c r="J1321" s="30" t="s">
        <v>145</v>
      </c>
      <c r="K1321" s="30" t="s">
        <v>145</v>
      </c>
      <c r="L1321" s="30" t="s">
        <v>145</v>
      </c>
      <c r="M1321" s="30" t="s">
        <v>145</v>
      </c>
      <c r="N1321" s="30" t="s">
        <v>145</v>
      </c>
      <c r="O1321" s="30" t="s">
        <v>145</v>
      </c>
      <c r="P1321" s="30" t="s">
        <v>145</v>
      </c>
      <c r="Q1321" s="30" t="s">
        <v>177</v>
      </c>
    </row>
    <row r="1322" hidden="1">
      <c r="A1322" s="33" t="s">
        <v>6317</v>
      </c>
      <c r="B1322" s="30" t="s">
        <v>139</v>
      </c>
      <c r="C1322" s="30" t="s">
        <v>177</v>
      </c>
      <c r="D1322" s="30" t="s">
        <v>177</v>
      </c>
      <c r="E1322" s="35">
        <v>42374.0</v>
      </c>
      <c r="F1322" s="37" t="s">
        <v>150</v>
      </c>
      <c r="G1322" s="30" t="s">
        <v>6940</v>
      </c>
      <c r="H1322" s="30" t="s">
        <v>145</v>
      </c>
      <c r="I1322" s="30" t="s">
        <v>145</v>
      </c>
      <c r="J1322" s="30" t="s">
        <v>145</v>
      </c>
      <c r="K1322" s="30" t="s">
        <v>145</v>
      </c>
      <c r="L1322" s="30" t="s">
        <v>145</v>
      </c>
      <c r="M1322" s="30" t="s">
        <v>145</v>
      </c>
      <c r="N1322" s="30" t="s">
        <v>145</v>
      </c>
      <c r="O1322" s="30" t="s">
        <v>145</v>
      </c>
      <c r="P1322" s="30" t="s">
        <v>145</v>
      </c>
      <c r="Q1322" s="30" t="s">
        <v>177</v>
      </c>
    </row>
    <row r="1323" hidden="1">
      <c r="A1323" s="33" t="s">
        <v>6319</v>
      </c>
      <c r="B1323" s="30" t="s">
        <v>139</v>
      </c>
      <c r="C1323" s="30" t="s">
        <v>177</v>
      </c>
      <c r="D1323" s="30" t="s">
        <v>177</v>
      </c>
      <c r="E1323" s="35">
        <v>42374.0</v>
      </c>
      <c r="F1323" s="37" t="s">
        <v>150</v>
      </c>
      <c r="G1323" s="30" t="s">
        <v>6940</v>
      </c>
      <c r="H1323" s="30" t="s">
        <v>145</v>
      </c>
      <c r="I1323" s="30" t="s">
        <v>145</v>
      </c>
      <c r="J1323" s="30" t="s">
        <v>145</v>
      </c>
      <c r="K1323" s="30" t="s">
        <v>145</v>
      </c>
      <c r="L1323" s="30" t="s">
        <v>145</v>
      </c>
      <c r="M1323" s="30" t="s">
        <v>145</v>
      </c>
      <c r="N1323" s="30" t="s">
        <v>145</v>
      </c>
      <c r="O1323" s="30" t="s">
        <v>145</v>
      </c>
      <c r="P1323" s="30" t="s">
        <v>145</v>
      </c>
      <c r="Q1323" s="30" t="s">
        <v>177</v>
      </c>
    </row>
    <row r="1324" hidden="1">
      <c r="A1324" s="33" t="s">
        <v>6322</v>
      </c>
      <c r="B1324" s="30" t="s">
        <v>139</v>
      </c>
      <c r="C1324" s="30" t="s">
        <v>244</v>
      </c>
      <c r="D1324" s="30" t="s">
        <v>244</v>
      </c>
      <c r="E1324" s="35">
        <v>42374.0</v>
      </c>
      <c r="F1324" s="37" t="s">
        <v>150</v>
      </c>
      <c r="G1324" s="30" t="s">
        <v>6946</v>
      </c>
      <c r="H1324" s="30" t="s">
        <v>145</v>
      </c>
      <c r="I1324" s="30" t="s">
        <v>145</v>
      </c>
      <c r="J1324" s="30" t="s">
        <v>145</v>
      </c>
      <c r="K1324" s="30" t="s">
        <v>145</v>
      </c>
      <c r="L1324" s="30" t="s">
        <v>145</v>
      </c>
      <c r="M1324" s="30" t="s">
        <v>145</v>
      </c>
      <c r="N1324" s="30" t="s">
        <v>145</v>
      </c>
      <c r="O1324" s="30" t="s">
        <v>145</v>
      </c>
      <c r="P1324" s="30" t="s">
        <v>145</v>
      </c>
      <c r="Q1324" s="30" t="s">
        <v>244</v>
      </c>
    </row>
    <row r="1325" hidden="1">
      <c r="A1325" s="33" t="s">
        <v>6324</v>
      </c>
      <c r="B1325" s="30" t="s">
        <v>139</v>
      </c>
      <c r="C1325" s="30" t="s">
        <v>609</v>
      </c>
      <c r="D1325" s="30" t="s">
        <v>609</v>
      </c>
      <c r="E1325" s="35">
        <v>42374.0</v>
      </c>
      <c r="F1325" s="37" t="s">
        <v>150</v>
      </c>
      <c r="G1325" s="30" t="s">
        <v>6950</v>
      </c>
      <c r="H1325" s="30" t="s">
        <v>145</v>
      </c>
      <c r="I1325" s="30" t="s">
        <v>145</v>
      </c>
      <c r="J1325" s="30" t="s">
        <v>145</v>
      </c>
      <c r="K1325" s="30" t="s">
        <v>145</v>
      </c>
      <c r="L1325" s="30" t="s">
        <v>145</v>
      </c>
      <c r="M1325" s="30" t="s">
        <v>145</v>
      </c>
      <c r="N1325" s="30" t="s">
        <v>145</v>
      </c>
      <c r="O1325" s="30" t="s">
        <v>145</v>
      </c>
      <c r="P1325" s="30" t="s">
        <v>145</v>
      </c>
      <c r="Q1325" s="30" t="s">
        <v>609</v>
      </c>
    </row>
    <row r="1326" hidden="1">
      <c r="A1326" s="33" t="s">
        <v>6327</v>
      </c>
      <c r="B1326" s="30" t="s">
        <v>139</v>
      </c>
      <c r="C1326" s="30" t="s">
        <v>1400</v>
      </c>
      <c r="D1326" s="30" t="s">
        <v>1400</v>
      </c>
      <c r="E1326" s="35">
        <v>42373.0</v>
      </c>
      <c r="F1326" s="37" t="s">
        <v>150</v>
      </c>
      <c r="G1326" s="30" t="s">
        <v>6954</v>
      </c>
      <c r="H1326" s="30" t="s">
        <v>145</v>
      </c>
      <c r="I1326" s="30" t="s">
        <v>145</v>
      </c>
      <c r="J1326" s="30" t="s">
        <v>145</v>
      </c>
      <c r="K1326" s="30" t="s">
        <v>145</v>
      </c>
      <c r="L1326" s="30" t="s">
        <v>145</v>
      </c>
      <c r="M1326" s="30" t="s">
        <v>145</v>
      </c>
      <c r="N1326" s="30" t="s">
        <v>145</v>
      </c>
      <c r="O1326" s="30" t="s">
        <v>145</v>
      </c>
      <c r="P1326" s="30" t="s">
        <v>145</v>
      </c>
      <c r="Q1326" s="30" t="s">
        <v>1400</v>
      </c>
    </row>
    <row r="1327" hidden="1">
      <c r="A1327" s="33" t="s">
        <v>6330</v>
      </c>
      <c r="B1327" s="30" t="s">
        <v>139</v>
      </c>
      <c r="C1327" s="30" t="s">
        <v>609</v>
      </c>
      <c r="D1327" s="30" t="s">
        <v>609</v>
      </c>
      <c r="E1327" s="35">
        <v>42373.0</v>
      </c>
      <c r="F1327" s="37" t="s">
        <v>150</v>
      </c>
      <c r="G1327" s="30" t="s">
        <v>6956</v>
      </c>
      <c r="H1327" s="30" t="s">
        <v>145</v>
      </c>
      <c r="I1327" s="30" t="s">
        <v>145</v>
      </c>
      <c r="J1327" s="30" t="s">
        <v>145</v>
      </c>
      <c r="K1327" s="30" t="s">
        <v>145</v>
      </c>
      <c r="L1327" s="30" t="s">
        <v>145</v>
      </c>
      <c r="M1327" s="30" t="s">
        <v>145</v>
      </c>
      <c r="N1327" s="30" t="s">
        <v>145</v>
      </c>
      <c r="O1327" s="30" t="s">
        <v>145</v>
      </c>
      <c r="P1327" s="30" t="s">
        <v>145</v>
      </c>
      <c r="Q1327" s="30" t="s">
        <v>609</v>
      </c>
    </row>
    <row r="1328" hidden="1">
      <c r="A1328" s="33" t="s">
        <v>6333</v>
      </c>
      <c r="B1328" s="30" t="s">
        <v>139</v>
      </c>
      <c r="C1328" s="30" t="s">
        <v>216</v>
      </c>
      <c r="D1328" s="30" t="s">
        <v>216</v>
      </c>
      <c r="E1328" s="35">
        <v>42373.0</v>
      </c>
      <c r="F1328" s="37" t="s">
        <v>150</v>
      </c>
      <c r="G1328" s="30" t="s">
        <v>6958</v>
      </c>
      <c r="H1328" s="30" t="s">
        <v>145</v>
      </c>
      <c r="I1328" s="30" t="s">
        <v>145</v>
      </c>
      <c r="J1328" s="30" t="s">
        <v>145</v>
      </c>
      <c r="K1328" s="30" t="s">
        <v>145</v>
      </c>
      <c r="L1328" s="30" t="s">
        <v>145</v>
      </c>
      <c r="M1328" s="30" t="s">
        <v>145</v>
      </c>
      <c r="N1328" s="30" t="s">
        <v>145</v>
      </c>
      <c r="O1328" s="30" t="s">
        <v>145</v>
      </c>
      <c r="P1328" s="30" t="s">
        <v>145</v>
      </c>
      <c r="Q1328" s="30" t="s">
        <v>216</v>
      </c>
    </row>
    <row r="1329" hidden="1">
      <c r="A1329" s="33" t="s">
        <v>6336</v>
      </c>
      <c r="B1329" s="30" t="s">
        <v>139</v>
      </c>
      <c r="C1329" s="30" t="s">
        <v>216</v>
      </c>
      <c r="D1329" s="30" t="s">
        <v>216</v>
      </c>
      <c r="E1329" s="35">
        <v>42373.0</v>
      </c>
      <c r="F1329" s="37" t="s">
        <v>150</v>
      </c>
      <c r="G1329" s="30" t="s">
        <v>6958</v>
      </c>
      <c r="H1329" s="30" t="s">
        <v>145</v>
      </c>
      <c r="I1329" s="30" t="s">
        <v>145</v>
      </c>
      <c r="J1329" s="30" t="s">
        <v>145</v>
      </c>
      <c r="K1329" s="30" t="s">
        <v>145</v>
      </c>
      <c r="L1329" s="30" t="s">
        <v>145</v>
      </c>
      <c r="M1329" s="30" t="s">
        <v>145</v>
      </c>
      <c r="N1329" s="30" t="s">
        <v>145</v>
      </c>
      <c r="O1329" s="30" t="s">
        <v>145</v>
      </c>
      <c r="P1329" s="30" t="s">
        <v>145</v>
      </c>
      <c r="Q1329" s="30" t="s">
        <v>216</v>
      </c>
    </row>
    <row r="1330" hidden="1">
      <c r="A1330" s="33" t="s">
        <v>6338</v>
      </c>
      <c r="B1330" s="30" t="s">
        <v>139</v>
      </c>
      <c r="C1330" s="30" t="s">
        <v>216</v>
      </c>
      <c r="D1330" s="30" t="s">
        <v>216</v>
      </c>
      <c r="E1330" s="35">
        <v>42373.0</v>
      </c>
      <c r="F1330" s="37" t="s">
        <v>150</v>
      </c>
      <c r="G1330" s="30" t="s">
        <v>6958</v>
      </c>
      <c r="H1330" s="30" t="s">
        <v>145</v>
      </c>
      <c r="I1330" s="30" t="s">
        <v>145</v>
      </c>
      <c r="J1330" s="30" t="s">
        <v>145</v>
      </c>
      <c r="K1330" s="30" t="s">
        <v>145</v>
      </c>
      <c r="L1330" s="30" t="s">
        <v>145</v>
      </c>
      <c r="M1330" s="30" t="s">
        <v>145</v>
      </c>
      <c r="N1330" s="30" t="s">
        <v>145</v>
      </c>
      <c r="O1330" s="30" t="s">
        <v>145</v>
      </c>
      <c r="P1330" s="30" t="s">
        <v>145</v>
      </c>
      <c r="Q1330" s="30" t="s">
        <v>216</v>
      </c>
    </row>
    <row r="1331" hidden="1">
      <c r="A1331" s="33" t="s">
        <v>6341</v>
      </c>
      <c r="B1331" s="30" t="s">
        <v>139</v>
      </c>
      <c r="C1331" s="30" t="s">
        <v>216</v>
      </c>
      <c r="D1331" s="30" t="s">
        <v>216</v>
      </c>
      <c r="E1331" s="35">
        <v>42372.0</v>
      </c>
      <c r="F1331" s="37" t="s">
        <v>150</v>
      </c>
      <c r="G1331" s="30" t="s">
        <v>6967</v>
      </c>
      <c r="H1331" s="30" t="s">
        <v>145</v>
      </c>
      <c r="I1331" s="30" t="s">
        <v>145</v>
      </c>
      <c r="J1331" s="30" t="s">
        <v>145</v>
      </c>
      <c r="K1331" s="30" t="s">
        <v>145</v>
      </c>
      <c r="L1331" s="30" t="s">
        <v>145</v>
      </c>
      <c r="M1331" s="30" t="s">
        <v>145</v>
      </c>
      <c r="N1331" s="30" t="s">
        <v>145</v>
      </c>
      <c r="O1331" s="30" t="s">
        <v>145</v>
      </c>
      <c r="P1331" s="30" t="s">
        <v>145</v>
      </c>
      <c r="Q1331" s="30" t="s">
        <v>216</v>
      </c>
    </row>
    <row r="1332" hidden="1">
      <c r="A1332" s="33" t="s">
        <v>6344</v>
      </c>
      <c r="B1332" s="30" t="s">
        <v>139</v>
      </c>
      <c r="C1332" s="30" t="s">
        <v>216</v>
      </c>
      <c r="D1332" s="30" t="s">
        <v>216</v>
      </c>
      <c r="E1332" s="35">
        <v>42372.0</v>
      </c>
      <c r="F1332" s="37" t="s">
        <v>150</v>
      </c>
      <c r="G1332" s="30" t="s">
        <v>6967</v>
      </c>
      <c r="H1332" s="30" t="s">
        <v>145</v>
      </c>
      <c r="I1332" s="30" t="s">
        <v>145</v>
      </c>
      <c r="J1332" s="30" t="s">
        <v>145</v>
      </c>
      <c r="K1332" s="30" t="s">
        <v>145</v>
      </c>
      <c r="L1332" s="30" t="s">
        <v>145</v>
      </c>
      <c r="M1332" s="30" t="s">
        <v>145</v>
      </c>
      <c r="N1332" s="30" t="s">
        <v>145</v>
      </c>
      <c r="O1332" s="30" t="s">
        <v>145</v>
      </c>
      <c r="P1332" s="30" t="s">
        <v>145</v>
      </c>
      <c r="Q1332" s="30" t="s">
        <v>216</v>
      </c>
    </row>
    <row r="1333" hidden="1">
      <c r="A1333" s="33" t="s">
        <v>6347</v>
      </c>
      <c r="B1333" s="30" t="s">
        <v>139</v>
      </c>
      <c r="C1333" s="30" t="s">
        <v>216</v>
      </c>
      <c r="D1333" s="30" t="s">
        <v>216</v>
      </c>
      <c r="E1333" s="35">
        <v>42372.0</v>
      </c>
      <c r="F1333" s="37" t="s">
        <v>150</v>
      </c>
      <c r="G1333" s="30" t="s">
        <v>6967</v>
      </c>
      <c r="H1333" s="30" t="s">
        <v>145</v>
      </c>
      <c r="I1333" s="30" t="s">
        <v>145</v>
      </c>
      <c r="J1333" s="30" t="s">
        <v>145</v>
      </c>
      <c r="K1333" s="30" t="s">
        <v>145</v>
      </c>
      <c r="L1333" s="30" t="s">
        <v>145</v>
      </c>
      <c r="M1333" s="30" t="s">
        <v>145</v>
      </c>
      <c r="N1333" s="30" t="s">
        <v>145</v>
      </c>
      <c r="O1333" s="30" t="s">
        <v>145</v>
      </c>
      <c r="P1333" s="30" t="s">
        <v>145</v>
      </c>
      <c r="Q1333" s="30" t="s">
        <v>216</v>
      </c>
    </row>
    <row r="1334" hidden="1">
      <c r="A1334" s="33" t="s">
        <v>6349</v>
      </c>
      <c r="B1334" s="30" t="s">
        <v>139</v>
      </c>
      <c r="C1334" s="30" t="s">
        <v>216</v>
      </c>
      <c r="D1334" s="30" t="s">
        <v>216</v>
      </c>
      <c r="E1334" s="35">
        <v>42372.0</v>
      </c>
      <c r="F1334" s="37" t="s">
        <v>150</v>
      </c>
      <c r="G1334" s="30" t="s">
        <v>6967</v>
      </c>
      <c r="H1334" s="30" t="s">
        <v>145</v>
      </c>
      <c r="I1334" s="30" t="s">
        <v>145</v>
      </c>
      <c r="J1334" s="30" t="s">
        <v>145</v>
      </c>
      <c r="K1334" s="30" t="s">
        <v>145</v>
      </c>
      <c r="L1334" s="30" t="s">
        <v>145</v>
      </c>
      <c r="M1334" s="30" t="s">
        <v>145</v>
      </c>
      <c r="N1334" s="30" t="s">
        <v>145</v>
      </c>
      <c r="O1334" s="30" t="s">
        <v>145</v>
      </c>
      <c r="P1334" s="30" t="s">
        <v>145</v>
      </c>
      <c r="Q1334" s="30" t="s">
        <v>216</v>
      </c>
    </row>
    <row r="1335" hidden="1">
      <c r="A1335" s="33" t="s">
        <v>6352</v>
      </c>
      <c r="B1335" s="30" t="s">
        <v>139</v>
      </c>
      <c r="C1335" s="30" t="s">
        <v>609</v>
      </c>
      <c r="D1335" s="30" t="s">
        <v>609</v>
      </c>
      <c r="E1335" s="35">
        <v>42372.0</v>
      </c>
      <c r="F1335" s="37" t="s">
        <v>150</v>
      </c>
      <c r="G1335" s="30" t="s">
        <v>6978</v>
      </c>
      <c r="H1335" s="30" t="s">
        <v>145</v>
      </c>
      <c r="I1335" s="30" t="s">
        <v>145</v>
      </c>
      <c r="J1335" s="30" t="s">
        <v>145</v>
      </c>
      <c r="K1335" s="30" t="s">
        <v>145</v>
      </c>
      <c r="L1335" s="30" t="s">
        <v>145</v>
      </c>
      <c r="M1335" s="30" t="s">
        <v>145</v>
      </c>
      <c r="N1335" s="30" t="s">
        <v>145</v>
      </c>
      <c r="O1335" s="30" t="s">
        <v>145</v>
      </c>
      <c r="P1335" s="30" t="s">
        <v>145</v>
      </c>
      <c r="Q1335" s="30" t="s">
        <v>609</v>
      </c>
    </row>
    <row r="1336" hidden="1">
      <c r="A1336" s="33" t="s">
        <v>6356</v>
      </c>
      <c r="B1336" s="30" t="s">
        <v>139</v>
      </c>
      <c r="C1336" s="30" t="s">
        <v>244</v>
      </c>
      <c r="D1336" s="30" t="s">
        <v>244</v>
      </c>
      <c r="E1336" s="35">
        <v>42371.0</v>
      </c>
      <c r="F1336" s="37" t="s">
        <v>150</v>
      </c>
      <c r="G1336" s="30" t="s">
        <v>6979</v>
      </c>
      <c r="H1336" s="30" t="s">
        <v>145</v>
      </c>
      <c r="I1336" s="30" t="s">
        <v>145</v>
      </c>
      <c r="J1336" s="30" t="s">
        <v>145</v>
      </c>
      <c r="K1336" s="30" t="s">
        <v>145</v>
      </c>
      <c r="L1336" s="30" t="s">
        <v>145</v>
      </c>
      <c r="M1336" s="30" t="s">
        <v>145</v>
      </c>
      <c r="N1336" s="30" t="s">
        <v>145</v>
      </c>
      <c r="O1336" s="30" t="s">
        <v>145</v>
      </c>
      <c r="P1336" s="30" t="s">
        <v>145</v>
      </c>
      <c r="Q1336" s="30" t="s">
        <v>244</v>
      </c>
    </row>
    <row r="1337" hidden="1">
      <c r="A1337" s="33" t="s">
        <v>6362</v>
      </c>
      <c r="B1337" s="30" t="s">
        <v>139</v>
      </c>
      <c r="C1337" s="30" t="s">
        <v>609</v>
      </c>
      <c r="D1337" s="30" t="s">
        <v>609</v>
      </c>
      <c r="E1337" s="35">
        <v>42371.0</v>
      </c>
      <c r="F1337" s="37" t="s">
        <v>150</v>
      </c>
      <c r="G1337" s="30" t="s">
        <v>6982</v>
      </c>
      <c r="H1337" s="30" t="s">
        <v>145</v>
      </c>
      <c r="I1337" s="30" t="s">
        <v>145</v>
      </c>
      <c r="J1337" s="30" t="s">
        <v>145</v>
      </c>
      <c r="K1337" s="30" t="s">
        <v>145</v>
      </c>
      <c r="L1337" s="30" t="s">
        <v>145</v>
      </c>
      <c r="M1337" s="30" t="s">
        <v>145</v>
      </c>
      <c r="N1337" s="30" t="s">
        <v>145</v>
      </c>
      <c r="O1337" s="30" t="s">
        <v>145</v>
      </c>
      <c r="P1337" s="30" t="s">
        <v>145</v>
      </c>
      <c r="Q1337" s="30" t="s">
        <v>609</v>
      </c>
    </row>
    <row r="1338" hidden="1">
      <c r="A1338" s="33" t="s">
        <v>6365</v>
      </c>
      <c r="B1338" s="30" t="s">
        <v>139</v>
      </c>
      <c r="C1338" s="30" t="s">
        <v>609</v>
      </c>
      <c r="D1338" s="30" t="s">
        <v>609</v>
      </c>
      <c r="E1338" s="35">
        <v>42371.0</v>
      </c>
      <c r="F1338" s="37" t="s">
        <v>150</v>
      </c>
      <c r="G1338" s="30" t="s">
        <v>6982</v>
      </c>
      <c r="H1338" s="30" t="s">
        <v>145</v>
      </c>
      <c r="I1338" s="30" t="s">
        <v>145</v>
      </c>
      <c r="J1338" s="30" t="s">
        <v>145</v>
      </c>
      <c r="K1338" s="30" t="s">
        <v>145</v>
      </c>
      <c r="L1338" s="30" t="s">
        <v>145</v>
      </c>
      <c r="M1338" s="30" t="s">
        <v>145</v>
      </c>
      <c r="N1338" s="30" t="s">
        <v>145</v>
      </c>
      <c r="O1338" s="30" t="s">
        <v>145</v>
      </c>
      <c r="P1338" s="30" t="s">
        <v>145</v>
      </c>
      <c r="Q1338" s="30" t="s">
        <v>609</v>
      </c>
    </row>
    <row r="1339" hidden="1">
      <c r="A1339" s="33" t="s">
        <v>6368</v>
      </c>
      <c r="B1339" s="30" t="s">
        <v>139</v>
      </c>
      <c r="C1339" s="30" t="s">
        <v>609</v>
      </c>
      <c r="D1339" s="30" t="s">
        <v>609</v>
      </c>
      <c r="E1339" s="35">
        <v>42371.0</v>
      </c>
      <c r="F1339" s="37" t="s">
        <v>150</v>
      </c>
      <c r="G1339" s="30" t="s">
        <v>6982</v>
      </c>
      <c r="H1339" s="30" t="s">
        <v>145</v>
      </c>
      <c r="I1339" s="30" t="s">
        <v>145</v>
      </c>
      <c r="J1339" s="30" t="s">
        <v>145</v>
      </c>
      <c r="K1339" s="30" t="s">
        <v>145</v>
      </c>
      <c r="L1339" s="30" t="s">
        <v>145</v>
      </c>
      <c r="M1339" s="30" t="s">
        <v>145</v>
      </c>
      <c r="N1339" s="30" t="s">
        <v>145</v>
      </c>
      <c r="O1339" s="30" t="s">
        <v>145</v>
      </c>
      <c r="P1339" s="30" t="s">
        <v>145</v>
      </c>
      <c r="Q1339" s="30" t="s">
        <v>609</v>
      </c>
    </row>
    <row r="1340" hidden="1">
      <c r="A1340" s="33" t="s">
        <v>6372</v>
      </c>
      <c r="B1340" s="30" t="s">
        <v>139</v>
      </c>
      <c r="C1340" s="30" t="s">
        <v>609</v>
      </c>
      <c r="D1340" s="30" t="s">
        <v>609</v>
      </c>
      <c r="E1340" s="35">
        <v>42371.0</v>
      </c>
      <c r="F1340" s="37" t="s">
        <v>150</v>
      </c>
      <c r="G1340" s="30" t="s">
        <v>6982</v>
      </c>
      <c r="H1340" s="30" t="s">
        <v>145</v>
      </c>
      <c r="I1340" s="30" t="s">
        <v>145</v>
      </c>
      <c r="J1340" s="30" t="s">
        <v>145</v>
      </c>
      <c r="K1340" s="30" t="s">
        <v>145</v>
      </c>
      <c r="L1340" s="30" t="s">
        <v>145</v>
      </c>
      <c r="M1340" s="30" t="s">
        <v>145</v>
      </c>
      <c r="N1340" s="30" t="s">
        <v>145</v>
      </c>
      <c r="O1340" s="30" t="s">
        <v>145</v>
      </c>
      <c r="P1340" s="30" t="s">
        <v>145</v>
      </c>
      <c r="Q1340" s="30" t="s">
        <v>609</v>
      </c>
    </row>
    <row r="1341" hidden="1">
      <c r="A1341" s="33" t="s">
        <v>6374</v>
      </c>
      <c r="B1341" s="30" t="s">
        <v>139</v>
      </c>
      <c r="C1341" s="30" t="s">
        <v>609</v>
      </c>
      <c r="D1341" s="30" t="s">
        <v>609</v>
      </c>
      <c r="E1341" s="35">
        <v>42371.0</v>
      </c>
      <c r="F1341" s="37" t="s">
        <v>150</v>
      </c>
      <c r="G1341" s="30" t="s">
        <v>6982</v>
      </c>
      <c r="H1341" s="30" t="s">
        <v>145</v>
      </c>
      <c r="I1341" s="30" t="s">
        <v>145</v>
      </c>
      <c r="J1341" s="30" t="s">
        <v>145</v>
      </c>
      <c r="K1341" s="30" t="s">
        <v>145</v>
      </c>
      <c r="L1341" s="30" t="s">
        <v>145</v>
      </c>
      <c r="M1341" s="30" t="s">
        <v>145</v>
      </c>
      <c r="N1341" s="30" t="s">
        <v>145</v>
      </c>
      <c r="O1341" s="30" t="s">
        <v>145</v>
      </c>
      <c r="P1341" s="30" t="s">
        <v>145</v>
      </c>
      <c r="Q1341" s="30" t="s">
        <v>609</v>
      </c>
    </row>
    <row r="1342" hidden="1">
      <c r="A1342" s="33" t="s">
        <v>6377</v>
      </c>
      <c r="B1342" s="30" t="s">
        <v>139</v>
      </c>
      <c r="C1342" s="30" t="s">
        <v>216</v>
      </c>
      <c r="D1342" s="30" t="s">
        <v>216</v>
      </c>
      <c r="E1342" s="35">
        <v>42371.0</v>
      </c>
      <c r="F1342" s="37" t="s">
        <v>150</v>
      </c>
      <c r="G1342" s="30" t="s">
        <v>6993</v>
      </c>
      <c r="H1342" s="30" t="s">
        <v>145</v>
      </c>
      <c r="I1342" s="30" t="s">
        <v>145</v>
      </c>
      <c r="J1342" s="30" t="s">
        <v>145</v>
      </c>
      <c r="K1342" s="30" t="s">
        <v>145</v>
      </c>
      <c r="L1342" s="30" t="s">
        <v>145</v>
      </c>
      <c r="M1342" s="30" t="s">
        <v>145</v>
      </c>
      <c r="N1342" s="30" t="s">
        <v>145</v>
      </c>
      <c r="O1342" s="30" t="s">
        <v>145</v>
      </c>
      <c r="P1342" s="30" t="s">
        <v>145</v>
      </c>
      <c r="Q1342" s="30" t="s">
        <v>216</v>
      </c>
    </row>
    <row r="1343" hidden="1">
      <c r="A1343" s="33" t="s">
        <v>6380</v>
      </c>
      <c r="B1343" s="30" t="s">
        <v>139</v>
      </c>
      <c r="C1343" s="30" t="s">
        <v>609</v>
      </c>
      <c r="D1343" s="30" t="s">
        <v>609</v>
      </c>
      <c r="E1343" s="35">
        <v>42370.0</v>
      </c>
      <c r="F1343" s="37" t="s">
        <v>150</v>
      </c>
      <c r="G1343" s="30" t="s">
        <v>6996</v>
      </c>
      <c r="H1343" s="30" t="s">
        <v>145</v>
      </c>
      <c r="I1343" s="30" t="s">
        <v>145</v>
      </c>
      <c r="J1343" s="30" t="s">
        <v>145</v>
      </c>
      <c r="K1343" s="30" t="s">
        <v>145</v>
      </c>
      <c r="L1343" s="30" t="s">
        <v>145</v>
      </c>
      <c r="M1343" s="30" t="s">
        <v>145</v>
      </c>
      <c r="N1343" s="30" t="s">
        <v>145</v>
      </c>
      <c r="O1343" s="30" t="s">
        <v>145</v>
      </c>
      <c r="P1343" s="30" t="s">
        <v>145</v>
      </c>
      <c r="Q1343" s="30" t="s">
        <v>609</v>
      </c>
    </row>
    <row r="1344" hidden="1">
      <c r="A1344" s="33" t="s">
        <v>6382</v>
      </c>
      <c r="B1344" s="30" t="s">
        <v>139</v>
      </c>
      <c r="C1344" s="30" t="s">
        <v>216</v>
      </c>
      <c r="D1344" s="30" t="s">
        <v>216</v>
      </c>
      <c r="E1344" s="35">
        <v>42370.0</v>
      </c>
      <c r="F1344" s="37" t="s">
        <v>150</v>
      </c>
      <c r="G1344" s="30" t="s">
        <v>6999</v>
      </c>
      <c r="H1344" s="30" t="s">
        <v>145</v>
      </c>
      <c r="I1344" s="30" t="s">
        <v>145</v>
      </c>
      <c r="J1344" s="30" t="s">
        <v>145</v>
      </c>
      <c r="K1344" s="30" t="s">
        <v>145</v>
      </c>
      <c r="L1344" s="30" t="s">
        <v>145</v>
      </c>
      <c r="M1344" s="30" t="s">
        <v>145</v>
      </c>
      <c r="N1344" s="30" t="s">
        <v>145</v>
      </c>
      <c r="O1344" s="30" t="s">
        <v>145</v>
      </c>
      <c r="P1344" s="30" t="s">
        <v>145</v>
      </c>
      <c r="Q1344" s="30" t="s">
        <v>216</v>
      </c>
    </row>
    <row r="1345" hidden="1">
      <c r="A1345" s="33" t="s">
        <v>6385</v>
      </c>
      <c r="B1345" s="30" t="s">
        <v>139</v>
      </c>
      <c r="C1345" s="30" t="s">
        <v>609</v>
      </c>
      <c r="D1345" s="30" t="s">
        <v>609</v>
      </c>
      <c r="E1345" s="35">
        <v>42370.0</v>
      </c>
      <c r="F1345" s="37" t="s">
        <v>150</v>
      </c>
      <c r="G1345" s="30" t="s">
        <v>6996</v>
      </c>
      <c r="H1345" s="30" t="s">
        <v>145</v>
      </c>
      <c r="I1345" s="30" t="s">
        <v>145</v>
      </c>
      <c r="J1345" s="30" t="s">
        <v>145</v>
      </c>
      <c r="K1345" s="30" t="s">
        <v>145</v>
      </c>
      <c r="L1345" s="30" t="s">
        <v>145</v>
      </c>
      <c r="M1345" s="30" t="s">
        <v>145</v>
      </c>
      <c r="N1345" s="30" t="s">
        <v>145</v>
      </c>
      <c r="O1345" s="30" t="s">
        <v>145</v>
      </c>
      <c r="P1345" s="30" t="s">
        <v>145</v>
      </c>
      <c r="Q1345" s="30" t="s">
        <v>609</v>
      </c>
    </row>
    <row r="1346" hidden="1">
      <c r="A1346" s="33" t="str">
        <f>hyperlink("https://issues.sierrawireless.com/browse/QTI9X28-2633", "QTI9X28-2633")</f>
        <v>QTI9X28-2633</v>
      </c>
      <c r="B1346" s="30" t="s">
        <v>139</v>
      </c>
      <c r="C1346" s="30" t="s">
        <v>206</v>
      </c>
      <c r="D1346" s="30" t="s">
        <v>206</v>
      </c>
      <c r="E1346" s="43">
        <v>43056.0</v>
      </c>
      <c r="F1346" s="44" t="s">
        <v>207</v>
      </c>
      <c r="G1346" s="2" t="s">
        <v>1961</v>
      </c>
      <c r="H1346" s="30" t="s">
        <v>145</v>
      </c>
      <c r="I1346" s="30" t="s">
        <v>145</v>
      </c>
      <c r="J1346" s="30" t="s">
        <v>145</v>
      </c>
      <c r="K1346" s="30" t="s">
        <v>145</v>
      </c>
      <c r="L1346" s="30" t="s">
        <v>146</v>
      </c>
      <c r="M1346" s="30" t="s">
        <v>7001</v>
      </c>
      <c r="N1346" s="30" t="s">
        <v>145</v>
      </c>
      <c r="O1346" s="30" t="s">
        <v>145</v>
      </c>
      <c r="P1346" s="30" t="s">
        <v>145</v>
      </c>
      <c r="Q1346" s="30" t="s">
        <v>209</v>
      </c>
    </row>
    <row r="1347" hidden="1">
      <c r="A1347" s="33" t="s">
        <v>6387</v>
      </c>
      <c r="B1347" s="30" t="s">
        <v>139</v>
      </c>
      <c r="C1347" s="30" t="s">
        <v>609</v>
      </c>
      <c r="D1347" s="30" t="s">
        <v>609</v>
      </c>
      <c r="E1347" s="35">
        <v>42370.0</v>
      </c>
      <c r="F1347" s="37" t="s">
        <v>150</v>
      </c>
      <c r="G1347" s="30" t="s">
        <v>6996</v>
      </c>
      <c r="H1347" s="30" t="s">
        <v>145</v>
      </c>
      <c r="I1347" s="30" t="s">
        <v>145</v>
      </c>
      <c r="J1347" s="30" t="s">
        <v>145</v>
      </c>
      <c r="K1347" s="30" t="s">
        <v>145</v>
      </c>
      <c r="L1347" s="30" t="s">
        <v>145</v>
      </c>
      <c r="M1347" s="30" t="s">
        <v>145</v>
      </c>
      <c r="N1347" s="30" t="s">
        <v>145</v>
      </c>
      <c r="O1347" s="30" t="s">
        <v>145</v>
      </c>
      <c r="P1347" s="30" t="s">
        <v>145</v>
      </c>
      <c r="Q1347" s="30" t="s">
        <v>609</v>
      </c>
    </row>
    <row r="1348" hidden="1">
      <c r="A1348" s="33" t="str">
        <f>hyperlink("https://issues.sierrawireless.com/browse/QTI9X28-2676", "QTI9X28-2676")</f>
        <v>QTI9X28-2676</v>
      </c>
      <c r="B1348" s="30" t="s">
        <v>417</v>
      </c>
      <c r="C1348" s="30" t="s">
        <v>140</v>
      </c>
      <c r="D1348" s="30" t="s">
        <v>1191</v>
      </c>
      <c r="E1348" s="35">
        <v>43070.0</v>
      </c>
      <c r="F1348" s="37" t="s">
        <v>379</v>
      </c>
      <c r="G1348" s="2" t="s">
        <v>7004</v>
      </c>
      <c r="H1348" s="30" t="s">
        <v>166</v>
      </c>
      <c r="I1348" s="30" t="s">
        <v>166</v>
      </c>
      <c r="J1348" s="30" t="s">
        <v>166</v>
      </c>
      <c r="K1348" s="30" t="s">
        <v>166</v>
      </c>
      <c r="L1348" s="30" t="s">
        <v>166</v>
      </c>
      <c r="M1348" s="30" t="s">
        <v>166</v>
      </c>
      <c r="N1348" s="30" t="s">
        <v>145</v>
      </c>
      <c r="O1348" s="30" t="s">
        <v>145</v>
      </c>
      <c r="P1348" s="30" t="s">
        <v>145</v>
      </c>
      <c r="Q1348" s="30" t="s">
        <v>166</v>
      </c>
    </row>
    <row r="1349" hidden="1">
      <c r="A1349" s="33" t="str">
        <f>hyperlink("https://issues.sierrawireless.com/browse/CORONADO-1716", "CORONADO-1716")</f>
        <v>CORONADO-1716</v>
      </c>
      <c r="B1349" s="30" t="s">
        <v>277</v>
      </c>
      <c r="C1349" s="30" t="s">
        <v>140</v>
      </c>
      <c r="D1349" s="30" t="s">
        <v>285</v>
      </c>
      <c r="E1349" s="35">
        <v>43070.0</v>
      </c>
      <c r="F1349" s="37" t="s">
        <v>162</v>
      </c>
      <c r="G1349" s="30" t="s">
        <v>7007</v>
      </c>
      <c r="H1349" s="30" t="s">
        <v>7008</v>
      </c>
      <c r="I1349" s="30" t="s">
        <v>7009</v>
      </c>
      <c r="J1349" s="30" t="s">
        <v>145</v>
      </c>
      <c r="K1349" s="30" t="s">
        <v>145</v>
      </c>
      <c r="L1349" s="30" t="s">
        <v>145</v>
      </c>
      <c r="M1349" s="30" t="s">
        <v>145</v>
      </c>
      <c r="N1349" s="30" t="s">
        <v>145</v>
      </c>
      <c r="O1349" s="30" t="s">
        <v>145</v>
      </c>
      <c r="P1349" s="30" t="s">
        <v>145</v>
      </c>
      <c r="Q1349" s="30" t="s">
        <v>166</v>
      </c>
    </row>
    <row r="1350" hidden="1">
      <c r="A1350" s="33" t="str">
        <f>hyperlink("https://issues.sierrawireless.com/browse/QTI9X28-2675", "QTI9X28-2675")</f>
        <v>QTI9X28-2675</v>
      </c>
      <c r="B1350" s="30" t="s">
        <v>417</v>
      </c>
      <c r="C1350" s="30" t="s">
        <v>140</v>
      </c>
      <c r="D1350" s="30" t="s">
        <v>1347</v>
      </c>
      <c r="E1350" s="35">
        <v>43070.0</v>
      </c>
      <c r="F1350" s="37" t="s">
        <v>207</v>
      </c>
      <c r="G1350" s="30" t="s">
        <v>7010</v>
      </c>
      <c r="H1350" s="30" t="s">
        <v>145</v>
      </c>
      <c r="I1350" s="30" t="s">
        <v>145</v>
      </c>
      <c r="J1350" s="30" t="s">
        <v>145</v>
      </c>
      <c r="K1350" s="30" t="s">
        <v>145</v>
      </c>
      <c r="L1350" s="30" t="s">
        <v>7011</v>
      </c>
      <c r="M1350" s="30" t="s">
        <v>7013</v>
      </c>
      <c r="N1350" s="30" t="s">
        <v>145</v>
      </c>
      <c r="O1350" s="30" t="s">
        <v>145</v>
      </c>
      <c r="P1350" s="30" t="s">
        <v>145</v>
      </c>
      <c r="Q1350" s="30" t="s">
        <v>166</v>
      </c>
    </row>
    <row r="1351" hidden="1">
      <c r="A1351" s="33" t="str">
        <f>hyperlink("https://issues.sierrawireless.com/browse/COUGAR-2485", "COUGAR-2485")</f>
        <v>COUGAR-2485</v>
      </c>
      <c r="B1351" s="30" t="s">
        <v>252</v>
      </c>
      <c r="C1351" s="30" t="s">
        <v>140</v>
      </c>
      <c r="D1351" s="30" t="s">
        <v>253</v>
      </c>
      <c r="E1351" s="43">
        <v>43069.0</v>
      </c>
      <c r="F1351" s="44" t="s">
        <v>162</v>
      </c>
      <c r="G1351" s="2" t="s">
        <v>7004</v>
      </c>
      <c r="H1351" s="30" t="s">
        <v>145</v>
      </c>
      <c r="I1351" s="30" t="s">
        <v>145</v>
      </c>
      <c r="J1351" s="30" t="s">
        <v>145</v>
      </c>
      <c r="K1351" s="30" t="s">
        <v>145</v>
      </c>
      <c r="L1351" s="30" t="s">
        <v>145</v>
      </c>
      <c r="M1351" s="30" t="s">
        <v>145</v>
      </c>
      <c r="N1351" s="30" t="s">
        <v>145</v>
      </c>
      <c r="O1351" s="30" t="s">
        <v>145</v>
      </c>
      <c r="P1351" s="30" t="s">
        <v>145</v>
      </c>
      <c r="Q1351" s="30" t="s">
        <v>166</v>
      </c>
    </row>
    <row r="1352" hidden="1">
      <c r="A1352" s="33" t="str">
        <f>hyperlink("https://issues.sierrawireless.com/browse/QTI9X40-2807", "QTI9X40-2807")</f>
        <v>QTI9X40-2807</v>
      </c>
      <c r="B1352" s="30" t="s">
        <v>417</v>
      </c>
      <c r="C1352" s="30" t="s">
        <v>140</v>
      </c>
      <c r="D1352" s="30" t="s">
        <v>206</v>
      </c>
      <c r="E1352" s="43">
        <v>43069.0</v>
      </c>
      <c r="F1352" s="44" t="s">
        <v>207</v>
      </c>
      <c r="G1352" s="30" t="s">
        <v>1036</v>
      </c>
      <c r="H1352" s="30" t="s">
        <v>145</v>
      </c>
      <c r="I1352" s="30" t="s">
        <v>145</v>
      </c>
      <c r="J1352" s="30" t="s">
        <v>145</v>
      </c>
      <c r="K1352" s="30" t="s">
        <v>145</v>
      </c>
      <c r="L1352" s="30" t="s">
        <v>146</v>
      </c>
      <c r="M1352" s="2" t="s">
        <v>7015</v>
      </c>
      <c r="N1352" s="30" t="s">
        <v>145</v>
      </c>
      <c r="O1352" s="30" t="s">
        <v>145</v>
      </c>
      <c r="P1352" s="30" t="s">
        <v>145</v>
      </c>
      <c r="Q1352" s="30" t="s">
        <v>166</v>
      </c>
    </row>
    <row r="1353" hidden="1">
      <c r="A1353" s="33" t="str">
        <f>hyperlink("https://issues.sierrawireless.com/browse/QTI9X40-2809", "QTI9X40-2809")</f>
        <v>QTI9X40-2809</v>
      </c>
      <c r="B1353" s="30" t="s">
        <v>417</v>
      </c>
      <c r="C1353" s="30" t="s">
        <v>140</v>
      </c>
      <c r="D1353" s="30" t="s">
        <v>419</v>
      </c>
      <c r="E1353" s="43">
        <v>43069.0</v>
      </c>
      <c r="F1353" s="44" t="s">
        <v>207</v>
      </c>
      <c r="G1353" s="2" t="s">
        <v>7004</v>
      </c>
      <c r="H1353" s="30" t="s">
        <v>145</v>
      </c>
      <c r="I1353" s="30" t="s">
        <v>145</v>
      </c>
      <c r="J1353" s="30" t="s">
        <v>145</v>
      </c>
      <c r="K1353" s="30" t="s">
        <v>145</v>
      </c>
      <c r="L1353" s="30" t="s">
        <v>145</v>
      </c>
      <c r="M1353" s="30" t="s">
        <v>145</v>
      </c>
      <c r="N1353" s="30" t="s">
        <v>145</v>
      </c>
      <c r="O1353" s="30" t="s">
        <v>145</v>
      </c>
      <c r="P1353" s="30" t="s">
        <v>145</v>
      </c>
      <c r="Q1353" s="30" t="s">
        <v>166</v>
      </c>
    </row>
    <row r="1354" hidden="1">
      <c r="A1354" s="33" t="str">
        <f>hyperlink("https://issues.sierrawireless.com/browse/EEL-29", "EEL-29")</f>
        <v>EEL-29</v>
      </c>
      <c r="B1354" s="30" t="s">
        <v>196</v>
      </c>
      <c r="C1354" s="30" t="s">
        <v>140</v>
      </c>
      <c r="D1354" s="30" t="s">
        <v>233</v>
      </c>
      <c r="E1354" s="35">
        <v>43008.0</v>
      </c>
      <c r="F1354" s="37" t="s">
        <v>162</v>
      </c>
      <c r="G1354" s="2" t="s">
        <v>7016</v>
      </c>
      <c r="H1354" s="30" t="s">
        <v>145</v>
      </c>
      <c r="I1354" s="30" t="s">
        <v>145</v>
      </c>
      <c r="J1354" s="30" t="s">
        <v>145</v>
      </c>
      <c r="K1354" s="30" t="s">
        <v>145</v>
      </c>
      <c r="L1354" s="30" t="s">
        <v>145</v>
      </c>
      <c r="M1354" s="30" t="s">
        <v>145</v>
      </c>
      <c r="N1354" s="30" t="s">
        <v>145</v>
      </c>
      <c r="O1354" s="30" t="s">
        <v>145</v>
      </c>
      <c r="P1354" s="30" t="s">
        <v>145</v>
      </c>
      <c r="Q1354" s="30" t="s">
        <v>146</v>
      </c>
    </row>
    <row r="1355" hidden="1">
      <c r="A1355" s="33" t="str">
        <f>hyperlink("https://issues.sierrawireless.com/browse/OEMPRI-6410", "OEMPRI-6410")</f>
        <v>OEMPRI-6410</v>
      </c>
      <c r="B1355" s="2" t="s">
        <v>139</v>
      </c>
      <c r="C1355" s="30" t="s">
        <v>310</v>
      </c>
      <c r="D1355" s="30" t="s">
        <v>310</v>
      </c>
      <c r="E1355" s="35">
        <v>43168.0</v>
      </c>
      <c r="F1355" s="37" t="s">
        <v>154</v>
      </c>
      <c r="G1355" s="30" t="s">
        <v>7018</v>
      </c>
      <c r="H1355" s="30" t="s">
        <v>145</v>
      </c>
      <c r="I1355" s="30" t="s">
        <v>145</v>
      </c>
      <c r="J1355" s="30" t="s">
        <v>145</v>
      </c>
      <c r="K1355" s="30" t="s">
        <v>145</v>
      </c>
      <c r="L1355" s="30" t="s">
        <v>145</v>
      </c>
      <c r="M1355" s="30" t="s">
        <v>145</v>
      </c>
      <c r="N1355" s="30" t="s">
        <v>145</v>
      </c>
      <c r="O1355" s="30" t="s">
        <v>145</v>
      </c>
      <c r="P1355" s="30" t="s">
        <v>145</v>
      </c>
      <c r="Q1355" s="30" t="s">
        <v>166</v>
      </c>
    </row>
    <row r="1356" hidden="1">
      <c r="A1356" s="33" t="str">
        <f>hyperlink("https://issues.sierrawireless.com/browse/QTI9X28-2257", "QTI9X28-2257")</f>
        <v>QTI9X28-2257</v>
      </c>
      <c r="B1356" s="30" t="s">
        <v>139</v>
      </c>
      <c r="C1356" s="30" t="s">
        <v>206</v>
      </c>
      <c r="D1356" s="30" t="s">
        <v>1203</v>
      </c>
      <c r="E1356" s="35">
        <v>43000.0</v>
      </c>
      <c r="F1356" s="37" t="s">
        <v>207</v>
      </c>
      <c r="G1356" s="30" t="s">
        <v>7019</v>
      </c>
      <c r="H1356" s="30" t="s">
        <v>145</v>
      </c>
      <c r="I1356" s="30" t="s">
        <v>145</v>
      </c>
      <c r="J1356" s="30" t="s">
        <v>145</v>
      </c>
      <c r="K1356" s="30" t="s">
        <v>145</v>
      </c>
      <c r="L1356" s="30" t="s">
        <v>3096</v>
      </c>
      <c r="M1356" s="2" t="s">
        <v>7020</v>
      </c>
      <c r="N1356" s="30" t="s">
        <v>145</v>
      </c>
      <c r="O1356" s="30" t="s">
        <v>145</v>
      </c>
      <c r="P1356" s="30" t="s">
        <v>145</v>
      </c>
      <c r="Q1356" s="30" t="s">
        <v>209</v>
      </c>
    </row>
    <row r="1357" hidden="1">
      <c r="A1357" s="33" t="str">
        <f>hyperlink("https://issues.sierrawireless.com/browse/QTI9X28-2647", "QTI9X28-2647")</f>
        <v>QTI9X28-2647</v>
      </c>
      <c r="B1357" s="30" t="s">
        <v>417</v>
      </c>
      <c r="C1357" s="30" t="s">
        <v>1587</v>
      </c>
      <c r="D1357" s="30" t="s">
        <v>537</v>
      </c>
      <c r="E1357" s="35">
        <v>43062.0</v>
      </c>
      <c r="F1357" s="37" t="s">
        <v>165</v>
      </c>
      <c r="G1357" s="30" t="s">
        <v>7022</v>
      </c>
      <c r="H1357" s="30" t="s">
        <v>166</v>
      </c>
      <c r="I1357" s="30" t="s">
        <v>166</v>
      </c>
      <c r="J1357" s="30" t="s">
        <v>166</v>
      </c>
      <c r="K1357" s="30" t="s">
        <v>166</v>
      </c>
      <c r="L1357" s="30" t="s">
        <v>166</v>
      </c>
      <c r="M1357" s="30" t="s">
        <v>166</v>
      </c>
      <c r="N1357" s="30" t="s">
        <v>145</v>
      </c>
      <c r="O1357" s="30" t="s">
        <v>145</v>
      </c>
      <c r="P1357" s="30" t="s">
        <v>145</v>
      </c>
      <c r="Q1357" s="30" t="s">
        <v>166</v>
      </c>
    </row>
    <row r="1358" hidden="1">
      <c r="A1358" s="33" t="s">
        <v>6393</v>
      </c>
      <c r="B1358" s="30" t="s">
        <v>139</v>
      </c>
      <c r="C1358" s="30" t="s">
        <v>216</v>
      </c>
      <c r="D1358" s="30" t="s">
        <v>216</v>
      </c>
      <c r="E1358" s="35">
        <v>42035.0</v>
      </c>
      <c r="F1358" s="37" t="s">
        <v>150</v>
      </c>
      <c r="G1358" s="30" t="s">
        <v>7024</v>
      </c>
      <c r="H1358" s="30" t="s">
        <v>145</v>
      </c>
      <c r="I1358" s="30" t="s">
        <v>145</v>
      </c>
      <c r="J1358" s="30" t="s">
        <v>145</v>
      </c>
      <c r="K1358" s="30" t="s">
        <v>145</v>
      </c>
      <c r="L1358" s="30" t="s">
        <v>145</v>
      </c>
      <c r="M1358" s="30" t="s">
        <v>145</v>
      </c>
      <c r="N1358" s="30" t="s">
        <v>145</v>
      </c>
      <c r="O1358" s="30" t="s">
        <v>145</v>
      </c>
      <c r="P1358" s="30" t="s">
        <v>145</v>
      </c>
      <c r="Q1358" s="30" t="s">
        <v>216</v>
      </c>
    </row>
    <row r="1359" hidden="1">
      <c r="A1359" s="33" t="str">
        <f>hyperlink("https://issues.sierrawireless.com/browse/QTI9X28-2643", "QTI9X28-2643")</f>
        <v>QTI9X28-2643</v>
      </c>
      <c r="B1359" s="30" t="s">
        <v>277</v>
      </c>
      <c r="C1359" s="30" t="s">
        <v>140</v>
      </c>
      <c r="D1359" s="30" t="s">
        <v>155</v>
      </c>
      <c r="E1359" s="43">
        <v>43060.0</v>
      </c>
      <c r="F1359" s="44" t="s">
        <v>162</v>
      </c>
      <c r="G1359" s="30" t="s">
        <v>1493</v>
      </c>
      <c r="H1359" s="30" t="s">
        <v>146</v>
      </c>
      <c r="I1359" s="2" t="s">
        <v>2670</v>
      </c>
      <c r="J1359" s="30" t="s">
        <v>145</v>
      </c>
      <c r="K1359" s="30" t="s">
        <v>145</v>
      </c>
      <c r="L1359" s="30" t="s">
        <v>145</v>
      </c>
      <c r="M1359" s="30" t="s">
        <v>145</v>
      </c>
      <c r="N1359" s="30" t="s">
        <v>145</v>
      </c>
      <c r="O1359" s="30" t="s">
        <v>145</v>
      </c>
      <c r="P1359" s="30" t="s">
        <v>145</v>
      </c>
      <c r="Q1359" s="30" t="s">
        <v>166</v>
      </c>
    </row>
    <row r="1360" hidden="1">
      <c r="A1360" s="33" t="s">
        <v>6397</v>
      </c>
      <c r="B1360" s="30" t="s">
        <v>139</v>
      </c>
      <c r="C1360" s="30" t="s">
        <v>244</v>
      </c>
      <c r="D1360" s="30" t="s">
        <v>244</v>
      </c>
      <c r="E1360" s="35">
        <v>42035.0</v>
      </c>
      <c r="F1360" s="37" t="s">
        <v>150</v>
      </c>
      <c r="G1360" s="30" t="s">
        <v>7028</v>
      </c>
      <c r="H1360" s="30" t="s">
        <v>145</v>
      </c>
      <c r="I1360" s="30" t="s">
        <v>145</v>
      </c>
      <c r="J1360" s="30" t="s">
        <v>145</v>
      </c>
      <c r="K1360" s="30" t="s">
        <v>145</v>
      </c>
      <c r="L1360" s="30" t="s">
        <v>145</v>
      </c>
      <c r="M1360" s="30" t="s">
        <v>145</v>
      </c>
      <c r="N1360" s="30" t="s">
        <v>145</v>
      </c>
      <c r="O1360" s="30" t="s">
        <v>145</v>
      </c>
      <c r="P1360" s="30" t="s">
        <v>145</v>
      </c>
      <c r="Q1360" s="30" t="s">
        <v>244</v>
      </c>
    </row>
    <row r="1361" hidden="1">
      <c r="A1361" s="33" t="s">
        <v>6400</v>
      </c>
      <c r="B1361" s="30" t="s">
        <v>139</v>
      </c>
      <c r="C1361" s="30" t="s">
        <v>233</v>
      </c>
      <c r="D1361" s="30" t="s">
        <v>177</v>
      </c>
      <c r="E1361" s="35">
        <v>42035.0</v>
      </c>
      <c r="F1361" s="37" t="s">
        <v>150</v>
      </c>
      <c r="G1361" s="30" t="s">
        <v>7030</v>
      </c>
      <c r="H1361" s="30" t="s">
        <v>177</v>
      </c>
      <c r="I1361" s="30" t="s">
        <v>145</v>
      </c>
      <c r="J1361" s="30" t="s">
        <v>145</v>
      </c>
      <c r="K1361" s="30" t="s">
        <v>145</v>
      </c>
      <c r="L1361" s="30" t="s">
        <v>145</v>
      </c>
      <c r="M1361" s="30" t="s">
        <v>145</v>
      </c>
      <c r="N1361" s="30" t="s">
        <v>145</v>
      </c>
      <c r="O1361" s="30" t="s">
        <v>145</v>
      </c>
      <c r="P1361" s="30" t="s">
        <v>145</v>
      </c>
      <c r="Q1361" s="30" t="s">
        <v>1471</v>
      </c>
    </row>
    <row r="1362" hidden="1">
      <c r="A1362" s="33" t="s">
        <v>6404</v>
      </c>
      <c r="B1362" s="30" t="s">
        <v>139</v>
      </c>
      <c r="C1362" s="30" t="s">
        <v>1367</v>
      </c>
      <c r="D1362" s="30" t="s">
        <v>1367</v>
      </c>
      <c r="E1362" s="35">
        <v>42035.0</v>
      </c>
      <c r="F1362" s="37" t="s">
        <v>150</v>
      </c>
      <c r="G1362" s="30" t="s">
        <v>7033</v>
      </c>
      <c r="H1362" s="30" t="s">
        <v>145</v>
      </c>
      <c r="I1362" s="30" t="s">
        <v>145</v>
      </c>
      <c r="J1362" s="30" t="s">
        <v>145</v>
      </c>
      <c r="K1362" s="30" t="s">
        <v>145</v>
      </c>
      <c r="L1362" s="30" t="s">
        <v>145</v>
      </c>
      <c r="M1362" s="30" t="s">
        <v>145</v>
      </c>
      <c r="N1362" s="30" t="s">
        <v>145</v>
      </c>
      <c r="O1362" s="30" t="s">
        <v>145</v>
      </c>
      <c r="P1362" s="30" t="s">
        <v>145</v>
      </c>
      <c r="Q1362" s="30" t="s">
        <v>1367</v>
      </c>
    </row>
    <row r="1363" hidden="1">
      <c r="A1363" s="33" t="s">
        <v>6407</v>
      </c>
      <c r="B1363" s="30" t="s">
        <v>139</v>
      </c>
      <c r="C1363" s="30" t="s">
        <v>609</v>
      </c>
      <c r="D1363" s="30" t="s">
        <v>609</v>
      </c>
      <c r="E1363" s="35">
        <v>42034.0</v>
      </c>
      <c r="F1363" s="37" t="s">
        <v>150</v>
      </c>
      <c r="G1363" s="30" t="s">
        <v>7037</v>
      </c>
      <c r="H1363" s="30" t="s">
        <v>145</v>
      </c>
      <c r="I1363" s="30" t="s">
        <v>145</v>
      </c>
      <c r="J1363" s="30" t="s">
        <v>145</v>
      </c>
      <c r="K1363" s="30" t="s">
        <v>145</v>
      </c>
      <c r="L1363" s="30" t="s">
        <v>145</v>
      </c>
      <c r="M1363" s="30" t="s">
        <v>145</v>
      </c>
      <c r="N1363" s="30" t="s">
        <v>145</v>
      </c>
      <c r="O1363" s="30" t="s">
        <v>145</v>
      </c>
      <c r="P1363" s="30" t="s">
        <v>145</v>
      </c>
      <c r="Q1363" s="30" t="s">
        <v>609</v>
      </c>
    </row>
    <row r="1364" hidden="1">
      <c r="A1364" s="33" t="s">
        <v>6409</v>
      </c>
      <c r="B1364" s="30" t="s">
        <v>139</v>
      </c>
      <c r="C1364" s="30" t="s">
        <v>216</v>
      </c>
      <c r="D1364" s="30" t="s">
        <v>216</v>
      </c>
      <c r="E1364" s="35">
        <v>42034.0</v>
      </c>
      <c r="F1364" s="37" t="s">
        <v>150</v>
      </c>
      <c r="G1364" s="30" t="s">
        <v>7042</v>
      </c>
      <c r="H1364" s="30" t="s">
        <v>145</v>
      </c>
      <c r="I1364" s="30" t="s">
        <v>145</v>
      </c>
      <c r="J1364" s="30" t="s">
        <v>145</v>
      </c>
      <c r="K1364" s="30" t="s">
        <v>145</v>
      </c>
      <c r="L1364" s="30" t="s">
        <v>145</v>
      </c>
      <c r="M1364" s="30" t="s">
        <v>145</v>
      </c>
      <c r="N1364" s="30" t="s">
        <v>145</v>
      </c>
      <c r="O1364" s="30" t="s">
        <v>145</v>
      </c>
      <c r="P1364" s="30" t="s">
        <v>145</v>
      </c>
      <c r="Q1364" s="30" t="s">
        <v>216</v>
      </c>
    </row>
    <row r="1365" hidden="1">
      <c r="A1365" s="33" t="str">
        <f>hyperlink("https://issues.sierrawireless.com/browse/QTI9X28-2578", "QTI9X28-2578")</f>
        <v>QTI9X28-2578</v>
      </c>
      <c r="B1365" s="30" t="s">
        <v>277</v>
      </c>
      <c r="C1365" s="30" t="s">
        <v>140</v>
      </c>
      <c r="D1365" s="30" t="s">
        <v>155</v>
      </c>
      <c r="E1365" s="35">
        <v>43047.0</v>
      </c>
      <c r="F1365" s="37" t="s">
        <v>162</v>
      </c>
      <c r="G1365" s="30" t="s">
        <v>2527</v>
      </c>
      <c r="H1365" s="30" t="s">
        <v>5837</v>
      </c>
      <c r="I1365" s="2" t="s">
        <v>7043</v>
      </c>
      <c r="J1365" s="30" t="s">
        <v>145</v>
      </c>
      <c r="K1365" s="30" t="s">
        <v>145</v>
      </c>
      <c r="L1365" s="30" t="s">
        <v>145</v>
      </c>
      <c r="M1365" s="30" t="s">
        <v>145</v>
      </c>
      <c r="N1365" s="30" t="s">
        <v>145</v>
      </c>
      <c r="O1365" s="30" t="s">
        <v>145</v>
      </c>
      <c r="P1365" s="30" t="s">
        <v>145</v>
      </c>
      <c r="Q1365" s="30" t="s">
        <v>166</v>
      </c>
    </row>
    <row r="1366" hidden="1">
      <c r="A1366" s="33" t="s">
        <v>6412</v>
      </c>
      <c r="B1366" s="30" t="s">
        <v>139</v>
      </c>
      <c r="C1366" s="30" t="s">
        <v>609</v>
      </c>
      <c r="D1366" s="30" t="s">
        <v>609</v>
      </c>
      <c r="E1366" s="35">
        <v>42034.0</v>
      </c>
      <c r="F1366" s="37" t="s">
        <v>150</v>
      </c>
      <c r="G1366" s="30" t="s">
        <v>7037</v>
      </c>
      <c r="H1366" s="30" t="s">
        <v>145</v>
      </c>
      <c r="I1366" s="30" t="s">
        <v>145</v>
      </c>
      <c r="J1366" s="30" t="s">
        <v>145</v>
      </c>
      <c r="K1366" s="30" t="s">
        <v>145</v>
      </c>
      <c r="L1366" s="30" t="s">
        <v>145</v>
      </c>
      <c r="M1366" s="30" t="s">
        <v>145</v>
      </c>
      <c r="N1366" s="30" t="s">
        <v>145</v>
      </c>
      <c r="O1366" s="30" t="s">
        <v>145</v>
      </c>
      <c r="P1366" s="30" t="s">
        <v>145</v>
      </c>
      <c r="Q1366" s="30" t="s">
        <v>609</v>
      </c>
    </row>
    <row r="1367" hidden="1">
      <c r="A1367" s="33" t="s">
        <v>6414</v>
      </c>
      <c r="B1367" s="30" t="s">
        <v>139</v>
      </c>
      <c r="C1367" s="30" t="s">
        <v>609</v>
      </c>
      <c r="D1367" s="30" t="s">
        <v>609</v>
      </c>
      <c r="E1367" s="35">
        <v>42034.0</v>
      </c>
      <c r="F1367" s="37" t="s">
        <v>150</v>
      </c>
      <c r="G1367" s="30" t="s">
        <v>7037</v>
      </c>
      <c r="H1367" s="30" t="s">
        <v>145</v>
      </c>
      <c r="I1367" s="30" t="s">
        <v>145</v>
      </c>
      <c r="J1367" s="30" t="s">
        <v>145</v>
      </c>
      <c r="K1367" s="30" t="s">
        <v>145</v>
      </c>
      <c r="L1367" s="30" t="s">
        <v>145</v>
      </c>
      <c r="M1367" s="30" t="s">
        <v>145</v>
      </c>
      <c r="N1367" s="30" t="s">
        <v>145</v>
      </c>
      <c r="O1367" s="30" t="s">
        <v>145</v>
      </c>
      <c r="P1367" s="30" t="s">
        <v>145</v>
      </c>
      <c r="Q1367" s="30" t="s">
        <v>609</v>
      </c>
    </row>
    <row r="1368" hidden="1">
      <c r="A1368" s="33" t="s">
        <v>6416</v>
      </c>
      <c r="B1368" s="30" t="s">
        <v>139</v>
      </c>
      <c r="C1368" s="30" t="s">
        <v>609</v>
      </c>
      <c r="D1368" s="30" t="s">
        <v>609</v>
      </c>
      <c r="E1368" s="35">
        <v>42034.0</v>
      </c>
      <c r="F1368" s="37" t="s">
        <v>150</v>
      </c>
      <c r="G1368" s="30" t="s">
        <v>7037</v>
      </c>
      <c r="H1368" s="30" t="s">
        <v>145</v>
      </c>
      <c r="I1368" s="30" t="s">
        <v>145</v>
      </c>
      <c r="J1368" s="30" t="s">
        <v>145</v>
      </c>
      <c r="K1368" s="30" t="s">
        <v>145</v>
      </c>
      <c r="L1368" s="30" t="s">
        <v>145</v>
      </c>
      <c r="M1368" s="30" t="s">
        <v>145</v>
      </c>
      <c r="N1368" s="30" t="s">
        <v>145</v>
      </c>
      <c r="O1368" s="30" t="s">
        <v>145</v>
      </c>
      <c r="P1368" s="30" t="s">
        <v>145</v>
      </c>
      <c r="Q1368" s="30" t="s">
        <v>609</v>
      </c>
    </row>
    <row r="1369" hidden="1">
      <c r="A1369" s="33" t="s">
        <v>6419</v>
      </c>
      <c r="B1369" s="30" t="s">
        <v>139</v>
      </c>
      <c r="C1369" s="30" t="s">
        <v>177</v>
      </c>
      <c r="D1369" s="30" t="s">
        <v>177</v>
      </c>
      <c r="E1369" s="35">
        <v>42034.0</v>
      </c>
      <c r="F1369" s="37" t="s">
        <v>150</v>
      </c>
      <c r="G1369" s="30" t="s">
        <v>7047</v>
      </c>
      <c r="H1369" s="30" t="s">
        <v>145</v>
      </c>
      <c r="I1369" s="30" t="s">
        <v>145</v>
      </c>
      <c r="J1369" s="30" t="s">
        <v>145</v>
      </c>
      <c r="K1369" s="30" t="s">
        <v>145</v>
      </c>
      <c r="L1369" s="30" t="s">
        <v>145</v>
      </c>
      <c r="M1369" s="30" t="s">
        <v>145</v>
      </c>
      <c r="N1369" s="30" t="s">
        <v>145</v>
      </c>
      <c r="O1369" s="30" t="s">
        <v>145</v>
      </c>
      <c r="P1369" s="30" t="s">
        <v>145</v>
      </c>
      <c r="Q1369" s="30" t="s">
        <v>177</v>
      </c>
    </row>
    <row r="1370" hidden="1">
      <c r="A1370" s="33" t="s">
        <v>6421</v>
      </c>
      <c r="B1370" s="30" t="s">
        <v>139</v>
      </c>
      <c r="C1370" s="30" t="s">
        <v>177</v>
      </c>
      <c r="D1370" s="30" t="s">
        <v>177</v>
      </c>
      <c r="E1370" s="35">
        <v>42034.0</v>
      </c>
      <c r="F1370" s="37" t="s">
        <v>150</v>
      </c>
      <c r="G1370" s="30" t="s">
        <v>7047</v>
      </c>
      <c r="H1370" s="30" t="s">
        <v>145</v>
      </c>
      <c r="I1370" s="30" t="s">
        <v>145</v>
      </c>
      <c r="J1370" s="30" t="s">
        <v>145</v>
      </c>
      <c r="K1370" s="30" t="s">
        <v>145</v>
      </c>
      <c r="L1370" s="30" t="s">
        <v>145</v>
      </c>
      <c r="M1370" s="30" t="s">
        <v>145</v>
      </c>
      <c r="N1370" s="30" t="s">
        <v>145</v>
      </c>
      <c r="O1370" s="30" t="s">
        <v>145</v>
      </c>
      <c r="P1370" s="30" t="s">
        <v>145</v>
      </c>
      <c r="Q1370" s="30" t="s">
        <v>177</v>
      </c>
    </row>
    <row r="1371" hidden="1">
      <c r="A1371" s="33" t="s">
        <v>6424</v>
      </c>
      <c r="B1371" s="30" t="s">
        <v>139</v>
      </c>
      <c r="C1371" s="30" t="s">
        <v>177</v>
      </c>
      <c r="D1371" s="30" t="s">
        <v>177</v>
      </c>
      <c r="E1371" s="35">
        <v>42034.0</v>
      </c>
      <c r="F1371" s="37" t="s">
        <v>150</v>
      </c>
      <c r="G1371" s="30" t="s">
        <v>7047</v>
      </c>
      <c r="H1371" s="30" t="s">
        <v>145</v>
      </c>
      <c r="I1371" s="30" t="s">
        <v>145</v>
      </c>
      <c r="J1371" s="30" t="s">
        <v>145</v>
      </c>
      <c r="K1371" s="30" t="s">
        <v>145</v>
      </c>
      <c r="L1371" s="30" t="s">
        <v>145</v>
      </c>
      <c r="M1371" s="30" t="s">
        <v>145</v>
      </c>
      <c r="N1371" s="30" t="s">
        <v>145</v>
      </c>
      <c r="O1371" s="30" t="s">
        <v>145</v>
      </c>
      <c r="P1371" s="30" t="s">
        <v>145</v>
      </c>
      <c r="Q1371" s="30" t="s">
        <v>177</v>
      </c>
    </row>
    <row r="1372" hidden="1">
      <c r="A1372" s="33" t="s">
        <v>6426</v>
      </c>
      <c r="B1372" s="30" t="s">
        <v>139</v>
      </c>
      <c r="C1372" s="30" t="s">
        <v>216</v>
      </c>
      <c r="D1372" s="30" t="s">
        <v>216</v>
      </c>
      <c r="E1372" s="35">
        <v>42034.0</v>
      </c>
      <c r="F1372" s="37" t="s">
        <v>150</v>
      </c>
      <c r="G1372" s="30" t="s">
        <v>7042</v>
      </c>
      <c r="H1372" s="30" t="s">
        <v>145</v>
      </c>
      <c r="I1372" s="30" t="s">
        <v>145</v>
      </c>
      <c r="J1372" s="30" t="s">
        <v>145</v>
      </c>
      <c r="K1372" s="30" t="s">
        <v>145</v>
      </c>
      <c r="L1372" s="30" t="s">
        <v>145</v>
      </c>
      <c r="M1372" s="30" t="s">
        <v>145</v>
      </c>
      <c r="N1372" s="30" t="s">
        <v>145</v>
      </c>
      <c r="O1372" s="30" t="s">
        <v>145</v>
      </c>
      <c r="P1372" s="30" t="s">
        <v>145</v>
      </c>
      <c r="Q1372" s="30" t="s">
        <v>216</v>
      </c>
    </row>
    <row r="1373" hidden="1">
      <c r="A1373" s="33" t="str">
        <f>hyperlink("https://issues.sierrawireless.com/browse/COUGAR-2345", "COUGAR-2345")</f>
        <v>COUGAR-2345</v>
      </c>
      <c r="B1373" s="30" t="s">
        <v>252</v>
      </c>
      <c r="C1373" s="30" t="s">
        <v>140</v>
      </c>
      <c r="D1373" s="30" t="s">
        <v>453</v>
      </c>
      <c r="E1373" s="35">
        <v>43045.0</v>
      </c>
      <c r="F1373" s="37" t="s">
        <v>162</v>
      </c>
      <c r="G1373" s="2" t="s">
        <v>7052</v>
      </c>
      <c r="H1373" s="30" t="s">
        <v>145</v>
      </c>
      <c r="I1373" s="30" t="s">
        <v>145</v>
      </c>
      <c r="J1373" s="30" t="s">
        <v>145</v>
      </c>
      <c r="K1373" s="30" t="s">
        <v>145</v>
      </c>
      <c r="L1373" s="30" t="s">
        <v>145</v>
      </c>
      <c r="M1373" s="30" t="s">
        <v>145</v>
      </c>
      <c r="N1373" s="30" t="s">
        <v>145</v>
      </c>
      <c r="O1373" s="30" t="s">
        <v>145</v>
      </c>
      <c r="P1373" s="30" t="s">
        <v>145</v>
      </c>
      <c r="Q1373" s="30" t="s">
        <v>166</v>
      </c>
    </row>
    <row r="1374" hidden="1">
      <c r="A1374" s="33" t="s">
        <v>6429</v>
      </c>
      <c r="B1374" s="30" t="s">
        <v>139</v>
      </c>
      <c r="C1374" s="30" t="s">
        <v>216</v>
      </c>
      <c r="D1374" s="30" t="s">
        <v>216</v>
      </c>
      <c r="E1374" s="35">
        <v>42034.0</v>
      </c>
      <c r="F1374" s="37" t="s">
        <v>150</v>
      </c>
      <c r="G1374" s="30" t="s">
        <v>7042</v>
      </c>
      <c r="H1374" s="30" t="s">
        <v>145</v>
      </c>
      <c r="I1374" s="30" t="s">
        <v>145</v>
      </c>
      <c r="J1374" s="30" t="s">
        <v>145</v>
      </c>
      <c r="K1374" s="30" t="s">
        <v>145</v>
      </c>
      <c r="L1374" s="30" t="s">
        <v>145</v>
      </c>
      <c r="M1374" s="30" t="s">
        <v>145</v>
      </c>
      <c r="N1374" s="30" t="s">
        <v>145</v>
      </c>
      <c r="O1374" s="30" t="s">
        <v>145</v>
      </c>
      <c r="P1374" s="30" t="s">
        <v>145</v>
      </c>
      <c r="Q1374" s="30" t="s">
        <v>216</v>
      </c>
    </row>
    <row r="1375" hidden="1">
      <c r="A1375" s="33" t="str">
        <f>hyperlink("https://issues.sierrawireless.com/browse/QTI9X28-2527", "QTI9X28-2527")</f>
        <v>QTI9X28-2527</v>
      </c>
      <c r="B1375" s="30" t="s">
        <v>417</v>
      </c>
      <c r="C1375" s="30" t="s">
        <v>140</v>
      </c>
      <c r="D1375" s="30" t="s">
        <v>155</v>
      </c>
      <c r="E1375" s="35">
        <v>43040.0</v>
      </c>
      <c r="F1375" s="37" t="s">
        <v>207</v>
      </c>
      <c r="G1375" s="2" t="s">
        <v>7056</v>
      </c>
      <c r="H1375" s="30" t="s">
        <v>145</v>
      </c>
      <c r="I1375" s="30" t="s">
        <v>145</v>
      </c>
      <c r="J1375" s="30" t="s">
        <v>145</v>
      </c>
      <c r="K1375" s="30" t="s">
        <v>145</v>
      </c>
      <c r="L1375" s="30" t="s">
        <v>145</v>
      </c>
      <c r="M1375" s="30" t="s">
        <v>145</v>
      </c>
      <c r="N1375" s="30" t="s">
        <v>145</v>
      </c>
      <c r="O1375" s="30" t="s">
        <v>145</v>
      </c>
      <c r="P1375" s="30" t="s">
        <v>145</v>
      </c>
      <c r="Q1375" s="30" t="s">
        <v>166</v>
      </c>
    </row>
    <row r="1376" hidden="1">
      <c r="A1376" s="33" t="str">
        <f>hyperlink("https://issues.sierrawireless.com/browse/QTI9X40-2688", "QTI9X40-2688")</f>
        <v>QTI9X40-2688</v>
      </c>
      <c r="B1376" s="30" t="s">
        <v>417</v>
      </c>
      <c r="C1376" s="30" t="s">
        <v>140</v>
      </c>
      <c r="D1376" s="30" t="s">
        <v>419</v>
      </c>
      <c r="E1376" s="35">
        <v>43040.0</v>
      </c>
      <c r="F1376" s="37" t="s">
        <v>207</v>
      </c>
      <c r="G1376" s="30" t="s">
        <v>7059</v>
      </c>
      <c r="H1376" s="30" t="s">
        <v>145</v>
      </c>
      <c r="I1376" s="30" t="s">
        <v>145</v>
      </c>
      <c r="J1376" s="30" t="s">
        <v>145</v>
      </c>
      <c r="K1376" s="30" t="s">
        <v>145</v>
      </c>
      <c r="L1376" s="30" t="s">
        <v>2527</v>
      </c>
      <c r="M1376" s="2" t="s">
        <v>7052</v>
      </c>
      <c r="N1376" s="30" t="s">
        <v>145</v>
      </c>
      <c r="O1376" s="30" t="s">
        <v>145</v>
      </c>
      <c r="P1376" s="30" t="s">
        <v>145</v>
      </c>
      <c r="Q1376" s="30" t="s">
        <v>166</v>
      </c>
    </row>
    <row r="1377" hidden="1">
      <c r="A1377" s="33" t="str">
        <f>hyperlink("https://issues.sierrawireless.com/browse/QTI9X40-2967", "QTI9X40-2967")</f>
        <v>QTI9X40-2967</v>
      </c>
      <c r="B1377" s="30" t="s">
        <v>139</v>
      </c>
      <c r="C1377" s="30" t="s">
        <v>7063</v>
      </c>
      <c r="D1377" s="30" t="s">
        <v>7063</v>
      </c>
      <c r="E1377" s="35">
        <v>43108.0</v>
      </c>
      <c r="F1377" s="37" t="s">
        <v>207</v>
      </c>
      <c r="G1377" s="30" t="s">
        <v>163</v>
      </c>
      <c r="H1377" s="30" t="s">
        <v>145</v>
      </c>
      <c r="I1377" s="30" t="s">
        <v>145</v>
      </c>
      <c r="J1377" s="30" t="s">
        <v>145</v>
      </c>
      <c r="K1377" s="30" t="s">
        <v>145</v>
      </c>
      <c r="L1377" s="30" t="s">
        <v>146</v>
      </c>
      <c r="M1377" s="30" t="s">
        <v>7064</v>
      </c>
      <c r="N1377" s="30" t="s">
        <v>145</v>
      </c>
      <c r="O1377" s="30" t="s">
        <v>145</v>
      </c>
      <c r="P1377" s="30" t="s">
        <v>145</v>
      </c>
      <c r="Q1377" s="30" t="s">
        <v>7065</v>
      </c>
    </row>
    <row r="1378" hidden="1">
      <c r="A1378" s="33" t="s">
        <v>6433</v>
      </c>
      <c r="B1378" s="30" t="s">
        <v>139</v>
      </c>
      <c r="C1378" s="30" t="s">
        <v>609</v>
      </c>
      <c r="D1378" s="30" t="s">
        <v>609</v>
      </c>
      <c r="E1378" s="35">
        <v>42034.0</v>
      </c>
      <c r="F1378" s="37" t="s">
        <v>150</v>
      </c>
      <c r="G1378" s="30" t="s">
        <v>7037</v>
      </c>
      <c r="H1378" s="30" t="s">
        <v>145</v>
      </c>
      <c r="I1378" s="30" t="s">
        <v>145</v>
      </c>
      <c r="J1378" s="30" t="s">
        <v>145</v>
      </c>
      <c r="K1378" s="30" t="s">
        <v>145</v>
      </c>
      <c r="L1378" s="30" t="s">
        <v>145</v>
      </c>
      <c r="M1378" s="30" t="s">
        <v>145</v>
      </c>
      <c r="N1378" s="30" t="s">
        <v>145</v>
      </c>
      <c r="O1378" s="30" t="s">
        <v>145</v>
      </c>
      <c r="P1378" s="30" t="s">
        <v>145</v>
      </c>
      <c r="Q1378" s="30" t="s">
        <v>609</v>
      </c>
    </row>
    <row r="1379" hidden="1">
      <c r="A1379" s="33" t="str">
        <f>hyperlink("https://issues.sierrawireless.com/browse/QTI9X28-2524", "QTI9X28-2524")</f>
        <v>QTI9X28-2524</v>
      </c>
      <c r="B1379" s="30" t="s">
        <v>417</v>
      </c>
      <c r="C1379" s="30" t="s">
        <v>1367</v>
      </c>
      <c r="D1379" s="30" t="s">
        <v>652</v>
      </c>
      <c r="E1379" s="35">
        <v>43039.0</v>
      </c>
      <c r="F1379" s="37" t="s">
        <v>207</v>
      </c>
      <c r="G1379" s="30" t="s">
        <v>7069</v>
      </c>
      <c r="H1379" s="30" t="s">
        <v>145</v>
      </c>
      <c r="I1379" s="30" t="s">
        <v>145</v>
      </c>
      <c r="J1379" s="30" t="s">
        <v>145</v>
      </c>
      <c r="K1379" s="30" t="s">
        <v>145</v>
      </c>
      <c r="L1379" s="30" t="s">
        <v>145</v>
      </c>
      <c r="M1379" s="30" t="s">
        <v>145</v>
      </c>
      <c r="N1379" s="30" t="s">
        <v>145</v>
      </c>
      <c r="O1379" s="30" t="s">
        <v>145</v>
      </c>
      <c r="P1379" s="30" t="s">
        <v>145</v>
      </c>
      <c r="Q1379" s="30" t="s">
        <v>166</v>
      </c>
    </row>
    <row r="1380" hidden="1">
      <c r="A1380" s="33" t="s">
        <v>6436</v>
      </c>
      <c r="B1380" s="30" t="s">
        <v>139</v>
      </c>
      <c r="C1380" s="30" t="s">
        <v>1891</v>
      </c>
      <c r="D1380" s="30" t="s">
        <v>1891</v>
      </c>
      <c r="E1380" s="35">
        <v>42033.0</v>
      </c>
      <c r="F1380" s="37" t="s">
        <v>150</v>
      </c>
      <c r="G1380" s="30" t="s">
        <v>7070</v>
      </c>
      <c r="H1380" s="30" t="s">
        <v>145</v>
      </c>
      <c r="I1380" s="30" t="s">
        <v>145</v>
      </c>
      <c r="J1380" s="30" t="s">
        <v>145</v>
      </c>
      <c r="K1380" s="30" t="s">
        <v>145</v>
      </c>
      <c r="L1380" s="30" t="s">
        <v>145</v>
      </c>
      <c r="M1380" s="30" t="s">
        <v>145</v>
      </c>
      <c r="N1380" s="30" t="s">
        <v>145</v>
      </c>
      <c r="O1380" s="30" t="s">
        <v>145</v>
      </c>
      <c r="P1380" s="30" t="s">
        <v>145</v>
      </c>
      <c r="Q1380" s="30" t="s">
        <v>1891</v>
      </c>
    </row>
    <row r="1381" hidden="1">
      <c r="A1381" s="33" t="s">
        <v>6438</v>
      </c>
      <c r="B1381" s="30" t="s">
        <v>139</v>
      </c>
      <c r="C1381" s="30" t="s">
        <v>4827</v>
      </c>
      <c r="D1381" s="30" t="s">
        <v>6441</v>
      </c>
      <c r="E1381" s="35">
        <v>42033.0</v>
      </c>
      <c r="F1381" s="37" t="s">
        <v>150</v>
      </c>
      <c r="G1381" s="30" t="s">
        <v>7072</v>
      </c>
      <c r="H1381" s="30" t="s">
        <v>145</v>
      </c>
      <c r="I1381" s="30" t="s">
        <v>145</v>
      </c>
      <c r="J1381" s="30" t="s">
        <v>145</v>
      </c>
      <c r="K1381" s="30" t="s">
        <v>145</v>
      </c>
      <c r="L1381" s="30" t="s">
        <v>145</v>
      </c>
      <c r="M1381" s="30" t="s">
        <v>145</v>
      </c>
      <c r="N1381" s="30" t="s">
        <v>145</v>
      </c>
      <c r="O1381" s="30" t="s">
        <v>145</v>
      </c>
      <c r="P1381" s="30" t="s">
        <v>145</v>
      </c>
      <c r="Q1381" s="30" t="s">
        <v>7073</v>
      </c>
    </row>
    <row r="1382" hidden="1">
      <c r="A1382" s="33" t="s">
        <v>6443</v>
      </c>
      <c r="B1382" s="30" t="s">
        <v>139</v>
      </c>
      <c r="C1382" s="30" t="s">
        <v>216</v>
      </c>
      <c r="D1382" s="30" t="s">
        <v>216</v>
      </c>
      <c r="E1382" s="35">
        <v>42033.0</v>
      </c>
      <c r="F1382" s="37" t="s">
        <v>150</v>
      </c>
      <c r="G1382" s="30" t="s">
        <v>7076</v>
      </c>
      <c r="H1382" s="30" t="s">
        <v>145</v>
      </c>
      <c r="I1382" s="30" t="s">
        <v>145</v>
      </c>
      <c r="J1382" s="30" t="s">
        <v>145</v>
      </c>
      <c r="K1382" s="30" t="s">
        <v>145</v>
      </c>
      <c r="L1382" s="30" t="s">
        <v>145</v>
      </c>
      <c r="M1382" s="30" t="s">
        <v>145</v>
      </c>
      <c r="N1382" s="30" t="s">
        <v>145</v>
      </c>
      <c r="O1382" s="30" t="s">
        <v>145</v>
      </c>
      <c r="P1382" s="30" t="s">
        <v>145</v>
      </c>
      <c r="Q1382" s="30" t="s">
        <v>216</v>
      </c>
    </row>
    <row r="1383" hidden="1">
      <c r="A1383" s="33" t="s">
        <v>6445</v>
      </c>
      <c r="B1383" s="30" t="s">
        <v>139</v>
      </c>
      <c r="C1383" s="30" t="s">
        <v>216</v>
      </c>
      <c r="D1383" s="30" t="s">
        <v>216</v>
      </c>
      <c r="E1383" s="35">
        <v>42033.0</v>
      </c>
      <c r="F1383" s="37" t="s">
        <v>150</v>
      </c>
      <c r="G1383" s="30" t="s">
        <v>7076</v>
      </c>
      <c r="H1383" s="30" t="s">
        <v>145</v>
      </c>
      <c r="I1383" s="30" t="s">
        <v>145</v>
      </c>
      <c r="J1383" s="30" t="s">
        <v>145</v>
      </c>
      <c r="K1383" s="30" t="s">
        <v>145</v>
      </c>
      <c r="L1383" s="30" t="s">
        <v>145</v>
      </c>
      <c r="M1383" s="30" t="s">
        <v>145</v>
      </c>
      <c r="N1383" s="30" t="s">
        <v>145</v>
      </c>
      <c r="O1383" s="30" t="s">
        <v>145</v>
      </c>
      <c r="P1383" s="30" t="s">
        <v>145</v>
      </c>
      <c r="Q1383" s="30" t="s">
        <v>216</v>
      </c>
    </row>
    <row r="1384" hidden="1">
      <c r="A1384" s="33" t="s">
        <v>6448</v>
      </c>
      <c r="B1384" s="30" t="s">
        <v>139</v>
      </c>
      <c r="C1384" s="30" t="s">
        <v>216</v>
      </c>
      <c r="D1384" s="30" t="s">
        <v>216</v>
      </c>
      <c r="E1384" s="35">
        <v>42033.0</v>
      </c>
      <c r="F1384" s="37" t="s">
        <v>150</v>
      </c>
      <c r="G1384" s="30" t="s">
        <v>7076</v>
      </c>
      <c r="H1384" s="30" t="s">
        <v>145</v>
      </c>
      <c r="I1384" s="30" t="s">
        <v>145</v>
      </c>
      <c r="J1384" s="30" t="s">
        <v>145</v>
      </c>
      <c r="K1384" s="30" t="s">
        <v>145</v>
      </c>
      <c r="L1384" s="30" t="s">
        <v>145</v>
      </c>
      <c r="M1384" s="30" t="s">
        <v>145</v>
      </c>
      <c r="N1384" s="30" t="s">
        <v>145</v>
      </c>
      <c r="O1384" s="30" t="s">
        <v>145</v>
      </c>
      <c r="P1384" s="30" t="s">
        <v>145</v>
      </c>
      <c r="Q1384" s="30" t="s">
        <v>216</v>
      </c>
    </row>
    <row r="1385" hidden="1">
      <c r="A1385" s="33" t="s">
        <v>6451</v>
      </c>
      <c r="B1385" s="30" t="s">
        <v>139</v>
      </c>
      <c r="C1385" s="30" t="s">
        <v>216</v>
      </c>
      <c r="D1385" s="30" t="s">
        <v>216</v>
      </c>
      <c r="E1385" s="35">
        <v>42033.0</v>
      </c>
      <c r="F1385" s="37" t="s">
        <v>150</v>
      </c>
      <c r="G1385" s="30" t="s">
        <v>7076</v>
      </c>
      <c r="H1385" s="30" t="s">
        <v>145</v>
      </c>
      <c r="I1385" s="30" t="s">
        <v>145</v>
      </c>
      <c r="J1385" s="30" t="s">
        <v>145</v>
      </c>
      <c r="K1385" s="30" t="s">
        <v>145</v>
      </c>
      <c r="L1385" s="30" t="s">
        <v>145</v>
      </c>
      <c r="M1385" s="30" t="s">
        <v>145</v>
      </c>
      <c r="N1385" s="30" t="s">
        <v>145</v>
      </c>
      <c r="O1385" s="30" t="s">
        <v>145</v>
      </c>
      <c r="P1385" s="30" t="s">
        <v>145</v>
      </c>
      <c r="Q1385" s="30" t="s">
        <v>216</v>
      </c>
    </row>
    <row r="1386" hidden="1">
      <c r="A1386" s="33" t="s">
        <v>6453</v>
      </c>
      <c r="B1386" s="30" t="s">
        <v>139</v>
      </c>
      <c r="C1386" s="30" t="s">
        <v>216</v>
      </c>
      <c r="D1386" s="30" t="s">
        <v>216</v>
      </c>
      <c r="E1386" s="35">
        <v>42033.0</v>
      </c>
      <c r="F1386" s="37" t="s">
        <v>150</v>
      </c>
      <c r="G1386" s="30" t="s">
        <v>7076</v>
      </c>
      <c r="H1386" s="30" t="s">
        <v>145</v>
      </c>
      <c r="I1386" s="30" t="s">
        <v>145</v>
      </c>
      <c r="J1386" s="30" t="s">
        <v>145</v>
      </c>
      <c r="K1386" s="30" t="s">
        <v>145</v>
      </c>
      <c r="L1386" s="30" t="s">
        <v>145</v>
      </c>
      <c r="M1386" s="30" t="s">
        <v>145</v>
      </c>
      <c r="N1386" s="30" t="s">
        <v>145</v>
      </c>
      <c r="O1386" s="30" t="s">
        <v>145</v>
      </c>
      <c r="P1386" s="30" t="s">
        <v>145</v>
      </c>
      <c r="Q1386" s="30" t="s">
        <v>216</v>
      </c>
    </row>
    <row r="1387" hidden="1">
      <c r="A1387" s="33" t="s">
        <v>6456</v>
      </c>
      <c r="B1387" s="30" t="s">
        <v>139</v>
      </c>
      <c r="C1387" s="30" t="s">
        <v>244</v>
      </c>
      <c r="D1387" s="30" t="s">
        <v>244</v>
      </c>
      <c r="E1387" s="35">
        <v>42033.0</v>
      </c>
      <c r="F1387" s="37" t="s">
        <v>150</v>
      </c>
      <c r="G1387" s="30" t="s">
        <v>7079</v>
      </c>
      <c r="H1387" s="30" t="s">
        <v>145</v>
      </c>
      <c r="I1387" s="30" t="s">
        <v>145</v>
      </c>
      <c r="J1387" s="30" t="s">
        <v>145</v>
      </c>
      <c r="K1387" s="30" t="s">
        <v>145</v>
      </c>
      <c r="L1387" s="30" t="s">
        <v>145</v>
      </c>
      <c r="M1387" s="30" t="s">
        <v>145</v>
      </c>
      <c r="N1387" s="30" t="s">
        <v>145</v>
      </c>
      <c r="O1387" s="30" t="s">
        <v>145</v>
      </c>
      <c r="P1387" s="30" t="s">
        <v>145</v>
      </c>
      <c r="Q1387" s="30" t="s">
        <v>244</v>
      </c>
    </row>
    <row r="1388" hidden="1">
      <c r="A1388" s="33" t="s">
        <v>6463</v>
      </c>
      <c r="B1388" s="30" t="s">
        <v>139</v>
      </c>
      <c r="C1388" s="30" t="s">
        <v>609</v>
      </c>
      <c r="D1388" s="30" t="s">
        <v>609</v>
      </c>
      <c r="E1388" s="35">
        <v>42032.0</v>
      </c>
      <c r="F1388" s="37" t="s">
        <v>150</v>
      </c>
      <c r="G1388" s="30" t="s">
        <v>7080</v>
      </c>
      <c r="H1388" s="30" t="s">
        <v>145</v>
      </c>
      <c r="I1388" s="30" t="s">
        <v>145</v>
      </c>
      <c r="J1388" s="30" t="s">
        <v>145</v>
      </c>
      <c r="K1388" s="30" t="s">
        <v>145</v>
      </c>
      <c r="L1388" s="30" t="s">
        <v>145</v>
      </c>
      <c r="M1388" s="30" t="s">
        <v>145</v>
      </c>
      <c r="N1388" s="30" t="s">
        <v>145</v>
      </c>
      <c r="O1388" s="30" t="s">
        <v>145</v>
      </c>
      <c r="P1388" s="30" t="s">
        <v>145</v>
      </c>
      <c r="Q1388" s="30" t="s">
        <v>609</v>
      </c>
    </row>
    <row r="1389" hidden="1">
      <c r="A1389" s="33" t="s">
        <v>7081</v>
      </c>
      <c r="B1389" s="30" t="s">
        <v>7082</v>
      </c>
      <c r="C1389" s="30" t="s">
        <v>7083</v>
      </c>
      <c r="D1389" s="30" t="s">
        <v>7083</v>
      </c>
      <c r="E1389" s="43">
        <v>43034.0</v>
      </c>
      <c r="F1389" s="44" t="s">
        <v>1894</v>
      </c>
      <c r="G1389" s="30" t="s">
        <v>7084</v>
      </c>
      <c r="H1389" s="30" t="s">
        <v>1896</v>
      </c>
      <c r="I1389" s="2" t="s">
        <v>7085</v>
      </c>
      <c r="J1389" s="30" t="s">
        <v>166</v>
      </c>
      <c r="K1389" s="30" t="s">
        <v>166</v>
      </c>
      <c r="L1389" s="30" t="s">
        <v>166</v>
      </c>
      <c r="M1389" s="30" t="s">
        <v>166</v>
      </c>
      <c r="N1389" s="30" t="s">
        <v>145</v>
      </c>
      <c r="O1389" s="30" t="s">
        <v>145</v>
      </c>
      <c r="P1389" s="30" t="s">
        <v>145</v>
      </c>
      <c r="Q1389" s="30" t="s">
        <v>166</v>
      </c>
    </row>
    <row r="1390" hidden="1">
      <c r="A1390" s="33" t="str">
        <f>hyperlink("https://issues.sierrawireless.com/browse/QTI9X40-3141", "QTI9X40-3141")</f>
        <v>QTI9X40-3141</v>
      </c>
      <c r="B1390" s="30" t="s">
        <v>417</v>
      </c>
      <c r="C1390" s="30" t="s">
        <v>140</v>
      </c>
      <c r="D1390" s="30" t="s">
        <v>419</v>
      </c>
      <c r="E1390" s="35">
        <v>43158.0</v>
      </c>
      <c r="F1390" s="37" t="s">
        <v>207</v>
      </c>
      <c r="G1390" s="30" t="s">
        <v>7086</v>
      </c>
      <c r="H1390" s="30" t="s">
        <v>145</v>
      </c>
      <c r="I1390" s="30" t="s">
        <v>145</v>
      </c>
      <c r="J1390" s="30" t="s">
        <v>145</v>
      </c>
      <c r="K1390" s="30" t="s">
        <v>145</v>
      </c>
      <c r="L1390" s="30" t="s">
        <v>145</v>
      </c>
      <c r="M1390" s="30" t="s">
        <v>145</v>
      </c>
      <c r="N1390" s="30" t="s">
        <v>145</v>
      </c>
      <c r="O1390" s="30" t="s">
        <v>145</v>
      </c>
      <c r="P1390" s="30" t="s">
        <v>145</v>
      </c>
      <c r="Q1390" s="30" t="s">
        <v>166</v>
      </c>
    </row>
    <row r="1391" hidden="1">
      <c r="A1391" s="33" t="str">
        <f>hyperlink("https://issues.sierrawireless.com/browse/QTI9X40-2661", "QTI9X40-2661")</f>
        <v>QTI9X40-2661</v>
      </c>
      <c r="B1391" s="30" t="s">
        <v>469</v>
      </c>
      <c r="C1391" s="30" t="s">
        <v>140</v>
      </c>
      <c r="D1391" s="30" t="s">
        <v>1203</v>
      </c>
      <c r="E1391" s="43">
        <v>43033.0</v>
      </c>
      <c r="F1391" s="44" t="s">
        <v>207</v>
      </c>
      <c r="G1391" s="30" t="s">
        <v>4465</v>
      </c>
      <c r="H1391" s="30" t="s">
        <v>145</v>
      </c>
      <c r="I1391" s="30" t="s">
        <v>145</v>
      </c>
      <c r="J1391" s="30" t="s">
        <v>145</v>
      </c>
      <c r="K1391" s="30" t="s">
        <v>145</v>
      </c>
      <c r="L1391" s="30" t="s">
        <v>146</v>
      </c>
      <c r="M1391" s="2" t="s">
        <v>7087</v>
      </c>
      <c r="N1391" s="30" t="s">
        <v>145</v>
      </c>
      <c r="O1391" s="30" t="s">
        <v>145</v>
      </c>
      <c r="P1391" s="30" t="s">
        <v>145</v>
      </c>
      <c r="Q1391" s="30" t="s">
        <v>166</v>
      </c>
    </row>
    <row r="1392" hidden="1">
      <c r="A1392" s="33" t="str">
        <f>hyperlink("https://issues.sierrawireless.com/browse/QTI9X28-2452", "QTI9X28-2452")</f>
        <v>QTI9X28-2452</v>
      </c>
      <c r="B1392" s="30" t="s">
        <v>469</v>
      </c>
      <c r="C1392" s="30" t="s">
        <v>140</v>
      </c>
      <c r="D1392" s="30" t="s">
        <v>1203</v>
      </c>
      <c r="E1392" s="43">
        <v>43031.0</v>
      </c>
      <c r="F1392" s="44" t="s">
        <v>207</v>
      </c>
      <c r="G1392" s="30" t="s">
        <v>144</v>
      </c>
      <c r="H1392" s="30" t="s">
        <v>145</v>
      </c>
      <c r="I1392" s="30" t="s">
        <v>145</v>
      </c>
      <c r="J1392" s="30" t="s">
        <v>145</v>
      </c>
      <c r="K1392" s="30" t="s">
        <v>145</v>
      </c>
      <c r="L1392" s="30" t="s">
        <v>146</v>
      </c>
      <c r="M1392" s="2" t="s">
        <v>7087</v>
      </c>
      <c r="N1392" s="30" t="s">
        <v>145</v>
      </c>
      <c r="O1392" s="30" t="s">
        <v>145</v>
      </c>
      <c r="P1392" s="30" t="s">
        <v>145</v>
      </c>
      <c r="Q1392" s="30" t="s">
        <v>166</v>
      </c>
    </row>
    <row r="1393" hidden="1">
      <c r="A1393" s="33" t="str">
        <f>hyperlink("https://issues.sierrawireless.com/browse/QTI9X28-2451", "QTI9X28-2451")</f>
        <v>QTI9X28-2451</v>
      </c>
      <c r="B1393" s="30" t="s">
        <v>469</v>
      </c>
      <c r="C1393" s="30" t="s">
        <v>140</v>
      </c>
      <c r="D1393" s="30" t="s">
        <v>1203</v>
      </c>
      <c r="E1393" s="43">
        <v>43031.0</v>
      </c>
      <c r="F1393" s="44" t="s">
        <v>207</v>
      </c>
      <c r="G1393" s="30" t="s">
        <v>3096</v>
      </c>
      <c r="H1393" s="30" t="s">
        <v>145</v>
      </c>
      <c r="I1393" s="30" t="s">
        <v>145</v>
      </c>
      <c r="J1393" s="30" t="s">
        <v>145</v>
      </c>
      <c r="K1393" s="30" t="s">
        <v>145</v>
      </c>
      <c r="L1393" s="30" t="s">
        <v>146</v>
      </c>
      <c r="M1393" s="2" t="s">
        <v>7087</v>
      </c>
      <c r="N1393" s="30" t="s">
        <v>145</v>
      </c>
      <c r="O1393" s="30" t="s">
        <v>145</v>
      </c>
      <c r="P1393" s="30" t="s">
        <v>145</v>
      </c>
      <c r="Q1393" s="30" t="s">
        <v>166</v>
      </c>
    </row>
    <row r="1394" hidden="1">
      <c r="A1394" s="33" t="s">
        <v>6466</v>
      </c>
      <c r="B1394" s="30" t="s">
        <v>139</v>
      </c>
      <c r="C1394" s="30" t="s">
        <v>609</v>
      </c>
      <c r="D1394" s="30" t="s">
        <v>609</v>
      </c>
      <c r="E1394" s="35">
        <v>42032.0</v>
      </c>
      <c r="F1394" s="37" t="s">
        <v>150</v>
      </c>
      <c r="G1394" s="30" t="s">
        <v>7080</v>
      </c>
      <c r="H1394" s="30" t="s">
        <v>145</v>
      </c>
      <c r="I1394" s="30" t="s">
        <v>145</v>
      </c>
      <c r="J1394" s="30" t="s">
        <v>145</v>
      </c>
      <c r="K1394" s="30" t="s">
        <v>145</v>
      </c>
      <c r="L1394" s="30" t="s">
        <v>145</v>
      </c>
      <c r="M1394" s="30" t="s">
        <v>145</v>
      </c>
      <c r="N1394" s="30" t="s">
        <v>145</v>
      </c>
      <c r="O1394" s="30" t="s">
        <v>145</v>
      </c>
      <c r="P1394" s="30" t="s">
        <v>145</v>
      </c>
      <c r="Q1394" s="30" t="s">
        <v>609</v>
      </c>
    </row>
    <row r="1395" hidden="1">
      <c r="A1395" s="33" t="str">
        <f>hyperlink("https://issues.sierrawireless.com/browse/QTI9X28-2420", "QTI9X28-2420")</f>
        <v>QTI9X28-2420</v>
      </c>
      <c r="B1395" s="30" t="s">
        <v>469</v>
      </c>
      <c r="C1395" s="30" t="s">
        <v>140</v>
      </c>
      <c r="D1395" s="30" t="s">
        <v>206</v>
      </c>
      <c r="E1395" s="43">
        <v>43026.0</v>
      </c>
      <c r="F1395" s="44" t="s">
        <v>207</v>
      </c>
      <c r="G1395" s="30" t="s">
        <v>7090</v>
      </c>
      <c r="H1395" s="30" t="s">
        <v>145</v>
      </c>
      <c r="I1395" s="30" t="s">
        <v>145</v>
      </c>
      <c r="J1395" s="30" t="s">
        <v>145</v>
      </c>
      <c r="K1395" s="30" t="s">
        <v>145</v>
      </c>
      <c r="L1395" s="30" t="s">
        <v>7091</v>
      </c>
      <c r="M1395" s="2" t="s">
        <v>7087</v>
      </c>
      <c r="N1395" s="30" t="s">
        <v>145</v>
      </c>
      <c r="O1395" s="30" t="s">
        <v>145</v>
      </c>
      <c r="P1395" s="30" t="s">
        <v>145</v>
      </c>
      <c r="Q1395" s="30" t="s">
        <v>166</v>
      </c>
    </row>
    <row r="1396" hidden="1">
      <c r="A1396" s="33" t="s">
        <v>6468</v>
      </c>
      <c r="B1396" s="30" t="s">
        <v>139</v>
      </c>
      <c r="C1396" s="30" t="s">
        <v>1891</v>
      </c>
      <c r="D1396" s="30" t="s">
        <v>1891</v>
      </c>
      <c r="E1396" s="35">
        <v>42031.0</v>
      </c>
      <c r="F1396" s="37" t="s">
        <v>150</v>
      </c>
      <c r="G1396" s="30" t="s">
        <v>7092</v>
      </c>
      <c r="H1396" s="30" t="s">
        <v>145</v>
      </c>
      <c r="I1396" s="30" t="s">
        <v>145</v>
      </c>
      <c r="J1396" s="30" t="s">
        <v>145</v>
      </c>
      <c r="K1396" s="30" t="s">
        <v>145</v>
      </c>
      <c r="L1396" s="30" t="s">
        <v>145</v>
      </c>
      <c r="M1396" s="30" t="s">
        <v>145</v>
      </c>
      <c r="N1396" s="30" t="s">
        <v>145</v>
      </c>
      <c r="O1396" s="30" t="s">
        <v>145</v>
      </c>
      <c r="P1396" s="30" t="s">
        <v>145</v>
      </c>
      <c r="Q1396" s="30" t="s">
        <v>1891</v>
      </c>
    </row>
    <row r="1397" hidden="1">
      <c r="A1397" s="33" t="str">
        <f>hyperlink("https://issues.sierrawireless.com/browse/QTI9X28-2383", "QTI9X28-2383")</f>
        <v>QTI9X28-2383</v>
      </c>
      <c r="B1397" s="30" t="s">
        <v>417</v>
      </c>
      <c r="C1397" s="30" t="s">
        <v>140</v>
      </c>
      <c r="D1397" s="30" t="s">
        <v>5196</v>
      </c>
      <c r="E1397" s="43">
        <v>43021.0</v>
      </c>
      <c r="F1397" s="44" t="s">
        <v>207</v>
      </c>
      <c r="G1397" s="2" t="s">
        <v>7094</v>
      </c>
      <c r="H1397" s="30" t="s">
        <v>145</v>
      </c>
      <c r="I1397" s="30" t="s">
        <v>145</v>
      </c>
      <c r="J1397" s="30" t="s">
        <v>145</v>
      </c>
      <c r="K1397" s="30" t="s">
        <v>145</v>
      </c>
      <c r="L1397" s="30" t="s">
        <v>145</v>
      </c>
      <c r="M1397" s="30" t="s">
        <v>145</v>
      </c>
      <c r="N1397" s="30" t="s">
        <v>145</v>
      </c>
      <c r="O1397" s="30" t="s">
        <v>145</v>
      </c>
      <c r="P1397" s="30" t="s">
        <v>145</v>
      </c>
      <c r="Q1397" s="30" t="s">
        <v>166</v>
      </c>
    </row>
    <row r="1398" hidden="1">
      <c r="A1398" s="33" t="s">
        <v>6471</v>
      </c>
      <c r="B1398" s="30" t="s">
        <v>139</v>
      </c>
      <c r="C1398" s="30" t="s">
        <v>1891</v>
      </c>
      <c r="D1398" s="30" t="s">
        <v>1891</v>
      </c>
      <c r="E1398" s="35">
        <v>42031.0</v>
      </c>
      <c r="F1398" s="37" t="s">
        <v>150</v>
      </c>
      <c r="G1398" s="30" t="s">
        <v>7092</v>
      </c>
      <c r="H1398" s="30" t="s">
        <v>145</v>
      </c>
      <c r="I1398" s="30" t="s">
        <v>145</v>
      </c>
      <c r="J1398" s="30" t="s">
        <v>145</v>
      </c>
      <c r="K1398" s="30" t="s">
        <v>145</v>
      </c>
      <c r="L1398" s="30" t="s">
        <v>145</v>
      </c>
      <c r="M1398" s="30" t="s">
        <v>145</v>
      </c>
      <c r="N1398" s="30" t="s">
        <v>145</v>
      </c>
      <c r="O1398" s="30" t="s">
        <v>145</v>
      </c>
      <c r="P1398" s="30" t="s">
        <v>145</v>
      </c>
      <c r="Q1398" s="30" t="s">
        <v>1891</v>
      </c>
    </row>
    <row r="1399" hidden="1">
      <c r="A1399" s="33" t="str">
        <f>hyperlink("https://issues.sierrawireless.com/browse/CORONADO-1639", "CORONADO-1639")</f>
        <v>CORONADO-1639</v>
      </c>
      <c r="B1399" s="30" t="s">
        <v>252</v>
      </c>
      <c r="C1399" s="30" t="s">
        <v>140</v>
      </c>
      <c r="D1399" s="30" t="s">
        <v>453</v>
      </c>
      <c r="E1399" s="43">
        <v>43019.0</v>
      </c>
      <c r="F1399" s="44" t="s">
        <v>162</v>
      </c>
      <c r="G1399" s="30" t="s">
        <v>550</v>
      </c>
      <c r="H1399" s="30" t="s">
        <v>7052</v>
      </c>
      <c r="I1399" s="30" t="s">
        <v>145</v>
      </c>
      <c r="J1399" s="30" t="s">
        <v>145</v>
      </c>
      <c r="K1399" s="30" t="s">
        <v>145</v>
      </c>
      <c r="L1399" s="30" t="s">
        <v>145</v>
      </c>
      <c r="M1399" s="2" t="s">
        <v>145</v>
      </c>
      <c r="N1399" s="30" t="s">
        <v>145</v>
      </c>
      <c r="O1399" s="30" t="s">
        <v>145</v>
      </c>
      <c r="P1399" s="30" t="s">
        <v>145</v>
      </c>
      <c r="Q1399" s="30" t="s">
        <v>166</v>
      </c>
    </row>
    <row r="1400" hidden="1">
      <c r="A1400" s="33" t="s">
        <v>6473</v>
      </c>
      <c r="B1400" s="30" t="s">
        <v>139</v>
      </c>
      <c r="C1400" s="30" t="s">
        <v>1891</v>
      </c>
      <c r="D1400" s="30" t="s">
        <v>1891</v>
      </c>
      <c r="E1400" s="35">
        <v>42031.0</v>
      </c>
      <c r="F1400" s="37" t="s">
        <v>150</v>
      </c>
      <c r="G1400" s="30" t="s">
        <v>7092</v>
      </c>
      <c r="H1400" s="30" t="s">
        <v>145</v>
      </c>
      <c r="I1400" s="30" t="s">
        <v>145</v>
      </c>
      <c r="J1400" s="30" t="s">
        <v>145</v>
      </c>
      <c r="K1400" s="30" t="s">
        <v>145</v>
      </c>
      <c r="L1400" s="30" t="s">
        <v>145</v>
      </c>
      <c r="M1400" s="30" t="s">
        <v>145</v>
      </c>
      <c r="N1400" s="30" t="s">
        <v>145</v>
      </c>
      <c r="O1400" s="30" t="s">
        <v>145</v>
      </c>
      <c r="P1400" s="30" t="s">
        <v>145</v>
      </c>
      <c r="Q1400" s="30" t="s">
        <v>1891</v>
      </c>
    </row>
    <row r="1401" hidden="1">
      <c r="A1401" s="33" t="s">
        <v>6476</v>
      </c>
      <c r="B1401" s="30" t="s">
        <v>139</v>
      </c>
      <c r="C1401" s="30" t="s">
        <v>1891</v>
      </c>
      <c r="D1401" s="30" t="s">
        <v>1891</v>
      </c>
      <c r="E1401" s="35">
        <v>42031.0</v>
      </c>
      <c r="F1401" s="37" t="s">
        <v>150</v>
      </c>
      <c r="G1401" s="30" t="s">
        <v>7092</v>
      </c>
      <c r="H1401" s="30" t="s">
        <v>145</v>
      </c>
      <c r="I1401" s="30" t="s">
        <v>145</v>
      </c>
      <c r="J1401" s="30" t="s">
        <v>145</v>
      </c>
      <c r="K1401" s="30" t="s">
        <v>145</v>
      </c>
      <c r="L1401" s="30" t="s">
        <v>145</v>
      </c>
      <c r="M1401" s="30" t="s">
        <v>145</v>
      </c>
      <c r="N1401" s="30" t="s">
        <v>145</v>
      </c>
      <c r="O1401" s="30" t="s">
        <v>145</v>
      </c>
      <c r="P1401" s="30" t="s">
        <v>145</v>
      </c>
      <c r="Q1401" s="30" t="s">
        <v>1891</v>
      </c>
    </row>
    <row r="1402" hidden="1">
      <c r="A1402" s="33" t="s">
        <v>6479</v>
      </c>
      <c r="B1402" s="30" t="s">
        <v>139</v>
      </c>
      <c r="C1402" s="30" t="s">
        <v>216</v>
      </c>
      <c r="D1402" s="30" t="s">
        <v>216</v>
      </c>
      <c r="E1402" s="35">
        <v>42031.0</v>
      </c>
      <c r="F1402" s="37" t="s">
        <v>150</v>
      </c>
      <c r="G1402" s="30" t="s">
        <v>7096</v>
      </c>
      <c r="H1402" s="30" t="s">
        <v>145</v>
      </c>
      <c r="I1402" s="30" t="s">
        <v>145</v>
      </c>
      <c r="J1402" s="30" t="s">
        <v>145</v>
      </c>
      <c r="K1402" s="30" t="s">
        <v>145</v>
      </c>
      <c r="L1402" s="30" t="s">
        <v>145</v>
      </c>
      <c r="M1402" s="30" t="s">
        <v>145</v>
      </c>
      <c r="N1402" s="30" t="s">
        <v>145</v>
      </c>
      <c r="O1402" s="30" t="s">
        <v>145</v>
      </c>
      <c r="P1402" s="30" t="s">
        <v>145</v>
      </c>
      <c r="Q1402" s="30" t="s">
        <v>216</v>
      </c>
    </row>
    <row r="1403" hidden="1">
      <c r="A1403" s="33" t="str">
        <f>hyperlink("https://issues.sierrawireless.com/browse/LE-8165", "LE-8165")</f>
        <v>LE-8165</v>
      </c>
      <c r="B1403" s="30" t="s">
        <v>469</v>
      </c>
      <c r="C1403" s="30" t="s">
        <v>140</v>
      </c>
      <c r="D1403" s="30" t="s">
        <v>140</v>
      </c>
      <c r="E1403" s="35">
        <v>43004.0</v>
      </c>
      <c r="F1403" s="37" t="s">
        <v>207</v>
      </c>
      <c r="G1403" s="30" t="s">
        <v>7097</v>
      </c>
      <c r="H1403" s="30" t="s">
        <v>145</v>
      </c>
      <c r="I1403" s="30" t="s">
        <v>145</v>
      </c>
      <c r="J1403" s="30" t="s">
        <v>145</v>
      </c>
      <c r="K1403" s="30" t="s">
        <v>145</v>
      </c>
      <c r="L1403" s="30" t="s">
        <v>7098</v>
      </c>
      <c r="M1403" s="2" t="s">
        <v>7087</v>
      </c>
      <c r="N1403" s="30" t="s">
        <v>145</v>
      </c>
      <c r="O1403" s="30" t="s">
        <v>145</v>
      </c>
      <c r="P1403" s="30" t="s">
        <v>145</v>
      </c>
      <c r="Q1403" s="30" t="s">
        <v>166</v>
      </c>
    </row>
    <row r="1404" hidden="1">
      <c r="A1404" s="33" t="s">
        <v>6482</v>
      </c>
      <c r="B1404" s="30" t="s">
        <v>139</v>
      </c>
      <c r="C1404" s="30" t="s">
        <v>216</v>
      </c>
      <c r="D1404" s="30" t="s">
        <v>216</v>
      </c>
      <c r="E1404" s="35">
        <v>42031.0</v>
      </c>
      <c r="F1404" s="37" t="s">
        <v>150</v>
      </c>
      <c r="G1404" s="30" t="s">
        <v>7096</v>
      </c>
      <c r="H1404" s="30" t="s">
        <v>145</v>
      </c>
      <c r="I1404" s="30" t="s">
        <v>145</v>
      </c>
      <c r="J1404" s="30" t="s">
        <v>145</v>
      </c>
      <c r="K1404" s="30" t="s">
        <v>145</v>
      </c>
      <c r="L1404" s="30" t="s">
        <v>145</v>
      </c>
      <c r="M1404" s="30" t="s">
        <v>145</v>
      </c>
      <c r="N1404" s="30" t="s">
        <v>145</v>
      </c>
      <c r="O1404" s="30" t="s">
        <v>145</v>
      </c>
      <c r="P1404" s="30" t="s">
        <v>145</v>
      </c>
      <c r="Q1404" s="30" t="s">
        <v>216</v>
      </c>
    </row>
    <row r="1405" hidden="1">
      <c r="A1405" s="33" t="s">
        <v>6486</v>
      </c>
      <c r="B1405" s="30" t="s">
        <v>139</v>
      </c>
      <c r="C1405" s="30" t="s">
        <v>216</v>
      </c>
      <c r="D1405" s="30" t="s">
        <v>216</v>
      </c>
      <c r="E1405" s="35">
        <v>42031.0</v>
      </c>
      <c r="F1405" s="37" t="s">
        <v>150</v>
      </c>
      <c r="G1405" s="30" t="s">
        <v>7096</v>
      </c>
      <c r="H1405" s="30" t="s">
        <v>145</v>
      </c>
      <c r="I1405" s="30" t="s">
        <v>145</v>
      </c>
      <c r="J1405" s="30" t="s">
        <v>145</v>
      </c>
      <c r="K1405" s="30" t="s">
        <v>145</v>
      </c>
      <c r="L1405" s="30" t="s">
        <v>145</v>
      </c>
      <c r="M1405" s="30" t="s">
        <v>145</v>
      </c>
      <c r="N1405" s="30" t="s">
        <v>145</v>
      </c>
      <c r="O1405" s="30" t="s">
        <v>145</v>
      </c>
      <c r="P1405" s="30" t="s">
        <v>145</v>
      </c>
      <c r="Q1405" s="30" t="s">
        <v>216</v>
      </c>
    </row>
    <row r="1406" hidden="1">
      <c r="A1406" s="33" t="str">
        <f>hyperlink("https://issues.sierrawireless.com/browse/COUGAR-552", "COUGAR-552")</f>
        <v>COUGAR-552</v>
      </c>
      <c r="B1406" s="30" t="s">
        <v>196</v>
      </c>
      <c r="C1406" s="30" t="s">
        <v>170</v>
      </c>
      <c r="D1406" s="30" t="s">
        <v>233</v>
      </c>
      <c r="E1406" s="43">
        <v>42699.0</v>
      </c>
      <c r="F1406" s="44" t="s">
        <v>162</v>
      </c>
      <c r="G1406" s="30" t="s">
        <v>7101</v>
      </c>
      <c r="H1406" s="30" t="s">
        <v>180</v>
      </c>
      <c r="I1406" s="2" t="s">
        <v>7102</v>
      </c>
      <c r="J1406" s="30" t="s">
        <v>145</v>
      </c>
      <c r="K1406" s="30" t="s">
        <v>145</v>
      </c>
      <c r="L1406" s="30" t="s">
        <v>180</v>
      </c>
      <c r="M1406" s="2" t="s">
        <v>7103</v>
      </c>
      <c r="N1406" s="30" t="s">
        <v>145</v>
      </c>
      <c r="O1406" s="30" t="s">
        <v>145</v>
      </c>
      <c r="P1406" s="30" t="s">
        <v>145</v>
      </c>
      <c r="Q1406" s="30" t="s">
        <v>743</v>
      </c>
    </row>
    <row r="1407" hidden="1">
      <c r="A1407" s="33" t="s">
        <v>6488</v>
      </c>
      <c r="B1407" s="30" t="s">
        <v>139</v>
      </c>
      <c r="C1407" s="30" t="s">
        <v>216</v>
      </c>
      <c r="D1407" s="30" t="s">
        <v>216</v>
      </c>
      <c r="E1407" s="35">
        <v>42031.0</v>
      </c>
      <c r="F1407" s="37" t="s">
        <v>150</v>
      </c>
      <c r="G1407" s="30" t="s">
        <v>7096</v>
      </c>
      <c r="H1407" s="30" t="s">
        <v>145</v>
      </c>
      <c r="I1407" s="30" t="s">
        <v>145</v>
      </c>
      <c r="J1407" s="30" t="s">
        <v>145</v>
      </c>
      <c r="K1407" s="30" t="s">
        <v>145</v>
      </c>
      <c r="L1407" s="30" t="s">
        <v>145</v>
      </c>
      <c r="M1407" s="30" t="s">
        <v>145</v>
      </c>
      <c r="N1407" s="30" t="s">
        <v>145</v>
      </c>
      <c r="O1407" s="30" t="s">
        <v>145</v>
      </c>
      <c r="P1407" s="30" t="s">
        <v>145</v>
      </c>
      <c r="Q1407" s="30" t="s">
        <v>216</v>
      </c>
    </row>
    <row r="1408" hidden="1">
      <c r="A1408" s="33" t="str">
        <f>hyperlink("https://issues.sierrawireless.com/browse/FWTOOLS-117", "FWTOOLS-117")</f>
        <v>FWTOOLS-117</v>
      </c>
      <c r="B1408" s="30" t="s">
        <v>496</v>
      </c>
      <c r="C1408" s="30" t="s">
        <v>148</v>
      </c>
      <c r="D1408" s="30" t="s">
        <v>6735</v>
      </c>
      <c r="E1408" s="35">
        <v>42985.0</v>
      </c>
      <c r="F1408" s="37" t="s">
        <v>379</v>
      </c>
      <c r="G1408" s="2" t="s">
        <v>7104</v>
      </c>
      <c r="H1408" s="30" t="s">
        <v>166</v>
      </c>
      <c r="I1408" s="30" t="s">
        <v>166</v>
      </c>
      <c r="J1408" s="30" t="s">
        <v>166</v>
      </c>
      <c r="K1408" s="30" t="s">
        <v>166</v>
      </c>
      <c r="L1408" s="30" t="s">
        <v>166</v>
      </c>
      <c r="M1408" s="30" t="s">
        <v>166</v>
      </c>
      <c r="N1408" s="30" t="s">
        <v>145</v>
      </c>
      <c r="O1408" s="30" t="s">
        <v>145</v>
      </c>
      <c r="P1408" s="30" t="s">
        <v>145</v>
      </c>
      <c r="Q1408" s="30" t="s">
        <v>166</v>
      </c>
    </row>
    <row r="1409" hidden="1">
      <c r="A1409" s="33" t="s">
        <v>6492</v>
      </c>
      <c r="B1409" s="30" t="s">
        <v>139</v>
      </c>
      <c r="C1409" s="30" t="s">
        <v>216</v>
      </c>
      <c r="D1409" s="30" t="s">
        <v>216</v>
      </c>
      <c r="E1409" s="35">
        <v>42031.0</v>
      </c>
      <c r="F1409" s="37" t="s">
        <v>150</v>
      </c>
      <c r="G1409" s="30" t="s">
        <v>7096</v>
      </c>
      <c r="H1409" s="30" t="s">
        <v>145</v>
      </c>
      <c r="I1409" s="30" t="s">
        <v>145</v>
      </c>
      <c r="J1409" s="30" t="s">
        <v>145</v>
      </c>
      <c r="K1409" s="30" t="s">
        <v>145</v>
      </c>
      <c r="L1409" s="30" t="s">
        <v>145</v>
      </c>
      <c r="M1409" s="30" t="s">
        <v>145</v>
      </c>
      <c r="N1409" s="30" t="s">
        <v>145</v>
      </c>
      <c r="O1409" s="30" t="s">
        <v>145</v>
      </c>
      <c r="P1409" s="30" t="s">
        <v>145</v>
      </c>
      <c r="Q1409" s="30" t="s">
        <v>216</v>
      </c>
    </row>
    <row r="1410" hidden="1">
      <c r="A1410" s="33" t="str">
        <f>hyperlink("https://issues.sierrawireless.com/browse/MOLAR755XRD-97", "MOLAR755XRD-97")</f>
        <v>MOLAR755XRD-97</v>
      </c>
      <c r="B1410" s="30" t="s">
        <v>252</v>
      </c>
      <c r="C1410" s="30" t="s">
        <v>140</v>
      </c>
      <c r="D1410" s="30" t="s">
        <v>164</v>
      </c>
      <c r="E1410" s="35">
        <v>42971.0</v>
      </c>
      <c r="F1410" s="37" t="s">
        <v>162</v>
      </c>
      <c r="G1410" s="30" t="s">
        <v>6001</v>
      </c>
      <c r="H1410" s="30" t="s">
        <v>421</v>
      </c>
      <c r="I1410" s="30" t="s">
        <v>7107</v>
      </c>
      <c r="J1410" s="30" t="s">
        <v>145</v>
      </c>
      <c r="K1410" s="30" t="s">
        <v>145</v>
      </c>
      <c r="L1410" s="30" t="s">
        <v>145</v>
      </c>
      <c r="M1410" s="30" t="s">
        <v>145</v>
      </c>
      <c r="N1410" s="30" t="s">
        <v>145</v>
      </c>
      <c r="O1410" s="30" t="s">
        <v>145</v>
      </c>
      <c r="P1410" s="30" t="s">
        <v>145</v>
      </c>
      <c r="Q1410" s="30" t="s">
        <v>146</v>
      </c>
    </row>
    <row r="1411" hidden="1">
      <c r="A1411" s="33" t="s">
        <v>6495</v>
      </c>
      <c r="B1411" s="30" t="s">
        <v>139</v>
      </c>
      <c r="C1411" s="30" t="s">
        <v>216</v>
      </c>
      <c r="D1411" s="30" t="s">
        <v>216</v>
      </c>
      <c r="E1411" s="35">
        <v>42031.0</v>
      </c>
      <c r="F1411" s="37" t="s">
        <v>150</v>
      </c>
      <c r="G1411" s="30" t="s">
        <v>7096</v>
      </c>
      <c r="H1411" s="30" t="s">
        <v>145</v>
      </c>
      <c r="I1411" s="30" t="s">
        <v>145</v>
      </c>
      <c r="J1411" s="30" t="s">
        <v>145</v>
      </c>
      <c r="K1411" s="30" t="s">
        <v>145</v>
      </c>
      <c r="L1411" s="30" t="s">
        <v>145</v>
      </c>
      <c r="M1411" s="30" t="s">
        <v>145</v>
      </c>
      <c r="N1411" s="30" t="s">
        <v>145</v>
      </c>
      <c r="O1411" s="30" t="s">
        <v>145</v>
      </c>
      <c r="P1411" s="30" t="s">
        <v>145</v>
      </c>
      <c r="Q1411" s="30" t="s">
        <v>216</v>
      </c>
    </row>
    <row r="1412" hidden="1">
      <c r="A1412" s="33" t="str">
        <f>hyperlink("https://issues.sierrawireless.com/browse/FWTOOLS-101", "FWTOOLS-101")</f>
        <v>FWTOOLS-101</v>
      </c>
      <c r="B1412" s="30" t="s">
        <v>3803</v>
      </c>
      <c r="C1412" s="30" t="s">
        <v>148</v>
      </c>
      <c r="D1412" s="30" t="s">
        <v>233</v>
      </c>
      <c r="E1412" s="35">
        <v>42951.0</v>
      </c>
      <c r="F1412" s="37" t="s">
        <v>379</v>
      </c>
      <c r="G1412" s="30" t="s">
        <v>7108</v>
      </c>
      <c r="H1412" s="30" t="s">
        <v>166</v>
      </c>
      <c r="I1412" s="30" t="s">
        <v>166</v>
      </c>
      <c r="J1412" s="30" t="s">
        <v>166</v>
      </c>
      <c r="K1412" s="30" t="s">
        <v>166</v>
      </c>
      <c r="L1412" s="30" t="s">
        <v>166</v>
      </c>
      <c r="M1412" s="30" t="s">
        <v>166</v>
      </c>
      <c r="N1412" s="30" t="s">
        <v>145</v>
      </c>
      <c r="O1412" s="30" t="s">
        <v>145</v>
      </c>
      <c r="P1412" s="30" t="s">
        <v>145</v>
      </c>
      <c r="Q1412" s="30" t="s">
        <v>166</v>
      </c>
    </row>
    <row r="1413" hidden="1">
      <c r="A1413" s="33" t="str">
        <f>hyperlink("https://issues.sierrawireless.com/browse/SZAM-81", "SZAM-81")</f>
        <v>SZAM-81</v>
      </c>
      <c r="B1413" s="30" t="s">
        <v>277</v>
      </c>
      <c r="C1413" s="30" t="s">
        <v>148</v>
      </c>
      <c r="D1413" s="30" t="s">
        <v>233</v>
      </c>
      <c r="E1413" s="35">
        <v>42947.0</v>
      </c>
      <c r="F1413" s="37" t="s">
        <v>162</v>
      </c>
      <c r="G1413" s="30" t="s">
        <v>7109</v>
      </c>
      <c r="H1413" s="30" t="s">
        <v>152</v>
      </c>
      <c r="I1413" s="2" t="s">
        <v>7110</v>
      </c>
      <c r="J1413" s="30" t="s">
        <v>145</v>
      </c>
      <c r="K1413" s="30" t="s">
        <v>145</v>
      </c>
      <c r="L1413" s="30" t="s">
        <v>145</v>
      </c>
      <c r="M1413" s="30" t="s">
        <v>145</v>
      </c>
      <c r="N1413" s="30" t="s">
        <v>145</v>
      </c>
      <c r="O1413" s="30" t="s">
        <v>145</v>
      </c>
      <c r="P1413" s="30" t="s">
        <v>145</v>
      </c>
      <c r="Q1413" s="30" t="s">
        <v>166</v>
      </c>
    </row>
    <row r="1414" hidden="1">
      <c r="A1414" s="33" t="s">
        <v>6497</v>
      </c>
      <c r="B1414" s="30" t="s">
        <v>139</v>
      </c>
      <c r="C1414" s="30" t="s">
        <v>177</v>
      </c>
      <c r="D1414" s="30" t="s">
        <v>177</v>
      </c>
      <c r="E1414" s="35">
        <v>42031.0</v>
      </c>
      <c r="F1414" s="37" t="s">
        <v>150</v>
      </c>
      <c r="G1414" s="30" t="s">
        <v>7111</v>
      </c>
      <c r="H1414" s="30" t="s">
        <v>145</v>
      </c>
      <c r="I1414" s="30" t="s">
        <v>145</v>
      </c>
      <c r="J1414" s="30" t="s">
        <v>145</v>
      </c>
      <c r="K1414" s="30" t="s">
        <v>145</v>
      </c>
      <c r="L1414" s="30" t="s">
        <v>145</v>
      </c>
      <c r="M1414" s="30" t="s">
        <v>145</v>
      </c>
      <c r="N1414" s="30" t="s">
        <v>145</v>
      </c>
      <c r="O1414" s="30" t="s">
        <v>145</v>
      </c>
      <c r="P1414" s="30" t="s">
        <v>145</v>
      </c>
      <c r="Q1414" s="30" t="s">
        <v>177</v>
      </c>
    </row>
    <row r="1415" hidden="1">
      <c r="A1415" s="33" t="str">
        <f>hyperlink("https://issues.sierrawireless.com/browse/QTI9X28-1694", "QTI9X28-1694")</f>
        <v>QTI9X28-1694</v>
      </c>
      <c r="B1415" s="30" t="s">
        <v>277</v>
      </c>
      <c r="C1415" s="30" t="s">
        <v>140</v>
      </c>
      <c r="D1415" s="30" t="s">
        <v>1191</v>
      </c>
      <c r="E1415" s="35">
        <v>42905.0</v>
      </c>
      <c r="F1415" s="37" t="s">
        <v>162</v>
      </c>
      <c r="G1415" s="30" t="s">
        <v>7114</v>
      </c>
      <c r="H1415" s="30" t="s">
        <v>7115</v>
      </c>
      <c r="I1415" s="2" t="s">
        <v>1192</v>
      </c>
      <c r="J1415" s="30" t="s">
        <v>145</v>
      </c>
      <c r="K1415" s="30" t="s">
        <v>145</v>
      </c>
      <c r="L1415" s="30" t="s">
        <v>146</v>
      </c>
      <c r="M1415" s="2" t="s">
        <v>7116</v>
      </c>
      <c r="N1415" s="30" t="s">
        <v>145</v>
      </c>
      <c r="O1415" s="30" t="s">
        <v>145</v>
      </c>
      <c r="P1415" s="30" t="s">
        <v>145</v>
      </c>
      <c r="Q1415" s="30" t="s">
        <v>166</v>
      </c>
    </row>
    <row r="1416" hidden="1">
      <c r="A1416" s="33" t="str">
        <f>hyperlink("https://issues.sierrawireless.com/browse/QTI9X40-2083", "QTI9X40-2083")</f>
        <v>QTI9X40-2083</v>
      </c>
      <c r="B1416" s="30" t="s">
        <v>277</v>
      </c>
      <c r="C1416" s="30" t="s">
        <v>140</v>
      </c>
      <c r="D1416" s="30" t="s">
        <v>1191</v>
      </c>
      <c r="E1416" s="35">
        <v>42905.0</v>
      </c>
      <c r="F1416" s="37" t="s">
        <v>162</v>
      </c>
      <c r="G1416" s="30" t="s">
        <v>7117</v>
      </c>
      <c r="H1416" s="30" t="s">
        <v>7118</v>
      </c>
      <c r="I1416" s="30" t="s">
        <v>7119</v>
      </c>
      <c r="J1416" s="30" t="s">
        <v>145</v>
      </c>
      <c r="K1416" s="30" t="s">
        <v>145</v>
      </c>
      <c r="L1416" s="30" t="s">
        <v>145</v>
      </c>
      <c r="M1416" s="30" t="s">
        <v>145</v>
      </c>
      <c r="N1416" s="30" t="s">
        <v>145</v>
      </c>
      <c r="O1416" s="30" t="s">
        <v>145</v>
      </c>
      <c r="P1416" s="30" t="s">
        <v>145</v>
      </c>
      <c r="Q1416" s="30" t="s">
        <v>166</v>
      </c>
    </row>
    <row r="1417" hidden="1">
      <c r="A1417" s="33" t="s">
        <v>6501</v>
      </c>
      <c r="B1417" s="30" t="s">
        <v>139</v>
      </c>
      <c r="C1417" s="30" t="s">
        <v>216</v>
      </c>
      <c r="D1417" s="30" t="s">
        <v>216</v>
      </c>
      <c r="E1417" s="35">
        <v>42031.0</v>
      </c>
      <c r="F1417" s="37" t="s">
        <v>150</v>
      </c>
      <c r="G1417" s="30" t="s">
        <v>7096</v>
      </c>
      <c r="H1417" s="30" t="s">
        <v>145</v>
      </c>
      <c r="I1417" s="30" t="s">
        <v>145</v>
      </c>
      <c r="J1417" s="30" t="s">
        <v>145</v>
      </c>
      <c r="K1417" s="30" t="s">
        <v>145</v>
      </c>
      <c r="L1417" s="30" t="s">
        <v>145</v>
      </c>
      <c r="M1417" s="30" t="s">
        <v>145</v>
      </c>
      <c r="N1417" s="30" t="s">
        <v>145</v>
      </c>
      <c r="O1417" s="30" t="s">
        <v>145</v>
      </c>
      <c r="P1417" s="30" t="s">
        <v>145</v>
      </c>
      <c r="Q1417" s="30" t="s">
        <v>216</v>
      </c>
    </row>
    <row r="1418" hidden="1">
      <c r="A1418" s="33" t="str">
        <f>hyperlink("https://issues.sierrawireless.com/browse/FWTOOLS-80", "FWTOOLS-80")</f>
        <v>FWTOOLS-80</v>
      </c>
      <c r="B1418" s="30" t="s">
        <v>496</v>
      </c>
      <c r="C1418" s="30" t="s">
        <v>148</v>
      </c>
      <c r="D1418" s="30" t="s">
        <v>233</v>
      </c>
      <c r="E1418" s="35">
        <v>42818.0</v>
      </c>
      <c r="F1418" s="37" t="s">
        <v>379</v>
      </c>
      <c r="G1418" s="2" t="s">
        <v>7120</v>
      </c>
      <c r="H1418" s="30" t="s">
        <v>166</v>
      </c>
      <c r="I1418" s="30" t="s">
        <v>166</v>
      </c>
      <c r="J1418" s="30" t="s">
        <v>166</v>
      </c>
      <c r="K1418" s="30" t="s">
        <v>166</v>
      </c>
      <c r="L1418" s="30" t="s">
        <v>166</v>
      </c>
      <c r="M1418" s="30" t="s">
        <v>166</v>
      </c>
      <c r="N1418" s="30" t="s">
        <v>145</v>
      </c>
      <c r="O1418" s="30" t="s">
        <v>145</v>
      </c>
      <c r="P1418" s="30" t="s">
        <v>145</v>
      </c>
      <c r="Q1418" s="30" t="s">
        <v>166</v>
      </c>
    </row>
    <row r="1419" hidden="1">
      <c r="A1419" s="33" t="str">
        <f>hyperlink("https://issues.sierrawireless.com/browse/HSWFDT-70", "HSWFDT-70")</f>
        <v>HSWFDT-70</v>
      </c>
      <c r="B1419" s="30" t="s">
        <v>86</v>
      </c>
      <c r="C1419" s="30" t="s">
        <v>140</v>
      </c>
      <c r="D1419" s="30" t="s">
        <v>453</v>
      </c>
      <c r="E1419" s="35">
        <v>42790.0</v>
      </c>
      <c r="F1419" s="37" t="s">
        <v>143</v>
      </c>
      <c r="G1419" s="2" t="s">
        <v>7121</v>
      </c>
      <c r="H1419" s="30" t="s">
        <v>145</v>
      </c>
      <c r="I1419" s="30" t="s">
        <v>145</v>
      </c>
      <c r="J1419" s="30" t="s">
        <v>145</v>
      </c>
      <c r="K1419" s="30" t="s">
        <v>145</v>
      </c>
      <c r="L1419" s="30" t="s">
        <v>145</v>
      </c>
      <c r="M1419" s="30" t="s">
        <v>145</v>
      </c>
      <c r="N1419" s="30" t="s">
        <v>145</v>
      </c>
      <c r="O1419" s="30" t="s">
        <v>145</v>
      </c>
      <c r="P1419" s="30" t="s">
        <v>145</v>
      </c>
      <c r="Q1419" s="30" t="s">
        <v>166</v>
      </c>
    </row>
    <row r="1420" hidden="1">
      <c r="A1420" s="33" t="s">
        <v>6503</v>
      </c>
      <c r="B1420" s="30" t="s">
        <v>139</v>
      </c>
      <c r="C1420" s="30" t="s">
        <v>6505</v>
      </c>
      <c r="D1420" s="30" t="s">
        <v>6505</v>
      </c>
      <c r="E1420" s="35">
        <v>42031.0</v>
      </c>
      <c r="F1420" s="37" t="s">
        <v>150</v>
      </c>
      <c r="G1420" s="30" t="s">
        <v>7122</v>
      </c>
      <c r="H1420" s="30" t="s">
        <v>145</v>
      </c>
      <c r="I1420" s="30" t="s">
        <v>145</v>
      </c>
      <c r="J1420" s="30" t="s">
        <v>145</v>
      </c>
      <c r="K1420" s="30" t="s">
        <v>145</v>
      </c>
      <c r="L1420" s="30" t="s">
        <v>145</v>
      </c>
      <c r="M1420" s="30" t="s">
        <v>6505</v>
      </c>
      <c r="N1420" s="30" t="s">
        <v>145</v>
      </c>
      <c r="O1420" s="30" t="s">
        <v>145</v>
      </c>
      <c r="P1420" s="30" t="s">
        <v>145</v>
      </c>
      <c r="Q1420" s="30" t="s">
        <v>7123</v>
      </c>
    </row>
    <row r="1421" hidden="1">
      <c r="A1421" s="33" t="s">
        <v>6506</v>
      </c>
      <c r="B1421" s="30" t="s">
        <v>139</v>
      </c>
      <c r="C1421" s="30" t="s">
        <v>216</v>
      </c>
      <c r="D1421" s="30" t="s">
        <v>216</v>
      </c>
      <c r="E1421" s="35">
        <v>42031.0</v>
      </c>
      <c r="F1421" s="37" t="s">
        <v>150</v>
      </c>
      <c r="G1421" s="30" t="s">
        <v>7096</v>
      </c>
      <c r="H1421" s="30" t="s">
        <v>145</v>
      </c>
      <c r="I1421" s="30" t="s">
        <v>145</v>
      </c>
      <c r="J1421" s="30" t="s">
        <v>145</v>
      </c>
      <c r="K1421" s="30" t="s">
        <v>145</v>
      </c>
      <c r="L1421" s="30" t="s">
        <v>145</v>
      </c>
      <c r="M1421" s="30" t="s">
        <v>145</v>
      </c>
      <c r="N1421" s="30" t="s">
        <v>145</v>
      </c>
      <c r="O1421" s="30" t="s">
        <v>145</v>
      </c>
      <c r="P1421" s="30" t="s">
        <v>145</v>
      </c>
      <c r="Q1421" s="30" t="s">
        <v>216</v>
      </c>
    </row>
    <row r="1422" hidden="1">
      <c r="A1422" s="33" t="s">
        <v>6509</v>
      </c>
      <c r="B1422" s="30" t="s">
        <v>139</v>
      </c>
      <c r="C1422" s="30" t="s">
        <v>216</v>
      </c>
      <c r="D1422" s="30" t="s">
        <v>216</v>
      </c>
      <c r="E1422" s="35">
        <v>42031.0</v>
      </c>
      <c r="F1422" s="37" t="s">
        <v>150</v>
      </c>
      <c r="G1422" s="30" t="s">
        <v>7096</v>
      </c>
      <c r="H1422" s="30" t="s">
        <v>145</v>
      </c>
      <c r="I1422" s="30" t="s">
        <v>145</v>
      </c>
      <c r="J1422" s="30" t="s">
        <v>145</v>
      </c>
      <c r="K1422" s="30" t="s">
        <v>145</v>
      </c>
      <c r="L1422" s="30" t="s">
        <v>145</v>
      </c>
      <c r="M1422" s="30" t="s">
        <v>145</v>
      </c>
      <c r="N1422" s="30" t="s">
        <v>145</v>
      </c>
      <c r="O1422" s="30" t="s">
        <v>145</v>
      </c>
      <c r="P1422" s="30" t="s">
        <v>145</v>
      </c>
      <c r="Q1422" s="30" t="s">
        <v>216</v>
      </c>
    </row>
    <row r="1423" hidden="1">
      <c r="A1423" s="33" t="s">
        <v>6512</v>
      </c>
      <c r="B1423" s="30" t="s">
        <v>139</v>
      </c>
      <c r="C1423" s="30" t="s">
        <v>216</v>
      </c>
      <c r="D1423" s="30" t="s">
        <v>216</v>
      </c>
      <c r="E1423" s="35">
        <v>42031.0</v>
      </c>
      <c r="F1423" s="37" t="s">
        <v>150</v>
      </c>
      <c r="G1423" s="30" t="s">
        <v>7096</v>
      </c>
      <c r="H1423" s="30" t="s">
        <v>145</v>
      </c>
      <c r="I1423" s="30" t="s">
        <v>145</v>
      </c>
      <c r="J1423" s="30" t="s">
        <v>145</v>
      </c>
      <c r="K1423" s="30" t="s">
        <v>145</v>
      </c>
      <c r="L1423" s="30" t="s">
        <v>145</v>
      </c>
      <c r="M1423" s="30" t="s">
        <v>145</v>
      </c>
      <c r="N1423" s="30" t="s">
        <v>145</v>
      </c>
      <c r="O1423" s="30" t="s">
        <v>145</v>
      </c>
      <c r="P1423" s="30" t="s">
        <v>145</v>
      </c>
      <c r="Q1423" s="30" t="s">
        <v>216</v>
      </c>
    </row>
    <row r="1424" hidden="1">
      <c r="A1424" s="33" t="s">
        <v>6516</v>
      </c>
      <c r="B1424" s="30" t="s">
        <v>139</v>
      </c>
      <c r="C1424" s="30" t="s">
        <v>216</v>
      </c>
      <c r="D1424" s="30" t="s">
        <v>216</v>
      </c>
      <c r="E1424" s="35">
        <v>42031.0</v>
      </c>
      <c r="F1424" s="37" t="s">
        <v>150</v>
      </c>
      <c r="G1424" s="30" t="s">
        <v>7096</v>
      </c>
      <c r="H1424" s="30" t="s">
        <v>145</v>
      </c>
      <c r="I1424" s="30" t="s">
        <v>145</v>
      </c>
      <c r="J1424" s="30" t="s">
        <v>145</v>
      </c>
      <c r="K1424" s="30" t="s">
        <v>145</v>
      </c>
      <c r="L1424" s="30" t="s">
        <v>145</v>
      </c>
      <c r="M1424" s="30" t="s">
        <v>145</v>
      </c>
      <c r="N1424" s="30" t="s">
        <v>145</v>
      </c>
      <c r="O1424" s="30" t="s">
        <v>145</v>
      </c>
      <c r="P1424" s="30" t="s">
        <v>145</v>
      </c>
      <c r="Q1424" s="30" t="s">
        <v>216</v>
      </c>
    </row>
    <row r="1425" hidden="1">
      <c r="A1425" s="33" t="s">
        <v>6519</v>
      </c>
      <c r="B1425" s="30" t="s">
        <v>139</v>
      </c>
      <c r="C1425" s="30" t="s">
        <v>1891</v>
      </c>
      <c r="D1425" s="30" t="s">
        <v>1891</v>
      </c>
      <c r="E1425" s="35">
        <v>42030.0</v>
      </c>
      <c r="F1425" s="37" t="s">
        <v>150</v>
      </c>
      <c r="G1425" s="30" t="s">
        <v>7125</v>
      </c>
      <c r="H1425" s="30" t="s">
        <v>145</v>
      </c>
      <c r="I1425" s="30" t="s">
        <v>145</v>
      </c>
      <c r="J1425" s="30" t="s">
        <v>145</v>
      </c>
      <c r="K1425" s="30" t="s">
        <v>145</v>
      </c>
      <c r="L1425" s="30" t="s">
        <v>145</v>
      </c>
      <c r="M1425" s="30" t="s">
        <v>145</v>
      </c>
      <c r="N1425" s="30" t="s">
        <v>145</v>
      </c>
      <c r="O1425" s="30" t="s">
        <v>145</v>
      </c>
      <c r="P1425" s="30" t="s">
        <v>145</v>
      </c>
      <c r="Q1425" s="30" t="s">
        <v>1891</v>
      </c>
    </row>
    <row r="1426" hidden="1">
      <c r="A1426" s="33" t="s">
        <v>6523</v>
      </c>
      <c r="B1426" s="30" t="s">
        <v>139</v>
      </c>
      <c r="C1426" s="30" t="s">
        <v>609</v>
      </c>
      <c r="D1426" s="30" t="s">
        <v>609</v>
      </c>
      <c r="E1426" s="35">
        <v>42030.0</v>
      </c>
      <c r="F1426" s="37" t="s">
        <v>150</v>
      </c>
      <c r="G1426" s="30" t="s">
        <v>7126</v>
      </c>
      <c r="H1426" s="30" t="s">
        <v>145</v>
      </c>
      <c r="I1426" s="30" t="s">
        <v>145</v>
      </c>
      <c r="J1426" s="30" t="s">
        <v>145</v>
      </c>
      <c r="K1426" s="30" t="s">
        <v>145</v>
      </c>
      <c r="L1426" s="30" t="s">
        <v>145</v>
      </c>
      <c r="M1426" s="30" t="s">
        <v>145</v>
      </c>
      <c r="N1426" s="30" t="s">
        <v>145</v>
      </c>
      <c r="O1426" s="30" t="s">
        <v>145</v>
      </c>
      <c r="P1426" s="30" t="s">
        <v>145</v>
      </c>
      <c r="Q1426" s="30" t="s">
        <v>609</v>
      </c>
    </row>
    <row r="1427" hidden="1">
      <c r="A1427" s="33" t="s">
        <v>6526</v>
      </c>
      <c r="B1427" s="30" t="s">
        <v>139</v>
      </c>
      <c r="C1427" s="30" t="s">
        <v>244</v>
      </c>
      <c r="D1427" s="30" t="s">
        <v>244</v>
      </c>
      <c r="E1427" s="35">
        <v>42030.0</v>
      </c>
      <c r="F1427" s="37" t="s">
        <v>150</v>
      </c>
      <c r="G1427" s="30" t="s">
        <v>7127</v>
      </c>
      <c r="H1427" s="30" t="s">
        <v>145</v>
      </c>
      <c r="I1427" s="30" t="s">
        <v>145</v>
      </c>
      <c r="J1427" s="30" t="s">
        <v>145</v>
      </c>
      <c r="K1427" s="30" t="s">
        <v>145</v>
      </c>
      <c r="L1427" s="30" t="s">
        <v>145</v>
      </c>
      <c r="M1427" s="30" t="s">
        <v>145</v>
      </c>
      <c r="N1427" s="30" t="s">
        <v>145</v>
      </c>
      <c r="O1427" s="30" t="s">
        <v>145</v>
      </c>
      <c r="P1427" s="30" t="s">
        <v>145</v>
      </c>
      <c r="Q1427" s="30" t="s">
        <v>244</v>
      </c>
    </row>
    <row r="1428" hidden="1">
      <c r="A1428" s="33" t="s">
        <v>6529</v>
      </c>
      <c r="B1428" s="30" t="s">
        <v>139</v>
      </c>
      <c r="C1428" s="30" t="s">
        <v>216</v>
      </c>
      <c r="D1428" s="30" t="s">
        <v>216</v>
      </c>
      <c r="E1428" s="35">
        <v>42029.0</v>
      </c>
      <c r="F1428" s="37" t="s">
        <v>150</v>
      </c>
      <c r="G1428" s="30" t="s">
        <v>7128</v>
      </c>
      <c r="H1428" s="30" t="s">
        <v>145</v>
      </c>
      <c r="I1428" s="30" t="s">
        <v>145</v>
      </c>
      <c r="J1428" s="30" t="s">
        <v>145</v>
      </c>
      <c r="K1428" s="30" t="s">
        <v>145</v>
      </c>
      <c r="L1428" s="30" t="s">
        <v>145</v>
      </c>
      <c r="M1428" s="30" t="s">
        <v>145</v>
      </c>
      <c r="N1428" s="30" t="s">
        <v>145</v>
      </c>
      <c r="O1428" s="30" t="s">
        <v>145</v>
      </c>
      <c r="P1428" s="30" t="s">
        <v>145</v>
      </c>
      <c r="Q1428" s="30" t="s">
        <v>216</v>
      </c>
    </row>
    <row r="1429" hidden="1">
      <c r="A1429" s="33" t="s">
        <v>6531</v>
      </c>
      <c r="B1429" s="30" t="s">
        <v>139</v>
      </c>
      <c r="C1429" s="30" t="s">
        <v>216</v>
      </c>
      <c r="D1429" s="30" t="s">
        <v>216</v>
      </c>
      <c r="E1429" s="35">
        <v>42029.0</v>
      </c>
      <c r="F1429" s="37" t="s">
        <v>150</v>
      </c>
      <c r="G1429" s="30" t="s">
        <v>7128</v>
      </c>
      <c r="H1429" s="30" t="s">
        <v>145</v>
      </c>
      <c r="I1429" s="30" t="s">
        <v>145</v>
      </c>
      <c r="J1429" s="30" t="s">
        <v>145</v>
      </c>
      <c r="K1429" s="30" t="s">
        <v>145</v>
      </c>
      <c r="L1429" s="30" t="s">
        <v>145</v>
      </c>
      <c r="M1429" s="30" t="s">
        <v>145</v>
      </c>
      <c r="N1429" s="30" t="s">
        <v>145</v>
      </c>
      <c r="O1429" s="30" t="s">
        <v>145</v>
      </c>
      <c r="P1429" s="30" t="s">
        <v>145</v>
      </c>
      <c r="Q1429" s="30" t="s">
        <v>216</v>
      </c>
    </row>
    <row r="1430" hidden="1">
      <c r="A1430" s="33" t="s">
        <v>6534</v>
      </c>
      <c r="B1430" s="30" t="s">
        <v>139</v>
      </c>
      <c r="C1430" s="30" t="s">
        <v>216</v>
      </c>
      <c r="D1430" s="30" t="s">
        <v>216</v>
      </c>
      <c r="E1430" s="35">
        <v>42029.0</v>
      </c>
      <c r="F1430" s="37" t="s">
        <v>150</v>
      </c>
      <c r="G1430" s="30" t="s">
        <v>7128</v>
      </c>
      <c r="H1430" s="30" t="s">
        <v>145</v>
      </c>
      <c r="I1430" s="30" t="s">
        <v>145</v>
      </c>
      <c r="J1430" s="30" t="s">
        <v>145</v>
      </c>
      <c r="K1430" s="30" t="s">
        <v>145</v>
      </c>
      <c r="L1430" s="30" t="s">
        <v>145</v>
      </c>
      <c r="M1430" s="30" t="s">
        <v>145</v>
      </c>
      <c r="N1430" s="30" t="s">
        <v>145</v>
      </c>
      <c r="O1430" s="30" t="s">
        <v>145</v>
      </c>
      <c r="P1430" s="30" t="s">
        <v>145</v>
      </c>
      <c r="Q1430" s="30" t="s">
        <v>216</v>
      </c>
    </row>
    <row r="1431" hidden="1">
      <c r="A1431" s="33" t="s">
        <v>6538</v>
      </c>
      <c r="B1431" s="30" t="s">
        <v>139</v>
      </c>
      <c r="C1431" s="30" t="s">
        <v>177</v>
      </c>
      <c r="D1431" s="30" t="s">
        <v>177</v>
      </c>
      <c r="E1431" s="35">
        <v>42029.0</v>
      </c>
      <c r="F1431" s="37" t="s">
        <v>150</v>
      </c>
      <c r="G1431" s="30" t="s">
        <v>7129</v>
      </c>
      <c r="H1431" s="30" t="s">
        <v>145</v>
      </c>
      <c r="I1431" s="30" t="s">
        <v>145</v>
      </c>
      <c r="J1431" s="30" t="s">
        <v>145</v>
      </c>
      <c r="K1431" s="30" t="s">
        <v>145</v>
      </c>
      <c r="L1431" s="30" t="s">
        <v>145</v>
      </c>
      <c r="M1431" s="30" t="s">
        <v>145</v>
      </c>
      <c r="N1431" s="30" t="s">
        <v>145</v>
      </c>
      <c r="O1431" s="30" t="s">
        <v>145</v>
      </c>
      <c r="P1431" s="30" t="s">
        <v>145</v>
      </c>
      <c r="Q1431" s="30" t="s">
        <v>177</v>
      </c>
    </row>
    <row r="1432" hidden="1">
      <c r="A1432" s="33" t="s">
        <v>6540</v>
      </c>
      <c r="B1432" s="30" t="s">
        <v>139</v>
      </c>
      <c r="C1432" s="30" t="s">
        <v>6505</v>
      </c>
      <c r="D1432" s="30" t="s">
        <v>6505</v>
      </c>
      <c r="E1432" s="35">
        <v>42029.0</v>
      </c>
      <c r="F1432" s="37" t="s">
        <v>150</v>
      </c>
      <c r="G1432" s="30" t="s">
        <v>7130</v>
      </c>
      <c r="H1432" s="30" t="s">
        <v>145</v>
      </c>
      <c r="I1432" s="30" t="s">
        <v>145</v>
      </c>
      <c r="J1432" s="30" t="s">
        <v>145</v>
      </c>
      <c r="K1432" s="30" t="s">
        <v>145</v>
      </c>
      <c r="L1432" s="30" t="s">
        <v>145</v>
      </c>
      <c r="M1432" s="30" t="s">
        <v>6505</v>
      </c>
      <c r="N1432" s="30" t="s">
        <v>145</v>
      </c>
      <c r="O1432" s="30" t="s">
        <v>145</v>
      </c>
      <c r="P1432" s="30" t="s">
        <v>145</v>
      </c>
      <c r="Q1432" s="30" t="s">
        <v>7123</v>
      </c>
    </row>
    <row r="1433" hidden="1">
      <c r="A1433" s="33" t="s">
        <v>6543</v>
      </c>
      <c r="B1433" s="30" t="s">
        <v>139</v>
      </c>
      <c r="C1433" s="30" t="s">
        <v>216</v>
      </c>
      <c r="D1433" s="30" t="s">
        <v>216</v>
      </c>
      <c r="E1433" s="35">
        <v>42028.0</v>
      </c>
      <c r="F1433" s="37" t="s">
        <v>150</v>
      </c>
      <c r="G1433" s="30" t="s">
        <v>7131</v>
      </c>
      <c r="H1433" s="30" t="s">
        <v>145</v>
      </c>
      <c r="I1433" s="30" t="s">
        <v>145</v>
      </c>
      <c r="J1433" s="30" t="s">
        <v>145</v>
      </c>
      <c r="K1433" s="30" t="s">
        <v>145</v>
      </c>
      <c r="L1433" s="30" t="s">
        <v>145</v>
      </c>
      <c r="M1433" s="30" t="s">
        <v>145</v>
      </c>
      <c r="N1433" s="30" t="s">
        <v>145</v>
      </c>
      <c r="O1433" s="30" t="s">
        <v>145</v>
      </c>
      <c r="P1433" s="30" t="s">
        <v>145</v>
      </c>
      <c r="Q1433" s="30" t="s">
        <v>216</v>
      </c>
    </row>
    <row r="1434" hidden="1">
      <c r="A1434" s="33" t="s">
        <v>6545</v>
      </c>
      <c r="B1434" s="30" t="s">
        <v>139</v>
      </c>
      <c r="C1434" s="30" t="s">
        <v>216</v>
      </c>
      <c r="D1434" s="30" t="s">
        <v>216</v>
      </c>
      <c r="E1434" s="35">
        <v>42028.0</v>
      </c>
      <c r="F1434" s="37" t="s">
        <v>150</v>
      </c>
      <c r="G1434" s="30" t="s">
        <v>7131</v>
      </c>
      <c r="H1434" s="30" t="s">
        <v>145</v>
      </c>
      <c r="I1434" s="30" t="s">
        <v>145</v>
      </c>
      <c r="J1434" s="30" t="s">
        <v>145</v>
      </c>
      <c r="K1434" s="30" t="s">
        <v>145</v>
      </c>
      <c r="L1434" s="30" t="s">
        <v>145</v>
      </c>
      <c r="M1434" s="30" t="s">
        <v>145</v>
      </c>
      <c r="N1434" s="30" t="s">
        <v>145</v>
      </c>
      <c r="O1434" s="30" t="s">
        <v>145</v>
      </c>
      <c r="P1434" s="30" t="s">
        <v>145</v>
      </c>
      <c r="Q1434" s="30" t="s">
        <v>216</v>
      </c>
    </row>
    <row r="1435" hidden="1">
      <c r="A1435" s="33" t="s">
        <v>6549</v>
      </c>
      <c r="B1435" s="30" t="s">
        <v>139</v>
      </c>
      <c r="C1435" s="30" t="s">
        <v>216</v>
      </c>
      <c r="D1435" s="30" t="s">
        <v>216</v>
      </c>
      <c r="E1435" s="35">
        <v>42028.0</v>
      </c>
      <c r="F1435" s="37" t="s">
        <v>150</v>
      </c>
      <c r="G1435" s="30" t="s">
        <v>7131</v>
      </c>
      <c r="H1435" s="30" t="s">
        <v>145</v>
      </c>
      <c r="I1435" s="30" t="s">
        <v>145</v>
      </c>
      <c r="J1435" s="30" t="s">
        <v>145</v>
      </c>
      <c r="K1435" s="30" t="s">
        <v>145</v>
      </c>
      <c r="L1435" s="30" t="s">
        <v>145</v>
      </c>
      <c r="M1435" s="30" t="s">
        <v>145</v>
      </c>
      <c r="N1435" s="30" t="s">
        <v>145</v>
      </c>
      <c r="O1435" s="30" t="s">
        <v>145</v>
      </c>
      <c r="P1435" s="30" t="s">
        <v>145</v>
      </c>
      <c r="Q1435" s="30" t="s">
        <v>216</v>
      </c>
    </row>
    <row r="1436" hidden="1">
      <c r="A1436" s="33" t="s">
        <v>6552</v>
      </c>
      <c r="B1436" s="30" t="s">
        <v>139</v>
      </c>
      <c r="C1436" s="30" t="s">
        <v>1400</v>
      </c>
      <c r="D1436" s="30" t="s">
        <v>1400</v>
      </c>
      <c r="E1436" s="35">
        <v>42028.0</v>
      </c>
      <c r="F1436" s="37" t="s">
        <v>150</v>
      </c>
      <c r="G1436" s="30" t="s">
        <v>7133</v>
      </c>
      <c r="H1436" s="30" t="s">
        <v>145</v>
      </c>
      <c r="I1436" s="30" t="s">
        <v>145</v>
      </c>
      <c r="J1436" s="30" t="s">
        <v>145</v>
      </c>
      <c r="K1436" s="30" t="s">
        <v>145</v>
      </c>
      <c r="L1436" s="30" t="s">
        <v>145</v>
      </c>
      <c r="M1436" s="30" t="s">
        <v>145</v>
      </c>
      <c r="N1436" s="30" t="s">
        <v>145</v>
      </c>
      <c r="O1436" s="30" t="s">
        <v>145</v>
      </c>
      <c r="P1436" s="30" t="s">
        <v>145</v>
      </c>
      <c r="Q1436" s="30" t="s">
        <v>1400</v>
      </c>
    </row>
    <row r="1437" hidden="1">
      <c r="A1437" s="33" t="s">
        <v>6555</v>
      </c>
      <c r="B1437" s="30" t="s">
        <v>139</v>
      </c>
      <c r="C1437" s="30" t="s">
        <v>216</v>
      </c>
      <c r="D1437" s="30" t="s">
        <v>216</v>
      </c>
      <c r="E1437" s="35">
        <v>42027.0</v>
      </c>
      <c r="F1437" s="37" t="s">
        <v>150</v>
      </c>
      <c r="G1437" s="30" t="s">
        <v>7135</v>
      </c>
      <c r="H1437" s="30" t="s">
        <v>145</v>
      </c>
      <c r="I1437" s="30" t="s">
        <v>145</v>
      </c>
      <c r="J1437" s="30" t="s">
        <v>145</v>
      </c>
      <c r="K1437" s="30" t="s">
        <v>145</v>
      </c>
      <c r="L1437" s="30" t="s">
        <v>145</v>
      </c>
      <c r="M1437" s="30" t="s">
        <v>145</v>
      </c>
      <c r="N1437" s="30" t="s">
        <v>145</v>
      </c>
      <c r="O1437" s="30" t="s">
        <v>145</v>
      </c>
      <c r="P1437" s="30" t="s">
        <v>145</v>
      </c>
      <c r="Q1437" s="30" t="s">
        <v>216</v>
      </c>
    </row>
    <row r="1438" hidden="1">
      <c r="A1438" s="33" t="str">
        <f>hyperlink("https://issues.sierrawireless.com/browse/EEL-263", "EEL-263")</f>
        <v>EEL-263</v>
      </c>
      <c r="B1438" s="30" t="s">
        <v>417</v>
      </c>
      <c r="C1438" s="30" t="s">
        <v>140</v>
      </c>
      <c r="D1438" s="30" t="s">
        <v>329</v>
      </c>
      <c r="E1438" s="35">
        <v>43119.0</v>
      </c>
      <c r="F1438" s="37" t="s">
        <v>207</v>
      </c>
      <c r="G1438" s="30" t="s">
        <v>7009</v>
      </c>
      <c r="H1438" s="30" t="s">
        <v>145</v>
      </c>
      <c r="I1438" s="30" t="s">
        <v>145</v>
      </c>
      <c r="J1438" s="30" t="s">
        <v>145</v>
      </c>
      <c r="K1438" s="30" t="s">
        <v>145</v>
      </c>
      <c r="L1438" s="30" t="s">
        <v>145</v>
      </c>
      <c r="M1438" s="30" t="s">
        <v>145</v>
      </c>
      <c r="N1438" s="30" t="s">
        <v>145</v>
      </c>
      <c r="O1438" s="30" t="s">
        <v>145</v>
      </c>
      <c r="P1438" s="30" t="s">
        <v>145</v>
      </c>
      <c r="Q1438" s="30" t="s">
        <v>166</v>
      </c>
    </row>
    <row r="1439" hidden="1">
      <c r="A1439" s="33" t="str">
        <f>hyperlink("https://issues.sierrawireless.com/browse/EEL-264", "EEL-264")</f>
        <v>EEL-264</v>
      </c>
      <c r="B1439" s="30" t="s">
        <v>417</v>
      </c>
      <c r="C1439" s="30" t="s">
        <v>140</v>
      </c>
      <c r="D1439" s="30" t="s">
        <v>329</v>
      </c>
      <c r="E1439" s="35">
        <v>43122.0</v>
      </c>
      <c r="F1439" s="37" t="s">
        <v>207</v>
      </c>
      <c r="G1439" s="30" t="s">
        <v>7138</v>
      </c>
      <c r="H1439" s="30" t="s">
        <v>145</v>
      </c>
      <c r="I1439" s="30" t="s">
        <v>145</v>
      </c>
      <c r="J1439" s="30" t="s">
        <v>145</v>
      </c>
      <c r="K1439" s="30" t="s">
        <v>145</v>
      </c>
      <c r="L1439" s="30" t="s">
        <v>145</v>
      </c>
      <c r="M1439" s="30" t="s">
        <v>145</v>
      </c>
      <c r="N1439" s="30" t="s">
        <v>145</v>
      </c>
      <c r="O1439" s="30" t="s">
        <v>145</v>
      </c>
      <c r="P1439" s="30" t="s">
        <v>145</v>
      </c>
      <c r="Q1439" s="30" t="s">
        <v>166</v>
      </c>
    </row>
    <row r="1440" hidden="1">
      <c r="A1440" s="33" t="s">
        <v>6557</v>
      </c>
      <c r="B1440" s="30" t="s">
        <v>139</v>
      </c>
      <c r="C1440" s="30" t="s">
        <v>216</v>
      </c>
      <c r="D1440" s="30" t="s">
        <v>216</v>
      </c>
      <c r="E1440" s="35">
        <v>42027.0</v>
      </c>
      <c r="F1440" s="37" t="s">
        <v>150</v>
      </c>
      <c r="G1440" s="30" t="s">
        <v>7135</v>
      </c>
      <c r="H1440" s="30" t="s">
        <v>145</v>
      </c>
      <c r="I1440" s="30" t="s">
        <v>145</v>
      </c>
      <c r="J1440" s="30" t="s">
        <v>145</v>
      </c>
      <c r="K1440" s="30" t="s">
        <v>145</v>
      </c>
      <c r="L1440" s="30" t="s">
        <v>145</v>
      </c>
      <c r="M1440" s="30" t="s">
        <v>145</v>
      </c>
      <c r="N1440" s="30" t="s">
        <v>145</v>
      </c>
      <c r="O1440" s="30" t="s">
        <v>145</v>
      </c>
      <c r="P1440" s="30" t="s">
        <v>145</v>
      </c>
      <c r="Q1440" s="30" t="s">
        <v>216</v>
      </c>
    </row>
    <row r="1441" hidden="1">
      <c r="A1441" s="33" t="s">
        <v>6560</v>
      </c>
      <c r="B1441" s="30" t="s">
        <v>139</v>
      </c>
      <c r="C1441" s="30" t="s">
        <v>609</v>
      </c>
      <c r="D1441" s="30" t="s">
        <v>609</v>
      </c>
      <c r="E1441" s="35">
        <v>42027.0</v>
      </c>
      <c r="F1441" s="37" t="s">
        <v>150</v>
      </c>
      <c r="G1441" s="30" t="s">
        <v>7141</v>
      </c>
      <c r="H1441" s="30" t="s">
        <v>145</v>
      </c>
      <c r="I1441" s="30" t="s">
        <v>145</v>
      </c>
      <c r="J1441" s="30" t="s">
        <v>145</v>
      </c>
      <c r="K1441" s="30" t="s">
        <v>145</v>
      </c>
      <c r="L1441" s="30" t="s">
        <v>145</v>
      </c>
      <c r="M1441" s="30" t="s">
        <v>145</v>
      </c>
      <c r="N1441" s="30" t="s">
        <v>145</v>
      </c>
      <c r="O1441" s="30" t="s">
        <v>145</v>
      </c>
      <c r="P1441" s="30" t="s">
        <v>145</v>
      </c>
      <c r="Q1441" s="30" t="s">
        <v>609</v>
      </c>
    </row>
    <row r="1442" hidden="1">
      <c r="A1442" s="33" t="s">
        <v>6562</v>
      </c>
      <c r="B1442" s="30" t="s">
        <v>139</v>
      </c>
      <c r="C1442" s="30" t="s">
        <v>609</v>
      </c>
      <c r="D1442" s="30" t="s">
        <v>609</v>
      </c>
      <c r="E1442" s="35">
        <v>42025.0</v>
      </c>
      <c r="F1442" s="37" t="s">
        <v>150</v>
      </c>
      <c r="G1442" s="30" t="s">
        <v>7142</v>
      </c>
      <c r="H1442" s="30" t="s">
        <v>145</v>
      </c>
      <c r="I1442" s="30" t="s">
        <v>145</v>
      </c>
      <c r="J1442" s="30" t="s">
        <v>145</v>
      </c>
      <c r="K1442" s="30" t="s">
        <v>145</v>
      </c>
      <c r="L1442" s="30" t="s">
        <v>145</v>
      </c>
      <c r="M1442" s="30" t="s">
        <v>145</v>
      </c>
      <c r="N1442" s="30" t="s">
        <v>145</v>
      </c>
      <c r="O1442" s="30" t="s">
        <v>145</v>
      </c>
      <c r="P1442" s="30" t="s">
        <v>145</v>
      </c>
      <c r="Q1442" s="30" t="s">
        <v>609</v>
      </c>
    </row>
    <row r="1443" hidden="1">
      <c r="A1443" s="33" t="s">
        <v>6564</v>
      </c>
      <c r="B1443" s="30" t="s">
        <v>139</v>
      </c>
      <c r="C1443" s="30" t="s">
        <v>609</v>
      </c>
      <c r="D1443" s="30" t="s">
        <v>609</v>
      </c>
      <c r="E1443" s="35">
        <v>42025.0</v>
      </c>
      <c r="F1443" s="37" t="s">
        <v>150</v>
      </c>
      <c r="G1443" s="30" t="s">
        <v>7142</v>
      </c>
      <c r="H1443" s="30" t="s">
        <v>145</v>
      </c>
      <c r="I1443" s="30" t="s">
        <v>145</v>
      </c>
      <c r="J1443" s="30" t="s">
        <v>145</v>
      </c>
      <c r="K1443" s="30" t="s">
        <v>145</v>
      </c>
      <c r="L1443" s="30" t="s">
        <v>145</v>
      </c>
      <c r="M1443" s="30" t="s">
        <v>145</v>
      </c>
      <c r="N1443" s="30" t="s">
        <v>145</v>
      </c>
      <c r="O1443" s="30" t="s">
        <v>145</v>
      </c>
      <c r="P1443" s="30" t="s">
        <v>145</v>
      </c>
      <c r="Q1443" s="30" t="s">
        <v>609</v>
      </c>
    </row>
    <row r="1444" hidden="1">
      <c r="A1444" s="33" t="s">
        <v>6566</v>
      </c>
      <c r="B1444" s="30" t="s">
        <v>139</v>
      </c>
      <c r="C1444" s="30" t="s">
        <v>177</v>
      </c>
      <c r="D1444" s="30" t="s">
        <v>177</v>
      </c>
      <c r="E1444" s="35">
        <v>42025.0</v>
      </c>
      <c r="F1444" s="37" t="s">
        <v>150</v>
      </c>
      <c r="G1444" s="30" t="s">
        <v>7143</v>
      </c>
      <c r="H1444" s="30" t="s">
        <v>145</v>
      </c>
      <c r="I1444" s="30" t="s">
        <v>145</v>
      </c>
      <c r="J1444" s="30" t="s">
        <v>145</v>
      </c>
      <c r="K1444" s="30" t="s">
        <v>145</v>
      </c>
      <c r="L1444" s="30" t="s">
        <v>145</v>
      </c>
      <c r="M1444" s="30" t="s">
        <v>145</v>
      </c>
      <c r="N1444" s="30" t="s">
        <v>145</v>
      </c>
      <c r="O1444" s="30" t="s">
        <v>145</v>
      </c>
      <c r="P1444" s="30" t="s">
        <v>145</v>
      </c>
      <c r="Q1444" s="30" t="s">
        <v>177</v>
      </c>
    </row>
    <row r="1445" hidden="1">
      <c r="A1445" s="33" t="s">
        <v>6568</v>
      </c>
      <c r="B1445" s="30" t="s">
        <v>139</v>
      </c>
      <c r="C1445" s="30" t="s">
        <v>177</v>
      </c>
      <c r="D1445" s="30" t="s">
        <v>177</v>
      </c>
      <c r="E1445" s="35">
        <v>42025.0</v>
      </c>
      <c r="F1445" s="37" t="s">
        <v>150</v>
      </c>
      <c r="G1445" s="30" t="s">
        <v>7143</v>
      </c>
      <c r="H1445" s="30" t="s">
        <v>145</v>
      </c>
      <c r="I1445" s="30" t="s">
        <v>145</v>
      </c>
      <c r="J1445" s="30" t="s">
        <v>145</v>
      </c>
      <c r="K1445" s="30" t="s">
        <v>145</v>
      </c>
      <c r="L1445" s="30" t="s">
        <v>145</v>
      </c>
      <c r="M1445" s="30" t="s">
        <v>145</v>
      </c>
      <c r="N1445" s="30" t="s">
        <v>145</v>
      </c>
      <c r="O1445" s="30" t="s">
        <v>145</v>
      </c>
      <c r="P1445" s="30" t="s">
        <v>145</v>
      </c>
      <c r="Q1445" s="30" t="s">
        <v>177</v>
      </c>
    </row>
    <row r="1446" hidden="1">
      <c r="A1446" s="33" t="s">
        <v>6569</v>
      </c>
      <c r="B1446" s="30" t="s">
        <v>139</v>
      </c>
      <c r="C1446" s="30" t="s">
        <v>177</v>
      </c>
      <c r="D1446" s="30" t="s">
        <v>177</v>
      </c>
      <c r="E1446" s="35">
        <v>42025.0</v>
      </c>
      <c r="F1446" s="37" t="s">
        <v>150</v>
      </c>
      <c r="G1446" s="30" t="s">
        <v>7143</v>
      </c>
      <c r="H1446" s="30" t="s">
        <v>145</v>
      </c>
      <c r="I1446" s="30" t="s">
        <v>145</v>
      </c>
      <c r="J1446" s="30" t="s">
        <v>145</v>
      </c>
      <c r="K1446" s="30" t="s">
        <v>145</v>
      </c>
      <c r="L1446" s="30" t="s">
        <v>145</v>
      </c>
      <c r="M1446" s="30" t="s">
        <v>145</v>
      </c>
      <c r="N1446" s="30" t="s">
        <v>145</v>
      </c>
      <c r="O1446" s="30" t="s">
        <v>145</v>
      </c>
      <c r="P1446" s="30" t="s">
        <v>145</v>
      </c>
      <c r="Q1446" s="30" t="s">
        <v>177</v>
      </c>
    </row>
    <row r="1447" hidden="1">
      <c r="A1447" s="33" t="s">
        <v>6571</v>
      </c>
      <c r="B1447" s="30" t="s">
        <v>139</v>
      </c>
      <c r="C1447" s="30" t="s">
        <v>216</v>
      </c>
      <c r="D1447" s="30" t="s">
        <v>216</v>
      </c>
      <c r="E1447" s="35">
        <v>42025.0</v>
      </c>
      <c r="F1447" s="37" t="s">
        <v>150</v>
      </c>
      <c r="G1447" s="30" t="s">
        <v>7144</v>
      </c>
      <c r="H1447" s="30" t="s">
        <v>145</v>
      </c>
      <c r="I1447" s="30" t="s">
        <v>145</v>
      </c>
      <c r="J1447" s="30" t="s">
        <v>145</v>
      </c>
      <c r="K1447" s="30" t="s">
        <v>145</v>
      </c>
      <c r="L1447" s="30" t="s">
        <v>145</v>
      </c>
      <c r="M1447" s="30" t="s">
        <v>145</v>
      </c>
      <c r="N1447" s="30" t="s">
        <v>145</v>
      </c>
      <c r="O1447" s="30" t="s">
        <v>145</v>
      </c>
      <c r="P1447" s="30" t="s">
        <v>145</v>
      </c>
      <c r="Q1447" s="30" t="s">
        <v>216</v>
      </c>
    </row>
    <row r="1448" hidden="1">
      <c r="A1448" s="33" t="s">
        <v>6574</v>
      </c>
      <c r="B1448" s="30" t="s">
        <v>139</v>
      </c>
      <c r="C1448" s="30" t="s">
        <v>1400</v>
      </c>
      <c r="D1448" s="30" t="s">
        <v>1400</v>
      </c>
      <c r="E1448" s="35">
        <v>42025.0</v>
      </c>
      <c r="F1448" s="37" t="s">
        <v>150</v>
      </c>
      <c r="G1448" s="30" t="s">
        <v>7145</v>
      </c>
      <c r="H1448" s="30" t="s">
        <v>145</v>
      </c>
      <c r="I1448" s="30" t="s">
        <v>145</v>
      </c>
      <c r="J1448" s="30" t="s">
        <v>145</v>
      </c>
      <c r="K1448" s="30" t="s">
        <v>145</v>
      </c>
      <c r="L1448" s="30" t="s">
        <v>145</v>
      </c>
      <c r="M1448" s="30" t="s">
        <v>145</v>
      </c>
      <c r="N1448" s="30" t="s">
        <v>145</v>
      </c>
      <c r="O1448" s="30" t="s">
        <v>145</v>
      </c>
      <c r="P1448" s="30" t="s">
        <v>145</v>
      </c>
      <c r="Q1448" s="30" t="s">
        <v>1400</v>
      </c>
    </row>
    <row r="1449" hidden="1">
      <c r="A1449" s="33" t="s">
        <v>6576</v>
      </c>
      <c r="B1449" s="30" t="s">
        <v>139</v>
      </c>
      <c r="C1449" s="30" t="s">
        <v>177</v>
      </c>
      <c r="D1449" s="30" t="s">
        <v>177</v>
      </c>
      <c r="E1449" s="35">
        <v>42024.0</v>
      </c>
      <c r="F1449" s="37" t="s">
        <v>150</v>
      </c>
      <c r="G1449" s="30" t="s">
        <v>7147</v>
      </c>
      <c r="H1449" s="30" t="s">
        <v>145</v>
      </c>
      <c r="I1449" s="30" t="s">
        <v>145</v>
      </c>
      <c r="J1449" s="30" t="s">
        <v>145</v>
      </c>
      <c r="K1449" s="30" t="s">
        <v>145</v>
      </c>
      <c r="L1449" s="30" t="s">
        <v>145</v>
      </c>
      <c r="M1449" s="30" t="s">
        <v>145</v>
      </c>
      <c r="N1449" s="30" t="s">
        <v>145</v>
      </c>
      <c r="O1449" s="30" t="s">
        <v>145</v>
      </c>
      <c r="P1449" s="30" t="s">
        <v>145</v>
      </c>
      <c r="Q1449" s="30" t="s">
        <v>177</v>
      </c>
    </row>
    <row r="1450" hidden="1">
      <c r="A1450" s="33" t="s">
        <v>6579</v>
      </c>
      <c r="B1450" s="30" t="s">
        <v>139</v>
      </c>
      <c r="C1450" s="30" t="s">
        <v>177</v>
      </c>
      <c r="D1450" s="30" t="s">
        <v>177</v>
      </c>
      <c r="E1450" s="35">
        <v>42024.0</v>
      </c>
      <c r="F1450" s="37" t="s">
        <v>150</v>
      </c>
      <c r="G1450" s="30" t="s">
        <v>7147</v>
      </c>
      <c r="H1450" s="30" t="s">
        <v>145</v>
      </c>
      <c r="I1450" s="30" t="s">
        <v>145</v>
      </c>
      <c r="J1450" s="30" t="s">
        <v>145</v>
      </c>
      <c r="K1450" s="30" t="s">
        <v>145</v>
      </c>
      <c r="L1450" s="30" t="s">
        <v>145</v>
      </c>
      <c r="M1450" s="30" t="s">
        <v>145</v>
      </c>
      <c r="N1450" s="30" t="s">
        <v>145</v>
      </c>
      <c r="O1450" s="30" t="s">
        <v>145</v>
      </c>
      <c r="P1450" s="30" t="s">
        <v>145</v>
      </c>
      <c r="Q1450" s="30" t="s">
        <v>177</v>
      </c>
    </row>
    <row r="1451" hidden="1">
      <c r="A1451" s="33" t="s">
        <v>6581</v>
      </c>
      <c r="B1451" s="30" t="s">
        <v>139</v>
      </c>
      <c r="C1451" s="30" t="s">
        <v>216</v>
      </c>
      <c r="D1451" s="30" t="s">
        <v>216</v>
      </c>
      <c r="E1451" s="35">
        <v>42024.0</v>
      </c>
      <c r="F1451" s="37" t="s">
        <v>150</v>
      </c>
      <c r="G1451" s="30" t="s">
        <v>7150</v>
      </c>
      <c r="H1451" s="30" t="s">
        <v>145</v>
      </c>
      <c r="I1451" s="30" t="s">
        <v>145</v>
      </c>
      <c r="J1451" s="30" t="s">
        <v>145</v>
      </c>
      <c r="K1451" s="30" t="s">
        <v>145</v>
      </c>
      <c r="L1451" s="30" t="s">
        <v>145</v>
      </c>
      <c r="M1451" s="30" t="s">
        <v>145</v>
      </c>
      <c r="N1451" s="30" t="s">
        <v>145</v>
      </c>
      <c r="O1451" s="30" t="s">
        <v>145</v>
      </c>
      <c r="P1451" s="30" t="s">
        <v>145</v>
      </c>
      <c r="Q1451" s="30" t="s">
        <v>216</v>
      </c>
    </row>
    <row r="1452" hidden="1">
      <c r="A1452" s="33" t="s">
        <v>6585</v>
      </c>
      <c r="B1452" s="30" t="s">
        <v>139</v>
      </c>
      <c r="C1452" s="30" t="s">
        <v>609</v>
      </c>
      <c r="D1452" s="30" t="s">
        <v>609</v>
      </c>
      <c r="E1452" s="35">
        <v>42024.0</v>
      </c>
      <c r="F1452" s="37" t="s">
        <v>150</v>
      </c>
      <c r="G1452" s="30" t="s">
        <v>7152</v>
      </c>
      <c r="H1452" s="30" t="s">
        <v>145</v>
      </c>
      <c r="I1452" s="30" t="s">
        <v>145</v>
      </c>
      <c r="J1452" s="30" t="s">
        <v>145</v>
      </c>
      <c r="K1452" s="30" t="s">
        <v>145</v>
      </c>
      <c r="L1452" s="30" t="s">
        <v>145</v>
      </c>
      <c r="M1452" s="30" t="s">
        <v>145</v>
      </c>
      <c r="N1452" s="30" t="s">
        <v>145</v>
      </c>
      <c r="O1452" s="30" t="s">
        <v>145</v>
      </c>
      <c r="P1452" s="30" t="s">
        <v>145</v>
      </c>
      <c r="Q1452" s="30" t="s">
        <v>609</v>
      </c>
    </row>
    <row r="1453" hidden="1">
      <c r="A1453" s="33" t="s">
        <v>6587</v>
      </c>
      <c r="B1453" s="30" t="s">
        <v>139</v>
      </c>
      <c r="C1453" s="30" t="s">
        <v>177</v>
      </c>
      <c r="D1453" s="30" t="s">
        <v>177</v>
      </c>
      <c r="E1453" s="35">
        <v>42023.0</v>
      </c>
      <c r="F1453" s="37" t="s">
        <v>150</v>
      </c>
      <c r="G1453" s="30" t="s">
        <v>7153</v>
      </c>
      <c r="H1453" s="30" t="s">
        <v>145</v>
      </c>
      <c r="I1453" s="30" t="s">
        <v>145</v>
      </c>
      <c r="J1453" s="30" t="s">
        <v>145</v>
      </c>
      <c r="K1453" s="30" t="s">
        <v>145</v>
      </c>
      <c r="L1453" s="30" t="s">
        <v>145</v>
      </c>
      <c r="M1453" s="30" t="s">
        <v>145</v>
      </c>
      <c r="N1453" s="30" t="s">
        <v>145</v>
      </c>
      <c r="O1453" s="30" t="s">
        <v>145</v>
      </c>
      <c r="P1453" s="30" t="s">
        <v>145</v>
      </c>
      <c r="Q1453" s="30" t="s">
        <v>177</v>
      </c>
    </row>
    <row r="1454" hidden="1">
      <c r="A1454" s="33" t="str">
        <f>hyperlink("https://issues.sierrawireless.com/browse/QTI9X40-2735", "QTI9X40-2735")</f>
        <v>QTI9X40-2735</v>
      </c>
      <c r="B1454" s="30" t="s">
        <v>417</v>
      </c>
      <c r="C1454" s="30" t="s">
        <v>140</v>
      </c>
      <c r="D1454" s="30" t="s">
        <v>419</v>
      </c>
      <c r="E1454" s="35">
        <v>43052.0</v>
      </c>
      <c r="F1454" s="37" t="s">
        <v>207</v>
      </c>
      <c r="G1454" s="30" t="s">
        <v>7052</v>
      </c>
      <c r="H1454" s="30" t="s">
        <v>145</v>
      </c>
      <c r="I1454" s="30" t="s">
        <v>145</v>
      </c>
      <c r="J1454" s="30" t="s">
        <v>145</v>
      </c>
      <c r="K1454" s="30" t="s">
        <v>145</v>
      </c>
      <c r="L1454" s="30" t="s">
        <v>145</v>
      </c>
      <c r="M1454" s="30" t="s">
        <v>145</v>
      </c>
      <c r="N1454" s="30" t="s">
        <v>145</v>
      </c>
      <c r="O1454" s="30" t="s">
        <v>145</v>
      </c>
      <c r="P1454" s="30" t="s">
        <v>145</v>
      </c>
      <c r="Q1454" s="30" t="s">
        <v>166</v>
      </c>
    </row>
    <row r="1455" hidden="1">
      <c r="A1455" s="33" t="str">
        <f>hyperlink("https://issues.sierrawireless.com/browse/QTI9X28-3171", "QTI9X28-3171")</f>
        <v>QTI9X28-3171</v>
      </c>
      <c r="B1455" s="30" t="s">
        <v>417</v>
      </c>
      <c r="C1455" s="30" t="s">
        <v>140</v>
      </c>
      <c r="D1455" s="30" t="s">
        <v>329</v>
      </c>
      <c r="E1455" s="35">
        <v>43122.0</v>
      </c>
      <c r="F1455" s="37" t="s">
        <v>207</v>
      </c>
      <c r="G1455" s="30" t="s">
        <v>7138</v>
      </c>
      <c r="H1455" s="30" t="s">
        <v>145</v>
      </c>
      <c r="I1455" s="30" t="s">
        <v>145</v>
      </c>
      <c r="J1455" s="30" t="s">
        <v>145</v>
      </c>
      <c r="K1455" s="30" t="s">
        <v>145</v>
      </c>
      <c r="L1455" s="30" t="s">
        <v>145</v>
      </c>
      <c r="M1455" s="30" t="s">
        <v>145</v>
      </c>
      <c r="N1455" s="30" t="s">
        <v>145</v>
      </c>
      <c r="O1455" s="30" t="s">
        <v>145</v>
      </c>
      <c r="P1455" s="30" t="s">
        <v>145</v>
      </c>
      <c r="Q1455" s="30" t="s">
        <v>166</v>
      </c>
    </row>
    <row r="1456" hidden="1">
      <c r="A1456" s="33" t="s">
        <v>6591</v>
      </c>
      <c r="B1456" s="30" t="s">
        <v>139</v>
      </c>
      <c r="C1456" s="30" t="s">
        <v>216</v>
      </c>
      <c r="D1456" s="30" t="s">
        <v>216</v>
      </c>
      <c r="E1456" s="35">
        <v>42023.0</v>
      </c>
      <c r="F1456" s="37" t="s">
        <v>150</v>
      </c>
      <c r="G1456" s="30" t="s">
        <v>7155</v>
      </c>
      <c r="H1456" s="30" t="s">
        <v>145</v>
      </c>
      <c r="I1456" s="30" t="s">
        <v>145</v>
      </c>
      <c r="J1456" s="30" t="s">
        <v>145</v>
      </c>
      <c r="K1456" s="30" t="s">
        <v>145</v>
      </c>
      <c r="L1456" s="30" t="s">
        <v>145</v>
      </c>
      <c r="M1456" s="30" t="s">
        <v>145</v>
      </c>
      <c r="N1456" s="30" t="s">
        <v>145</v>
      </c>
      <c r="O1456" s="30" t="s">
        <v>145</v>
      </c>
      <c r="P1456" s="30" t="s">
        <v>145</v>
      </c>
      <c r="Q1456" s="30" t="s">
        <v>216</v>
      </c>
    </row>
    <row r="1457" hidden="1">
      <c r="A1457" s="33" t="s">
        <v>6597</v>
      </c>
      <c r="B1457" s="30" t="s">
        <v>139</v>
      </c>
      <c r="C1457" s="30" t="s">
        <v>177</v>
      </c>
      <c r="D1457" s="30" t="s">
        <v>177</v>
      </c>
      <c r="E1457" s="35">
        <v>42022.0</v>
      </c>
      <c r="F1457" s="37" t="s">
        <v>150</v>
      </c>
      <c r="G1457" s="30" t="s">
        <v>7157</v>
      </c>
      <c r="H1457" s="30" t="s">
        <v>145</v>
      </c>
      <c r="I1457" s="30" t="s">
        <v>145</v>
      </c>
      <c r="J1457" s="30" t="s">
        <v>145</v>
      </c>
      <c r="K1457" s="30" t="s">
        <v>145</v>
      </c>
      <c r="L1457" s="30" t="s">
        <v>145</v>
      </c>
      <c r="M1457" s="30" t="s">
        <v>145</v>
      </c>
      <c r="N1457" s="30" t="s">
        <v>145</v>
      </c>
      <c r="O1457" s="30" t="s">
        <v>145</v>
      </c>
      <c r="P1457" s="30" t="s">
        <v>145</v>
      </c>
      <c r="Q1457" s="30" t="s">
        <v>177</v>
      </c>
    </row>
    <row r="1458" hidden="1">
      <c r="A1458" s="33" t="s">
        <v>6599</v>
      </c>
      <c r="B1458" s="30" t="s">
        <v>139</v>
      </c>
      <c r="C1458" s="30" t="s">
        <v>177</v>
      </c>
      <c r="D1458" s="30" t="s">
        <v>177</v>
      </c>
      <c r="E1458" s="35">
        <v>42022.0</v>
      </c>
      <c r="F1458" s="37" t="s">
        <v>150</v>
      </c>
      <c r="G1458" s="30" t="s">
        <v>7157</v>
      </c>
      <c r="H1458" s="30" t="s">
        <v>145</v>
      </c>
      <c r="I1458" s="30" t="s">
        <v>145</v>
      </c>
      <c r="J1458" s="30" t="s">
        <v>145</v>
      </c>
      <c r="K1458" s="30" t="s">
        <v>145</v>
      </c>
      <c r="L1458" s="30" t="s">
        <v>145</v>
      </c>
      <c r="M1458" s="30" t="s">
        <v>145</v>
      </c>
      <c r="N1458" s="30" t="s">
        <v>145</v>
      </c>
      <c r="O1458" s="30" t="s">
        <v>145</v>
      </c>
      <c r="P1458" s="30" t="s">
        <v>145</v>
      </c>
      <c r="Q1458" s="30" t="s">
        <v>177</v>
      </c>
    </row>
    <row r="1459" hidden="1">
      <c r="A1459" s="33" t="str">
        <f>hyperlink("https://issues.sierrawireless.com/browse/QTI9X40-2993", "QTI9X40-2993")</f>
        <v>QTI9X40-2993</v>
      </c>
      <c r="B1459" s="30" t="s">
        <v>417</v>
      </c>
      <c r="C1459" s="30" t="s">
        <v>140</v>
      </c>
      <c r="D1459" s="30" t="s">
        <v>7160</v>
      </c>
      <c r="E1459" s="35">
        <v>43112.0</v>
      </c>
      <c r="F1459" s="37" t="s">
        <v>207</v>
      </c>
      <c r="G1459" s="30" t="s">
        <v>7161</v>
      </c>
      <c r="H1459" s="30" t="s">
        <v>145</v>
      </c>
      <c r="I1459" s="30" t="s">
        <v>145</v>
      </c>
      <c r="J1459" s="30" t="s">
        <v>145</v>
      </c>
      <c r="K1459" s="30" t="s">
        <v>145</v>
      </c>
      <c r="L1459" s="30" t="s">
        <v>145</v>
      </c>
      <c r="M1459" s="30" t="s">
        <v>145</v>
      </c>
      <c r="N1459" s="30" t="s">
        <v>145</v>
      </c>
      <c r="O1459" s="30" t="s">
        <v>145</v>
      </c>
      <c r="P1459" s="30" t="s">
        <v>145</v>
      </c>
      <c r="Q1459" s="30" t="s">
        <v>166</v>
      </c>
    </row>
    <row r="1460" hidden="1">
      <c r="A1460" s="33" t="s">
        <v>6602</v>
      </c>
      <c r="B1460" s="30" t="s">
        <v>139</v>
      </c>
      <c r="C1460" s="30" t="s">
        <v>216</v>
      </c>
      <c r="D1460" s="30" t="s">
        <v>216</v>
      </c>
      <c r="E1460" s="35">
        <v>42022.0</v>
      </c>
      <c r="F1460" s="37" t="s">
        <v>150</v>
      </c>
      <c r="G1460" s="30" t="s">
        <v>7162</v>
      </c>
      <c r="H1460" s="30" t="s">
        <v>145</v>
      </c>
      <c r="I1460" s="30" t="s">
        <v>145</v>
      </c>
      <c r="J1460" s="30" t="s">
        <v>145</v>
      </c>
      <c r="K1460" s="30" t="s">
        <v>145</v>
      </c>
      <c r="L1460" s="30" t="s">
        <v>145</v>
      </c>
      <c r="M1460" s="30" t="s">
        <v>145</v>
      </c>
      <c r="N1460" s="30" t="s">
        <v>145</v>
      </c>
      <c r="O1460" s="30" t="s">
        <v>145</v>
      </c>
      <c r="P1460" s="30" t="s">
        <v>145</v>
      </c>
      <c r="Q1460" s="30" t="s">
        <v>216</v>
      </c>
    </row>
    <row r="1461" hidden="1">
      <c r="A1461" s="33" t="s">
        <v>6604</v>
      </c>
      <c r="B1461" s="30" t="s">
        <v>139</v>
      </c>
      <c r="C1461" s="30" t="s">
        <v>216</v>
      </c>
      <c r="D1461" s="30" t="s">
        <v>216</v>
      </c>
      <c r="E1461" s="35">
        <v>42022.0</v>
      </c>
      <c r="F1461" s="37" t="s">
        <v>150</v>
      </c>
      <c r="G1461" s="30" t="s">
        <v>7162</v>
      </c>
      <c r="H1461" s="30" t="s">
        <v>145</v>
      </c>
      <c r="I1461" s="30" t="s">
        <v>145</v>
      </c>
      <c r="J1461" s="30" t="s">
        <v>145</v>
      </c>
      <c r="K1461" s="30" t="s">
        <v>145</v>
      </c>
      <c r="L1461" s="30" t="s">
        <v>145</v>
      </c>
      <c r="M1461" s="30" t="s">
        <v>145</v>
      </c>
      <c r="N1461" s="30" t="s">
        <v>145</v>
      </c>
      <c r="O1461" s="30" t="s">
        <v>145</v>
      </c>
      <c r="P1461" s="30" t="s">
        <v>145</v>
      </c>
      <c r="Q1461" s="30" t="s">
        <v>216</v>
      </c>
    </row>
    <row r="1462" hidden="1">
      <c r="A1462" s="33" t="s">
        <v>6608</v>
      </c>
      <c r="B1462" s="30" t="s">
        <v>139</v>
      </c>
      <c r="C1462" s="30" t="s">
        <v>216</v>
      </c>
      <c r="D1462" s="30" t="s">
        <v>216</v>
      </c>
      <c r="E1462" s="35">
        <v>42022.0</v>
      </c>
      <c r="F1462" s="37" t="s">
        <v>150</v>
      </c>
      <c r="G1462" s="30" t="s">
        <v>7162</v>
      </c>
      <c r="H1462" s="30" t="s">
        <v>145</v>
      </c>
      <c r="I1462" s="30" t="s">
        <v>145</v>
      </c>
      <c r="J1462" s="30" t="s">
        <v>145</v>
      </c>
      <c r="K1462" s="30" t="s">
        <v>145</v>
      </c>
      <c r="L1462" s="30" t="s">
        <v>145</v>
      </c>
      <c r="M1462" s="30" t="s">
        <v>145</v>
      </c>
      <c r="N1462" s="30" t="s">
        <v>145</v>
      </c>
      <c r="O1462" s="30" t="s">
        <v>145</v>
      </c>
      <c r="P1462" s="30" t="s">
        <v>145</v>
      </c>
      <c r="Q1462" s="30" t="s">
        <v>216</v>
      </c>
    </row>
    <row r="1463" hidden="1">
      <c r="A1463" s="33" t="str">
        <f>hyperlink("https://issues.sierrawireless.com/browse/MOLAR755XRD-137", "MOLAR755XRD-137")</f>
        <v>MOLAR755XRD-137</v>
      </c>
      <c r="B1463" s="30" t="s">
        <v>277</v>
      </c>
      <c r="C1463" s="30" t="s">
        <v>2197</v>
      </c>
      <c r="D1463" s="30" t="s">
        <v>7163</v>
      </c>
      <c r="E1463" s="35">
        <v>43124.0</v>
      </c>
      <c r="F1463" s="37" t="s">
        <v>162</v>
      </c>
      <c r="G1463" s="30" t="s">
        <v>185</v>
      </c>
      <c r="H1463" s="30" t="s">
        <v>146</v>
      </c>
      <c r="I1463" s="30" t="s">
        <v>7164</v>
      </c>
      <c r="J1463" s="30" t="s">
        <v>145</v>
      </c>
      <c r="K1463" s="30" t="s">
        <v>145</v>
      </c>
      <c r="L1463" s="30" t="s">
        <v>145</v>
      </c>
      <c r="M1463" s="30" t="s">
        <v>145</v>
      </c>
      <c r="N1463" s="30" t="s">
        <v>145</v>
      </c>
      <c r="O1463" s="30" t="s">
        <v>145</v>
      </c>
      <c r="P1463" s="30" t="s">
        <v>145</v>
      </c>
      <c r="Q1463" s="30" t="s">
        <v>166</v>
      </c>
    </row>
    <row r="1464" hidden="1">
      <c r="A1464" s="33" t="s">
        <v>6610</v>
      </c>
      <c r="B1464" s="30" t="s">
        <v>139</v>
      </c>
      <c r="C1464" s="30" t="s">
        <v>244</v>
      </c>
      <c r="D1464" s="30" t="s">
        <v>244</v>
      </c>
      <c r="E1464" s="35">
        <v>42022.0</v>
      </c>
      <c r="F1464" s="37" t="s">
        <v>150</v>
      </c>
      <c r="G1464" s="30" t="s">
        <v>7166</v>
      </c>
      <c r="H1464" s="30" t="s">
        <v>145</v>
      </c>
      <c r="I1464" s="30" t="s">
        <v>145</v>
      </c>
      <c r="J1464" s="30" t="s">
        <v>145</v>
      </c>
      <c r="K1464" s="30" t="s">
        <v>145</v>
      </c>
      <c r="L1464" s="30" t="s">
        <v>145</v>
      </c>
      <c r="M1464" s="30" t="s">
        <v>145</v>
      </c>
      <c r="N1464" s="30" t="s">
        <v>145</v>
      </c>
      <c r="O1464" s="30" t="s">
        <v>145</v>
      </c>
      <c r="P1464" s="30" t="s">
        <v>145</v>
      </c>
      <c r="Q1464" s="30" t="s">
        <v>244</v>
      </c>
    </row>
    <row r="1465" hidden="1">
      <c r="A1465" s="33" t="s">
        <v>6612</v>
      </c>
      <c r="B1465" s="30" t="s">
        <v>139</v>
      </c>
      <c r="C1465" s="30" t="s">
        <v>244</v>
      </c>
      <c r="D1465" s="30" t="s">
        <v>244</v>
      </c>
      <c r="E1465" s="35">
        <v>42022.0</v>
      </c>
      <c r="F1465" s="37" t="s">
        <v>150</v>
      </c>
      <c r="G1465" s="30" t="s">
        <v>7166</v>
      </c>
      <c r="H1465" s="30" t="s">
        <v>145</v>
      </c>
      <c r="I1465" s="30" t="s">
        <v>145</v>
      </c>
      <c r="J1465" s="30" t="s">
        <v>145</v>
      </c>
      <c r="K1465" s="30" t="s">
        <v>145</v>
      </c>
      <c r="L1465" s="30" t="s">
        <v>145</v>
      </c>
      <c r="M1465" s="30" t="s">
        <v>145</v>
      </c>
      <c r="N1465" s="30" t="s">
        <v>145</v>
      </c>
      <c r="O1465" s="30" t="s">
        <v>145</v>
      </c>
      <c r="P1465" s="30" t="s">
        <v>145</v>
      </c>
      <c r="Q1465" s="30" t="s">
        <v>244</v>
      </c>
    </row>
    <row r="1466" hidden="1">
      <c r="A1466" s="33" t="str">
        <f>hyperlink("https://issues.sierrawireless.com/browse/QTI9X40-2999", "QTI9X40-2999")</f>
        <v>QTI9X40-2999</v>
      </c>
      <c r="B1466" s="30" t="s">
        <v>417</v>
      </c>
      <c r="C1466" s="30" t="s">
        <v>140</v>
      </c>
      <c r="D1466" s="30" t="s">
        <v>7169</v>
      </c>
      <c r="E1466" s="35">
        <v>43115.0</v>
      </c>
      <c r="F1466" s="37" t="s">
        <v>207</v>
      </c>
      <c r="G1466" s="30" t="s">
        <v>572</v>
      </c>
      <c r="H1466" s="30" t="s">
        <v>145</v>
      </c>
      <c r="I1466" s="30" t="s">
        <v>145</v>
      </c>
      <c r="J1466" s="30" t="s">
        <v>145</v>
      </c>
      <c r="K1466" s="30" t="s">
        <v>145</v>
      </c>
      <c r="L1466" s="30" t="s">
        <v>145</v>
      </c>
      <c r="M1466" s="30" t="s">
        <v>145</v>
      </c>
      <c r="N1466" s="30" t="s">
        <v>145</v>
      </c>
      <c r="O1466" s="30" t="s">
        <v>145</v>
      </c>
      <c r="P1466" s="30" t="s">
        <v>145</v>
      </c>
      <c r="Q1466" s="30" t="s">
        <v>166</v>
      </c>
    </row>
    <row r="1467" hidden="1">
      <c r="A1467" s="33" t="s">
        <v>6594</v>
      </c>
      <c r="B1467" s="30" t="s">
        <v>139</v>
      </c>
      <c r="C1467" s="30" t="s">
        <v>244</v>
      </c>
      <c r="D1467" s="30" t="s">
        <v>244</v>
      </c>
      <c r="E1467" s="35">
        <v>42021.0</v>
      </c>
      <c r="F1467" s="37" t="s">
        <v>150</v>
      </c>
      <c r="G1467" s="30" t="s">
        <v>7172</v>
      </c>
      <c r="H1467" s="30" t="s">
        <v>145</v>
      </c>
      <c r="I1467" s="30" t="s">
        <v>145</v>
      </c>
      <c r="J1467" s="30" t="s">
        <v>145</v>
      </c>
      <c r="K1467" s="30" t="s">
        <v>145</v>
      </c>
      <c r="L1467" s="30" t="s">
        <v>145</v>
      </c>
      <c r="M1467" s="30" t="s">
        <v>145</v>
      </c>
      <c r="N1467" s="30" t="s">
        <v>145</v>
      </c>
      <c r="O1467" s="30" t="s">
        <v>145</v>
      </c>
      <c r="P1467" s="30" t="s">
        <v>145</v>
      </c>
      <c r="Q1467" s="30" t="s">
        <v>244</v>
      </c>
    </row>
    <row r="1468" hidden="1">
      <c r="A1468" s="33" t="s">
        <v>6615</v>
      </c>
      <c r="B1468" s="30" t="s">
        <v>139</v>
      </c>
      <c r="C1468" s="30" t="s">
        <v>177</v>
      </c>
      <c r="D1468" s="30" t="s">
        <v>177</v>
      </c>
      <c r="E1468" s="35">
        <v>42021.0</v>
      </c>
      <c r="F1468" s="37" t="s">
        <v>150</v>
      </c>
      <c r="G1468" s="30" t="s">
        <v>7176</v>
      </c>
      <c r="H1468" s="30" t="s">
        <v>145</v>
      </c>
      <c r="I1468" s="30" t="s">
        <v>145</v>
      </c>
      <c r="J1468" s="30" t="s">
        <v>145</v>
      </c>
      <c r="K1468" s="30" t="s">
        <v>145</v>
      </c>
      <c r="L1468" s="30" t="s">
        <v>145</v>
      </c>
      <c r="M1468" s="30" t="s">
        <v>145</v>
      </c>
      <c r="N1468" s="30" t="s">
        <v>145</v>
      </c>
      <c r="O1468" s="30" t="s">
        <v>145</v>
      </c>
      <c r="P1468" s="30" t="s">
        <v>145</v>
      </c>
      <c r="Q1468" s="30" t="s">
        <v>177</v>
      </c>
    </row>
    <row r="1469" hidden="1">
      <c r="A1469" s="33" t="s">
        <v>6618</v>
      </c>
      <c r="B1469" s="30" t="s">
        <v>139</v>
      </c>
      <c r="C1469" s="30" t="s">
        <v>609</v>
      </c>
      <c r="D1469" s="30" t="s">
        <v>609</v>
      </c>
      <c r="E1469" s="35">
        <v>42021.0</v>
      </c>
      <c r="F1469" s="37" t="s">
        <v>150</v>
      </c>
      <c r="G1469" s="30" t="s">
        <v>7177</v>
      </c>
      <c r="H1469" s="30" t="s">
        <v>145</v>
      </c>
      <c r="I1469" s="30" t="s">
        <v>145</v>
      </c>
      <c r="J1469" s="30" t="s">
        <v>145</v>
      </c>
      <c r="K1469" s="30" t="s">
        <v>145</v>
      </c>
      <c r="L1469" s="30" t="s">
        <v>145</v>
      </c>
      <c r="M1469" s="30" t="s">
        <v>145</v>
      </c>
      <c r="N1469" s="30" t="s">
        <v>145</v>
      </c>
      <c r="O1469" s="30" t="s">
        <v>145</v>
      </c>
      <c r="P1469" s="30" t="s">
        <v>145</v>
      </c>
      <c r="Q1469" s="30" t="s">
        <v>609</v>
      </c>
    </row>
    <row r="1470" hidden="1">
      <c r="A1470" s="33" t="s">
        <v>6620</v>
      </c>
      <c r="B1470" s="30" t="s">
        <v>139</v>
      </c>
      <c r="C1470" s="30" t="s">
        <v>609</v>
      </c>
      <c r="D1470" s="30" t="s">
        <v>609</v>
      </c>
      <c r="E1470" s="35">
        <v>42021.0</v>
      </c>
      <c r="F1470" s="37" t="s">
        <v>150</v>
      </c>
      <c r="G1470" s="30" t="s">
        <v>7177</v>
      </c>
      <c r="H1470" s="30" t="s">
        <v>145</v>
      </c>
      <c r="I1470" s="30" t="s">
        <v>145</v>
      </c>
      <c r="J1470" s="30" t="s">
        <v>145</v>
      </c>
      <c r="K1470" s="30" t="s">
        <v>145</v>
      </c>
      <c r="L1470" s="30" t="s">
        <v>145</v>
      </c>
      <c r="M1470" s="30" t="s">
        <v>145</v>
      </c>
      <c r="N1470" s="30" t="s">
        <v>145</v>
      </c>
      <c r="O1470" s="30" t="s">
        <v>145</v>
      </c>
      <c r="P1470" s="30" t="s">
        <v>145</v>
      </c>
      <c r="Q1470" s="30" t="s">
        <v>609</v>
      </c>
    </row>
    <row r="1471" hidden="1">
      <c r="A1471" s="33" t="s">
        <v>6628</v>
      </c>
      <c r="B1471" s="30" t="s">
        <v>139</v>
      </c>
      <c r="C1471" s="30" t="s">
        <v>609</v>
      </c>
      <c r="D1471" s="30" t="s">
        <v>609</v>
      </c>
      <c r="E1471" s="35">
        <v>42021.0</v>
      </c>
      <c r="F1471" s="37" t="s">
        <v>150</v>
      </c>
      <c r="G1471" s="30" t="s">
        <v>7177</v>
      </c>
      <c r="H1471" s="30" t="s">
        <v>145</v>
      </c>
      <c r="I1471" s="30" t="s">
        <v>145</v>
      </c>
      <c r="J1471" s="30" t="s">
        <v>145</v>
      </c>
      <c r="K1471" s="30" t="s">
        <v>145</v>
      </c>
      <c r="L1471" s="30" t="s">
        <v>145</v>
      </c>
      <c r="M1471" s="30" t="s">
        <v>145</v>
      </c>
      <c r="N1471" s="30" t="s">
        <v>145</v>
      </c>
      <c r="O1471" s="30" t="s">
        <v>145</v>
      </c>
      <c r="P1471" s="30" t="s">
        <v>145</v>
      </c>
      <c r="Q1471" s="30" t="s">
        <v>609</v>
      </c>
    </row>
    <row r="1472" hidden="1">
      <c r="A1472" s="33" t="s">
        <v>6631</v>
      </c>
      <c r="B1472" s="30" t="s">
        <v>139</v>
      </c>
      <c r="C1472" s="30" t="s">
        <v>609</v>
      </c>
      <c r="D1472" s="30" t="s">
        <v>609</v>
      </c>
      <c r="E1472" s="35">
        <v>42021.0</v>
      </c>
      <c r="F1472" s="37" t="s">
        <v>150</v>
      </c>
      <c r="G1472" s="30" t="s">
        <v>7177</v>
      </c>
      <c r="H1472" s="30" t="s">
        <v>145</v>
      </c>
      <c r="I1472" s="30" t="s">
        <v>145</v>
      </c>
      <c r="J1472" s="30" t="s">
        <v>145</v>
      </c>
      <c r="K1472" s="30" t="s">
        <v>145</v>
      </c>
      <c r="L1472" s="30" t="s">
        <v>145</v>
      </c>
      <c r="M1472" s="30" t="s">
        <v>145</v>
      </c>
      <c r="N1472" s="30" t="s">
        <v>145</v>
      </c>
      <c r="O1472" s="30" t="s">
        <v>145</v>
      </c>
      <c r="P1472" s="30" t="s">
        <v>145</v>
      </c>
      <c r="Q1472" s="30" t="s">
        <v>609</v>
      </c>
    </row>
    <row r="1473" hidden="1">
      <c r="A1473" s="33" t="s">
        <v>6634</v>
      </c>
      <c r="B1473" s="30" t="s">
        <v>139</v>
      </c>
      <c r="C1473" s="30" t="s">
        <v>609</v>
      </c>
      <c r="D1473" s="30" t="s">
        <v>609</v>
      </c>
      <c r="E1473" s="35">
        <v>42021.0</v>
      </c>
      <c r="F1473" s="37" t="s">
        <v>150</v>
      </c>
      <c r="G1473" s="30" t="s">
        <v>7177</v>
      </c>
      <c r="H1473" s="30" t="s">
        <v>145</v>
      </c>
      <c r="I1473" s="30" t="s">
        <v>145</v>
      </c>
      <c r="J1473" s="30" t="s">
        <v>145</v>
      </c>
      <c r="K1473" s="30" t="s">
        <v>145</v>
      </c>
      <c r="L1473" s="30" t="s">
        <v>145</v>
      </c>
      <c r="M1473" s="30" t="s">
        <v>145</v>
      </c>
      <c r="N1473" s="30" t="s">
        <v>145</v>
      </c>
      <c r="O1473" s="30" t="s">
        <v>145</v>
      </c>
      <c r="P1473" s="30" t="s">
        <v>145</v>
      </c>
      <c r="Q1473" s="30" t="s">
        <v>609</v>
      </c>
    </row>
    <row r="1474" hidden="1">
      <c r="A1474" s="33" t="s">
        <v>6637</v>
      </c>
      <c r="B1474" s="30" t="s">
        <v>139</v>
      </c>
      <c r="C1474" s="30" t="s">
        <v>140</v>
      </c>
      <c r="D1474" s="30" t="s">
        <v>216</v>
      </c>
      <c r="E1474" s="35">
        <v>42021.0</v>
      </c>
      <c r="F1474" s="37" t="s">
        <v>150</v>
      </c>
      <c r="G1474" s="2" t="s">
        <v>7186</v>
      </c>
      <c r="H1474" s="30" t="s">
        <v>140</v>
      </c>
      <c r="I1474" s="30" t="s">
        <v>145</v>
      </c>
      <c r="J1474" s="30" t="s">
        <v>145</v>
      </c>
      <c r="K1474" s="30" t="s">
        <v>145</v>
      </c>
      <c r="L1474" s="30" t="s">
        <v>145</v>
      </c>
      <c r="M1474" s="30" t="s">
        <v>145</v>
      </c>
      <c r="N1474" s="30" t="s">
        <v>145</v>
      </c>
      <c r="O1474" s="30" t="s">
        <v>145</v>
      </c>
      <c r="P1474" s="30" t="s">
        <v>145</v>
      </c>
      <c r="Q1474" s="30" t="s">
        <v>146</v>
      </c>
    </row>
    <row r="1475" hidden="1">
      <c r="A1475" s="33" t="s">
        <v>6639</v>
      </c>
      <c r="B1475" s="30" t="s">
        <v>139</v>
      </c>
      <c r="C1475" s="30" t="s">
        <v>609</v>
      </c>
      <c r="D1475" s="30" t="s">
        <v>609</v>
      </c>
      <c r="E1475" s="35">
        <v>42020.0</v>
      </c>
      <c r="F1475" s="37" t="s">
        <v>150</v>
      </c>
      <c r="G1475" s="30" t="s">
        <v>7189</v>
      </c>
      <c r="H1475" s="30" t="s">
        <v>145</v>
      </c>
      <c r="I1475" s="30" t="s">
        <v>145</v>
      </c>
      <c r="J1475" s="30" t="s">
        <v>145</v>
      </c>
      <c r="K1475" s="30" t="s">
        <v>145</v>
      </c>
      <c r="L1475" s="30" t="s">
        <v>145</v>
      </c>
      <c r="M1475" s="30" t="s">
        <v>145</v>
      </c>
      <c r="N1475" s="30" t="s">
        <v>145</v>
      </c>
      <c r="O1475" s="30" t="s">
        <v>145</v>
      </c>
      <c r="P1475" s="30" t="s">
        <v>145</v>
      </c>
      <c r="Q1475" s="30" t="s">
        <v>609</v>
      </c>
    </row>
    <row r="1476" hidden="1">
      <c r="A1476" s="33" t="s">
        <v>6643</v>
      </c>
      <c r="B1476" s="30" t="s">
        <v>139</v>
      </c>
      <c r="C1476" s="30" t="s">
        <v>177</v>
      </c>
      <c r="D1476" s="30" t="s">
        <v>177</v>
      </c>
      <c r="E1476" s="35">
        <v>42020.0</v>
      </c>
      <c r="F1476" s="37" t="s">
        <v>150</v>
      </c>
      <c r="G1476" s="30" t="s">
        <v>7190</v>
      </c>
      <c r="H1476" s="30" t="s">
        <v>145</v>
      </c>
      <c r="I1476" s="30" t="s">
        <v>145</v>
      </c>
      <c r="J1476" s="30" t="s">
        <v>145</v>
      </c>
      <c r="K1476" s="30" t="s">
        <v>145</v>
      </c>
      <c r="L1476" s="30" t="s">
        <v>145</v>
      </c>
      <c r="M1476" s="30" t="s">
        <v>145</v>
      </c>
      <c r="N1476" s="30" t="s">
        <v>145</v>
      </c>
      <c r="O1476" s="30" t="s">
        <v>145</v>
      </c>
      <c r="P1476" s="30" t="s">
        <v>145</v>
      </c>
      <c r="Q1476" s="30" t="s">
        <v>177</v>
      </c>
    </row>
    <row r="1477" hidden="1">
      <c r="A1477" s="33" t="s">
        <v>6644</v>
      </c>
      <c r="B1477" s="30" t="s">
        <v>139</v>
      </c>
      <c r="C1477" s="30" t="s">
        <v>216</v>
      </c>
      <c r="D1477" s="30" t="s">
        <v>216</v>
      </c>
      <c r="E1477" s="35">
        <v>42020.0</v>
      </c>
      <c r="F1477" s="37" t="s">
        <v>150</v>
      </c>
      <c r="G1477" s="30" t="s">
        <v>7191</v>
      </c>
      <c r="H1477" s="30" t="s">
        <v>145</v>
      </c>
      <c r="I1477" s="30" t="s">
        <v>145</v>
      </c>
      <c r="J1477" s="30" t="s">
        <v>145</v>
      </c>
      <c r="K1477" s="30" t="s">
        <v>145</v>
      </c>
      <c r="L1477" s="30" t="s">
        <v>145</v>
      </c>
      <c r="M1477" s="30" t="s">
        <v>145</v>
      </c>
      <c r="N1477" s="30" t="s">
        <v>145</v>
      </c>
      <c r="O1477" s="30" t="s">
        <v>145</v>
      </c>
      <c r="P1477" s="30" t="s">
        <v>145</v>
      </c>
      <c r="Q1477" s="30" t="s">
        <v>216</v>
      </c>
    </row>
    <row r="1478" hidden="1">
      <c r="A1478" s="33" t="s">
        <v>6646</v>
      </c>
      <c r="B1478" s="30" t="s">
        <v>139</v>
      </c>
      <c r="C1478" s="30" t="s">
        <v>216</v>
      </c>
      <c r="D1478" s="30" t="s">
        <v>216</v>
      </c>
      <c r="E1478" s="35">
        <v>42019.0</v>
      </c>
      <c r="F1478" s="37" t="s">
        <v>150</v>
      </c>
      <c r="G1478" s="30" t="s">
        <v>7194</v>
      </c>
      <c r="H1478" s="30" t="s">
        <v>145</v>
      </c>
      <c r="I1478" s="30" t="s">
        <v>145</v>
      </c>
      <c r="J1478" s="30" t="s">
        <v>145</v>
      </c>
      <c r="K1478" s="30" t="s">
        <v>145</v>
      </c>
      <c r="L1478" s="30" t="s">
        <v>145</v>
      </c>
      <c r="M1478" s="30" t="s">
        <v>145</v>
      </c>
      <c r="N1478" s="30" t="s">
        <v>145</v>
      </c>
      <c r="O1478" s="30" t="s">
        <v>145</v>
      </c>
      <c r="P1478" s="30" t="s">
        <v>145</v>
      </c>
      <c r="Q1478" s="30" t="s">
        <v>216</v>
      </c>
    </row>
    <row r="1479" hidden="1">
      <c r="A1479" s="33" t="s">
        <v>6650</v>
      </c>
      <c r="B1479" s="30" t="s">
        <v>139</v>
      </c>
      <c r="C1479" s="30" t="s">
        <v>177</v>
      </c>
      <c r="D1479" s="30" t="s">
        <v>177</v>
      </c>
      <c r="E1479" s="35">
        <v>42019.0</v>
      </c>
      <c r="F1479" s="37" t="s">
        <v>150</v>
      </c>
      <c r="G1479" s="30" t="s">
        <v>7197</v>
      </c>
      <c r="H1479" s="30" t="s">
        <v>145</v>
      </c>
      <c r="I1479" s="30" t="s">
        <v>145</v>
      </c>
      <c r="J1479" s="30" t="s">
        <v>145</v>
      </c>
      <c r="K1479" s="30" t="s">
        <v>145</v>
      </c>
      <c r="L1479" s="30" t="s">
        <v>145</v>
      </c>
      <c r="M1479" s="30" t="s">
        <v>145</v>
      </c>
      <c r="N1479" s="30" t="s">
        <v>145</v>
      </c>
      <c r="O1479" s="30" t="s">
        <v>145</v>
      </c>
      <c r="P1479" s="30" t="s">
        <v>145</v>
      </c>
      <c r="Q1479" s="30" t="s">
        <v>177</v>
      </c>
    </row>
    <row r="1480" hidden="1">
      <c r="A1480" s="33" t="s">
        <v>6658</v>
      </c>
      <c r="B1480" s="30" t="s">
        <v>139</v>
      </c>
      <c r="C1480" s="30" t="s">
        <v>609</v>
      </c>
      <c r="D1480" s="30" t="s">
        <v>609</v>
      </c>
      <c r="E1480" s="35">
        <v>42018.0</v>
      </c>
      <c r="F1480" s="37" t="s">
        <v>150</v>
      </c>
      <c r="G1480" s="30" t="s">
        <v>7198</v>
      </c>
      <c r="H1480" s="30" t="s">
        <v>145</v>
      </c>
      <c r="I1480" s="30" t="s">
        <v>145</v>
      </c>
      <c r="J1480" s="30" t="s">
        <v>145</v>
      </c>
      <c r="K1480" s="30" t="s">
        <v>145</v>
      </c>
      <c r="L1480" s="30" t="s">
        <v>145</v>
      </c>
      <c r="M1480" s="30" t="s">
        <v>145</v>
      </c>
      <c r="N1480" s="30" t="s">
        <v>145</v>
      </c>
      <c r="O1480" s="30" t="s">
        <v>145</v>
      </c>
      <c r="P1480" s="30" t="s">
        <v>145</v>
      </c>
      <c r="Q1480" s="30" t="s">
        <v>609</v>
      </c>
    </row>
    <row r="1481" hidden="1">
      <c r="A1481" s="33" t="s">
        <v>6661</v>
      </c>
      <c r="B1481" s="30" t="s">
        <v>139</v>
      </c>
      <c r="C1481" s="30" t="s">
        <v>609</v>
      </c>
      <c r="D1481" s="30" t="s">
        <v>609</v>
      </c>
      <c r="E1481" s="35">
        <v>42018.0</v>
      </c>
      <c r="F1481" s="37" t="s">
        <v>150</v>
      </c>
      <c r="G1481" s="30" t="s">
        <v>7198</v>
      </c>
      <c r="H1481" s="30" t="s">
        <v>145</v>
      </c>
      <c r="I1481" s="30" t="s">
        <v>145</v>
      </c>
      <c r="J1481" s="30" t="s">
        <v>145</v>
      </c>
      <c r="K1481" s="30" t="s">
        <v>145</v>
      </c>
      <c r="L1481" s="30" t="s">
        <v>145</v>
      </c>
      <c r="M1481" s="30" t="s">
        <v>145</v>
      </c>
      <c r="N1481" s="30" t="s">
        <v>145</v>
      </c>
      <c r="O1481" s="30" t="s">
        <v>145</v>
      </c>
      <c r="P1481" s="30" t="s">
        <v>145</v>
      </c>
      <c r="Q1481" s="30" t="s">
        <v>609</v>
      </c>
    </row>
    <row r="1482" hidden="1">
      <c r="A1482" s="33" t="s">
        <v>6664</v>
      </c>
      <c r="B1482" s="30" t="s">
        <v>139</v>
      </c>
      <c r="C1482" s="30" t="s">
        <v>216</v>
      </c>
      <c r="D1482" s="30" t="s">
        <v>216</v>
      </c>
      <c r="E1482" s="35">
        <v>42017.0</v>
      </c>
      <c r="F1482" s="37" t="s">
        <v>150</v>
      </c>
      <c r="G1482" s="30" t="s">
        <v>7199</v>
      </c>
      <c r="H1482" s="30" t="s">
        <v>145</v>
      </c>
      <c r="I1482" s="30" t="s">
        <v>145</v>
      </c>
      <c r="J1482" s="30" t="s">
        <v>145</v>
      </c>
      <c r="K1482" s="30" t="s">
        <v>145</v>
      </c>
      <c r="L1482" s="30" t="s">
        <v>145</v>
      </c>
      <c r="M1482" s="30" t="s">
        <v>145</v>
      </c>
      <c r="N1482" s="30" t="s">
        <v>145</v>
      </c>
      <c r="O1482" s="30" t="s">
        <v>145</v>
      </c>
      <c r="P1482" s="30" t="s">
        <v>145</v>
      </c>
      <c r="Q1482" s="30" t="s">
        <v>216</v>
      </c>
    </row>
    <row r="1483" hidden="1">
      <c r="A1483" s="33" t="s">
        <v>6667</v>
      </c>
      <c r="B1483" s="30" t="s">
        <v>139</v>
      </c>
      <c r="C1483" s="30" t="s">
        <v>216</v>
      </c>
      <c r="D1483" s="30" t="s">
        <v>216</v>
      </c>
      <c r="E1483" s="35">
        <v>42017.0</v>
      </c>
      <c r="F1483" s="37" t="s">
        <v>150</v>
      </c>
      <c r="G1483" s="30" t="s">
        <v>7199</v>
      </c>
      <c r="H1483" s="30" t="s">
        <v>145</v>
      </c>
      <c r="I1483" s="30" t="s">
        <v>145</v>
      </c>
      <c r="J1483" s="30" t="s">
        <v>145</v>
      </c>
      <c r="K1483" s="30" t="s">
        <v>145</v>
      </c>
      <c r="L1483" s="30" t="s">
        <v>145</v>
      </c>
      <c r="M1483" s="30" t="s">
        <v>145</v>
      </c>
      <c r="N1483" s="30" t="s">
        <v>145</v>
      </c>
      <c r="O1483" s="30" t="s">
        <v>145</v>
      </c>
      <c r="P1483" s="30" t="s">
        <v>145</v>
      </c>
      <c r="Q1483" s="30" t="s">
        <v>216</v>
      </c>
    </row>
    <row r="1484" hidden="1">
      <c r="A1484" s="33" t="str">
        <f>hyperlink("https://issues.sierrawireless.com/browse/QTI9X28-2818", "QTI9X28-2818")</f>
        <v>QTI9X28-2818</v>
      </c>
      <c r="B1484" s="30" t="s">
        <v>469</v>
      </c>
      <c r="C1484" s="30" t="s">
        <v>140</v>
      </c>
      <c r="D1484" s="30" t="s">
        <v>140</v>
      </c>
      <c r="E1484" s="35">
        <v>43095.0</v>
      </c>
      <c r="F1484" s="37" t="s">
        <v>207</v>
      </c>
      <c r="G1484" s="30" t="s">
        <v>7201</v>
      </c>
      <c r="H1484" s="30" t="s">
        <v>145</v>
      </c>
      <c r="I1484" s="30" t="s">
        <v>145</v>
      </c>
      <c r="J1484" s="30" t="s">
        <v>145</v>
      </c>
      <c r="K1484" s="30" t="s">
        <v>145</v>
      </c>
      <c r="L1484" s="30" t="s">
        <v>7011</v>
      </c>
      <c r="M1484" s="30" t="s">
        <v>7087</v>
      </c>
      <c r="N1484" s="30" t="s">
        <v>145</v>
      </c>
      <c r="O1484" s="30" t="s">
        <v>145</v>
      </c>
      <c r="P1484" s="30" t="s">
        <v>145</v>
      </c>
      <c r="Q1484" s="30" t="s">
        <v>166</v>
      </c>
    </row>
    <row r="1485" hidden="1">
      <c r="A1485" s="33" t="str">
        <f>hyperlink("https://issues.sierrawireless.com/browse/ELAND-359", "ELAND-359")</f>
        <v>ELAND-359</v>
      </c>
      <c r="B1485" s="30" t="s">
        <v>196</v>
      </c>
      <c r="C1485" s="30" t="s">
        <v>140</v>
      </c>
      <c r="D1485" s="30" t="s">
        <v>609</v>
      </c>
      <c r="E1485" s="35">
        <v>43129.0</v>
      </c>
      <c r="F1485" s="37" t="s">
        <v>162</v>
      </c>
      <c r="G1485" s="30" t="s">
        <v>163</v>
      </c>
      <c r="H1485" s="30" t="s">
        <v>146</v>
      </c>
      <c r="I1485" s="30" t="s">
        <v>145</v>
      </c>
      <c r="J1485" s="30" t="s">
        <v>145</v>
      </c>
      <c r="K1485" s="30" t="s">
        <v>145</v>
      </c>
      <c r="L1485" s="30" t="s">
        <v>145</v>
      </c>
      <c r="M1485" s="30" t="s">
        <v>145</v>
      </c>
      <c r="N1485" s="30" t="s">
        <v>145</v>
      </c>
      <c r="O1485" s="30" t="s">
        <v>145</v>
      </c>
      <c r="P1485" s="30" t="s">
        <v>145</v>
      </c>
      <c r="Q1485" s="30" t="s">
        <v>146</v>
      </c>
    </row>
    <row r="1486" hidden="1">
      <c r="A1486" s="33" t="str">
        <f>hyperlink("https://issues.sierrawireless.com/browse/ELAND-360", "ELAND-360")</f>
        <v>ELAND-360</v>
      </c>
      <c r="B1486" s="30" t="s">
        <v>196</v>
      </c>
      <c r="C1486" s="30" t="s">
        <v>140</v>
      </c>
      <c r="D1486" s="30" t="s">
        <v>609</v>
      </c>
      <c r="E1486" s="35">
        <v>43129.0</v>
      </c>
      <c r="F1486" s="37" t="s">
        <v>162</v>
      </c>
      <c r="G1486" s="30" t="s">
        <v>163</v>
      </c>
      <c r="H1486" s="30" t="s">
        <v>146</v>
      </c>
      <c r="I1486" s="30" t="s">
        <v>146</v>
      </c>
      <c r="J1486" s="30" t="s">
        <v>145</v>
      </c>
      <c r="K1486" s="30" t="s">
        <v>145</v>
      </c>
      <c r="L1486" s="30" t="s">
        <v>145</v>
      </c>
      <c r="M1486" s="30" t="s">
        <v>145</v>
      </c>
      <c r="N1486" s="30" t="s">
        <v>145</v>
      </c>
      <c r="O1486" s="30" t="s">
        <v>145</v>
      </c>
      <c r="P1486" s="30" t="s">
        <v>145</v>
      </c>
      <c r="Q1486" s="30" t="s">
        <v>146</v>
      </c>
    </row>
    <row r="1487" hidden="1">
      <c r="A1487" s="33" t="s">
        <v>6670</v>
      </c>
      <c r="B1487" s="30" t="s">
        <v>139</v>
      </c>
      <c r="C1487" s="30" t="s">
        <v>216</v>
      </c>
      <c r="D1487" s="30" t="s">
        <v>216</v>
      </c>
      <c r="E1487" s="35">
        <v>42017.0</v>
      </c>
      <c r="F1487" s="37" t="s">
        <v>150</v>
      </c>
      <c r="G1487" s="30" t="s">
        <v>7199</v>
      </c>
      <c r="H1487" s="30" t="s">
        <v>145</v>
      </c>
      <c r="I1487" s="30" t="s">
        <v>145</v>
      </c>
      <c r="J1487" s="30" t="s">
        <v>145</v>
      </c>
      <c r="K1487" s="30" t="s">
        <v>145</v>
      </c>
      <c r="L1487" s="30" t="s">
        <v>145</v>
      </c>
      <c r="M1487" s="30" t="s">
        <v>145</v>
      </c>
      <c r="N1487" s="30" t="s">
        <v>145</v>
      </c>
      <c r="O1487" s="30" t="s">
        <v>145</v>
      </c>
      <c r="P1487" s="30" t="s">
        <v>145</v>
      </c>
      <c r="Q1487" s="30" t="s">
        <v>216</v>
      </c>
    </row>
    <row r="1488" hidden="1">
      <c r="A1488" s="33" t="s">
        <v>6672</v>
      </c>
      <c r="B1488" s="30" t="s">
        <v>139</v>
      </c>
      <c r="C1488" s="30" t="s">
        <v>216</v>
      </c>
      <c r="D1488" s="30" t="s">
        <v>216</v>
      </c>
      <c r="E1488" s="35">
        <v>42017.0</v>
      </c>
      <c r="F1488" s="37" t="s">
        <v>150</v>
      </c>
      <c r="G1488" s="30" t="s">
        <v>7199</v>
      </c>
      <c r="H1488" s="30" t="s">
        <v>145</v>
      </c>
      <c r="I1488" s="30" t="s">
        <v>145</v>
      </c>
      <c r="J1488" s="30" t="s">
        <v>145</v>
      </c>
      <c r="K1488" s="30" t="s">
        <v>145</v>
      </c>
      <c r="L1488" s="30" t="s">
        <v>145</v>
      </c>
      <c r="M1488" s="30" t="s">
        <v>145</v>
      </c>
      <c r="N1488" s="30" t="s">
        <v>145</v>
      </c>
      <c r="O1488" s="30" t="s">
        <v>145</v>
      </c>
      <c r="P1488" s="30" t="s">
        <v>145</v>
      </c>
      <c r="Q1488" s="30" t="s">
        <v>216</v>
      </c>
    </row>
    <row r="1489" hidden="1">
      <c r="A1489" s="33" t="s">
        <v>6651</v>
      </c>
      <c r="B1489" s="30" t="s">
        <v>139</v>
      </c>
      <c r="C1489" s="30" t="s">
        <v>216</v>
      </c>
      <c r="D1489" s="30" t="s">
        <v>216</v>
      </c>
      <c r="E1489" s="35">
        <v>42017.0</v>
      </c>
      <c r="F1489" s="37" t="s">
        <v>150</v>
      </c>
      <c r="G1489" s="30" t="s">
        <v>7199</v>
      </c>
      <c r="H1489" s="30" t="s">
        <v>145</v>
      </c>
      <c r="I1489" s="30" t="s">
        <v>145</v>
      </c>
      <c r="J1489" s="30" t="s">
        <v>145</v>
      </c>
      <c r="K1489" s="30" t="s">
        <v>145</v>
      </c>
      <c r="L1489" s="30" t="s">
        <v>145</v>
      </c>
      <c r="M1489" s="30" t="s">
        <v>145</v>
      </c>
      <c r="N1489" s="30" t="s">
        <v>145</v>
      </c>
      <c r="O1489" s="30" t="s">
        <v>145</v>
      </c>
      <c r="P1489" s="30" t="s">
        <v>145</v>
      </c>
      <c r="Q1489" s="30" t="s">
        <v>216</v>
      </c>
    </row>
    <row r="1490" hidden="1">
      <c r="A1490" s="33" t="str">
        <f>hyperlink("https://issues.sierrawireless.com/browse/QTI9X40-2971", "QTI9X40-2971")</f>
        <v>QTI9X40-2971</v>
      </c>
      <c r="B1490" s="30" t="s">
        <v>417</v>
      </c>
      <c r="C1490" s="30" t="s">
        <v>140</v>
      </c>
      <c r="D1490" s="30" t="s">
        <v>1203</v>
      </c>
      <c r="E1490" s="35">
        <v>43109.0</v>
      </c>
      <c r="F1490" s="37" t="s">
        <v>207</v>
      </c>
      <c r="G1490" s="30" t="s">
        <v>7204</v>
      </c>
      <c r="H1490" s="30" t="s">
        <v>145</v>
      </c>
      <c r="I1490" s="30" t="s">
        <v>145</v>
      </c>
      <c r="J1490" s="30" t="s">
        <v>145</v>
      </c>
      <c r="K1490" s="30" t="s">
        <v>145</v>
      </c>
      <c r="L1490" s="30" t="s">
        <v>145</v>
      </c>
      <c r="M1490" s="30" t="s">
        <v>145</v>
      </c>
      <c r="N1490" s="30" t="s">
        <v>145</v>
      </c>
      <c r="O1490" s="30" t="s">
        <v>145</v>
      </c>
      <c r="P1490" s="30" t="s">
        <v>145</v>
      </c>
      <c r="Q1490" s="30" t="s">
        <v>166</v>
      </c>
    </row>
    <row r="1491" hidden="1">
      <c r="A1491" s="33" t="str">
        <f>hyperlink("https://issues.sierrawireless.com/browse/QTI9X28-3142", "QTI9X28-3142")</f>
        <v>QTI9X28-3142</v>
      </c>
      <c r="B1491" s="30" t="s">
        <v>417</v>
      </c>
      <c r="C1491" s="30" t="s">
        <v>140</v>
      </c>
      <c r="D1491" s="30" t="s">
        <v>206</v>
      </c>
      <c r="E1491" s="35">
        <v>43117.0</v>
      </c>
      <c r="F1491" s="37" t="s">
        <v>207</v>
      </c>
      <c r="G1491" s="30" t="s">
        <v>7205</v>
      </c>
      <c r="H1491" s="30" t="s">
        <v>145</v>
      </c>
      <c r="I1491" s="30" t="s">
        <v>145</v>
      </c>
      <c r="J1491" s="30" t="s">
        <v>145</v>
      </c>
      <c r="K1491" s="30" t="s">
        <v>145</v>
      </c>
      <c r="L1491" s="30" t="s">
        <v>145</v>
      </c>
      <c r="M1491" s="30" t="s">
        <v>145</v>
      </c>
      <c r="N1491" s="30" t="s">
        <v>145</v>
      </c>
      <c r="O1491" s="30" t="s">
        <v>145</v>
      </c>
      <c r="P1491" s="30" t="s">
        <v>145</v>
      </c>
      <c r="Q1491" s="30" t="s">
        <v>166</v>
      </c>
    </row>
    <row r="1492" hidden="1">
      <c r="A1492" s="33" t="s">
        <v>6655</v>
      </c>
      <c r="B1492" s="30" t="s">
        <v>139</v>
      </c>
      <c r="C1492" s="30" t="s">
        <v>216</v>
      </c>
      <c r="D1492" s="30" t="s">
        <v>216</v>
      </c>
      <c r="E1492" s="35">
        <v>42017.0</v>
      </c>
      <c r="F1492" s="37" t="s">
        <v>150</v>
      </c>
      <c r="G1492" s="30" t="s">
        <v>7199</v>
      </c>
      <c r="H1492" s="30" t="s">
        <v>145</v>
      </c>
      <c r="I1492" s="30" t="s">
        <v>145</v>
      </c>
      <c r="J1492" s="30" t="s">
        <v>145</v>
      </c>
      <c r="K1492" s="30" t="s">
        <v>145</v>
      </c>
      <c r="L1492" s="30" t="s">
        <v>145</v>
      </c>
      <c r="M1492" s="30" t="s">
        <v>145</v>
      </c>
      <c r="N1492" s="30" t="s">
        <v>145</v>
      </c>
      <c r="O1492" s="30" t="s">
        <v>145</v>
      </c>
      <c r="P1492" s="30" t="s">
        <v>145</v>
      </c>
      <c r="Q1492" s="30" t="s">
        <v>216</v>
      </c>
    </row>
    <row r="1493" hidden="1">
      <c r="A1493" s="33" t="s">
        <v>6675</v>
      </c>
      <c r="B1493" s="30" t="s">
        <v>139</v>
      </c>
      <c r="C1493" s="30" t="s">
        <v>283</v>
      </c>
      <c r="D1493" s="30" t="s">
        <v>283</v>
      </c>
      <c r="E1493" s="35">
        <v>42017.0</v>
      </c>
      <c r="F1493" s="37" t="s">
        <v>150</v>
      </c>
      <c r="G1493" s="30" t="s">
        <v>7209</v>
      </c>
      <c r="H1493" s="30" t="s">
        <v>145</v>
      </c>
      <c r="I1493" s="30" t="s">
        <v>145</v>
      </c>
      <c r="J1493" s="30" t="s">
        <v>145</v>
      </c>
      <c r="K1493" s="30" t="s">
        <v>145</v>
      </c>
      <c r="L1493" s="30" t="s">
        <v>145</v>
      </c>
      <c r="M1493" s="30" t="s">
        <v>145</v>
      </c>
      <c r="N1493" s="30" t="s">
        <v>145</v>
      </c>
      <c r="O1493" s="30" t="s">
        <v>145</v>
      </c>
      <c r="P1493" s="30" t="s">
        <v>145</v>
      </c>
      <c r="Q1493" s="30" t="s">
        <v>283</v>
      </c>
    </row>
    <row r="1494" hidden="1">
      <c r="A1494" s="33" t="s">
        <v>6678</v>
      </c>
      <c r="B1494" s="30" t="s">
        <v>139</v>
      </c>
      <c r="C1494" s="30" t="s">
        <v>1400</v>
      </c>
      <c r="D1494" s="30" t="s">
        <v>1400</v>
      </c>
      <c r="E1494" s="35">
        <v>42016.0</v>
      </c>
      <c r="F1494" s="37" t="s">
        <v>150</v>
      </c>
      <c r="G1494" s="30" t="s">
        <v>7210</v>
      </c>
      <c r="H1494" s="30" t="s">
        <v>145</v>
      </c>
      <c r="I1494" s="30" t="s">
        <v>145</v>
      </c>
      <c r="J1494" s="30" t="s">
        <v>145</v>
      </c>
      <c r="K1494" s="30" t="s">
        <v>145</v>
      </c>
      <c r="L1494" s="30" t="s">
        <v>145</v>
      </c>
      <c r="M1494" s="30" t="s">
        <v>145</v>
      </c>
      <c r="N1494" s="30" t="s">
        <v>145</v>
      </c>
      <c r="O1494" s="30" t="s">
        <v>145</v>
      </c>
      <c r="P1494" s="30" t="s">
        <v>145</v>
      </c>
      <c r="Q1494" s="30" t="s">
        <v>1400</v>
      </c>
    </row>
    <row r="1495" hidden="1">
      <c r="A1495" s="33" t="s">
        <v>6683</v>
      </c>
      <c r="B1495" s="30" t="s">
        <v>139</v>
      </c>
      <c r="C1495" s="30" t="s">
        <v>216</v>
      </c>
      <c r="D1495" s="30" t="s">
        <v>216</v>
      </c>
      <c r="E1495" s="35">
        <v>42016.0</v>
      </c>
      <c r="F1495" s="37" t="s">
        <v>150</v>
      </c>
      <c r="G1495" s="30" t="s">
        <v>7213</v>
      </c>
      <c r="H1495" s="30" t="s">
        <v>145</v>
      </c>
      <c r="I1495" s="30" t="s">
        <v>145</v>
      </c>
      <c r="J1495" s="30" t="s">
        <v>145</v>
      </c>
      <c r="K1495" s="30" t="s">
        <v>145</v>
      </c>
      <c r="L1495" s="30" t="s">
        <v>145</v>
      </c>
      <c r="M1495" s="30" t="s">
        <v>145</v>
      </c>
      <c r="N1495" s="30" t="s">
        <v>145</v>
      </c>
      <c r="O1495" s="30" t="s">
        <v>145</v>
      </c>
      <c r="P1495" s="30" t="s">
        <v>145</v>
      </c>
      <c r="Q1495" s="30" t="s">
        <v>216</v>
      </c>
    </row>
    <row r="1496" hidden="1">
      <c r="A1496" s="33" t="s">
        <v>6685</v>
      </c>
      <c r="B1496" s="30" t="s">
        <v>139</v>
      </c>
      <c r="C1496" s="30" t="s">
        <v>283</v>
      </c>
      <c r="D1496" s="30" t="s">
        <v>283</v>
      </c>
      <c r="E1496" s="35">
        <v>42016.0</v>
      </c>
      <c r="F1496" s="37" t="s">
        <v>150</v>
      </c>
      <c r="G1496" s="30" t="s">
        <v>7221</v>
      </c>
      <c r="H1496" s="30" t="s">
        <v>145</v>
      </c>
      <c r="I1496" s="30" t="s">
        <v>145</v>
      </c>
      <c r="J1496" s="30" t="s">
        <v>145</v>
      </c>
      <c r="K1496" s="30" t="s">
        <v>145</v>
      </c>
      <c r="L1496" s="30" t="s">
        <v>145</v>
      </c>
      <c r="M1496" s="30" t="s">
        <v>145</v>
      </c>
      <c r="N1496" s="30" t="s">
        <v>145</v>
      </c>
      <c r="O1496" s="30" t="s">
        <v>145</v>
      </c>
      <c r="P1496" s="30" t="s">
        <v>145</v>
      </c>
      <c r="Q1496" s="30" t="s">
        <v>283</v>
      </c>
    </row>
    <row r="1497" hidden="1">
      <c r="A1497" s="33" t="s">
        <v>6687</v>
      </c>
      <c r="B1497" s="30" t="s">
        <v>139</v>
      </c>
      <c r="C1497" s="30" t="s">
        <v>283</v>
      </c>
      <c r="D1497" s="30" t="s">
        <v>283</v>
      </c>
      <c r="E1497" s="35">
        <v>42016.0</v>
      </c>
      <c r="F1497" s="37" t="s">
        <v>150</v>
      </c>
      <c r="G1497" s="30" t="s">
        <v>7221</v>
      </c>
      <c r="H1497" s="30" t="s">
        <v>145</v>
      </c>
      <c r="I1497" s="30" t="s">
        <v>145</v>
      </c>
      <c r="J1497" s="30" t="s">
        <v>145</v>
      </c>
      <c r="K1497" s="30" t="s">
        <v>145</v>
      </c>
      <c r="L1497" s="30" t="s">
        <v>145</v>
      </c>
      <c r="M1497" s="30" t="s">
        <v>145</v>
      </c>
      <c r="N1497" s="30" t="s">
        <v>145</v>
      </c>
      <c r="O1497" s="30" t="s">
        <v>145</v>
      </c>
      <c r="P1497" s="30" t="s">
        <v>145</v>
      </c>
      <c r="Q1497" s="30" t="s">
        <v>283</v>
      </c>
    </row>
    <row r="1498" hidden="1">
      <c r="A1498" s="33" t="s">
        <v>6690</v>
      </c>
      <c r="B1498" s="30" t="s">
        <v>139</v>
      </c>
      <c r="C1498" s="30" t="s">
        <v>6026</v>
      </c>
      <c r="D1498" s="30" t="s">
        <v>6026</v>
      </c>
      <c r="E1498" s="35">
        <v>42016.0</v>
      </c>
      <c r="F1498" s="37" t="s">
        <v>150</v>
      </c>
      <c r="G1498" s="30" t="s">
        <v>7228</v>
      </c>
      <c r="H1498" s="30" t="s">
        <v>145</v>
      </c>
      <c r="I1498" s="30" t="s">
        <v>145</v>
      </c>
      <c r="J1498" s="30" t="s">
        <v>145</v>
      </c>
      <c r="K1498" s="30" t="s">
        <v>145</v>
      </c>
      <c r="L1498" s="30" t="s">
        <v>145</v>
      </c>
      <c r="M1498" s="30" t="s">
        <v>145</v>
      </c>
      <c r="N1498" s="30" t="s">
        <v>145</v>
      </c>
      <c r="O1498" s="30" t="s">
        <v>145</v>
      </c>
      <c r="P1498" s="30" t="s">
        <v>145</v>
      </c>
      <c r="Q1498" s="30" t="s">
        <v>6026</v>
      </c>
    </row>
    <row r="1499" hidden="1">
      <c r="A1499" s="33" t="s">
        <v>6692</v>
      </c>
      <c r="B1499" s="30" t="s">
        <v>139</v>
      </c>
      <c r="C1499" s="30" t="s">
        <v>6026</v>
      </c>
      <c r="D1499" s="30" t="s">
        <v>6026</v>
      </c>
      <c r="E1499" s="35">
        <v>42016.0</v>
      </c>
      <c r="F1499" s="37" t="s">
        <v>150</v>
      </c>
      <c r="G1499" s="30" t="s">
        <v>7228</v>
      </c>
      <c r="H1499" s="30" t="s">
        <v>145</v>
      </c>
      <c r="I1499" s="30" t="s">
        <v>145</v>
      </c>
      <c r="J1499" s="30" t="s">
        <v>145</v>
      </c>
      <c r="K1499" s="30" t="s">
        <v>145</v>
      </c>
      <c r="L1499" s="30" t="s">
        <v>145</v>
      </c>
      <c r="M1499" s="30" t="s">
        <v>145</v>
      </c>
      <c r="N1499" s="30" t="s">
        <v>145</v>
      </c>
      <c r="O1499" s="30" t="s">
        <v>145</v>
      </c>
      <c r="P1499" s="30" t="s">
        <v>145</v>
      </c>
      <c r="Q1499" s="30" t="s">
        <v>6026</v>
      </c>
    </row>
    <row r="1500" hidden="1">
      <c r="A1500" s="33" t="str">
        <f>hyperlink("https://issues.sierrawireless.com/browse/QTI9X40-2974", "QTI9X40-2974")</f>
        <v>QTI9X40-2974</v>
      </c>
      <c r="B1500" s="30" t="s">
        <v>417</v>
      </c>
      <c r="C1500" s="30" t="s">
        <v>140</v>
      </c>
      <c r="D1500" s="30" t="s">
        <v>419</v>
      </c>
      <c r="E1500" s="35">
        <v>43110.0</v>
      </c>
      <c r="F1500" s="37" t="s">
        <v>207</v>
      </c>
      <c r="G1500" s="30" t="s">
        <v>7234</v>
      </c>
      <c r="H1500" s="30" t="s">
        <v>145</v>
      </c>
      <c r="I1500" s="30" t="s">
        <v>145</v>
      </c>
      <c r="J1500" s="30" t="s">
        <v>145</v>
      </c>
      <c r="K1500" s="30" t="s">
        <v>145</v>
      </c>
      <c r="L1500" s="30" t="s">
        <v>145</v>
      </c>
      <c r="M1500" s="30" t="s">
        <v>145</v>
      </c>
      <c r="N1500" s="30" t="s">
        <v>145</v>
      </c>
      <c r="O1500" s="30" t="s">
        <v>145</v>
      </c>
      <c r="P1500" s="30" t="s">
        <v>145</v>
      </c>
      <c r="Q1500" s="30" t="s">
        <v>166</v>
      </c>
    </row>
    <row r="1501" hidden="1">
      <c r="A1501" s="33" t="s">
        <v>6695</v>
      </c>
      <c r="B1501" s="30" t="s">
        <v>139</v>
      </c>
      <c r="C1501" s="30" t="s">
        <v>609</v>
      </c>
      <c r="D1501" s="30" t="s">
        <v>609</v>
      </c>
      <c r="E1501" s="35">
        <v>42015.0</v>
      </c>
      <c r="F1501" s="37" t="s">
        <v>150</v>
      </c>
      <c r="G1501" s="30" t="s">
        <v>7237</v>
      </c>
      <c r="H1501" s="30" t="s">
        <v>145</v>
      </c>
      <c r="I1501" s="30" t="s">
        <v>145</v>
      </c>
      <c r="J1501" s="30" t="s">
        <v>145</v>
      </c>
      <c r="K1501" s="30" t="s">
        <v>145</v>
      </c>
      <c r="L1501" s="30" t="s">
        <v>145</v>
      </c>
      <c r="M1501" s="30" t="s">
        <v>145</v>
      </c>
      <c r="N1501" s="30" t="s">
        <v>145</v>
      </c>
      <c r="O1501" s="30" t="s">
        <v>145</v>
      </c>
      <c r="P1501" s="30" t="s">
        <v>145</v>
      </c>
      <c r="Q1501" s="30" t="s">
        <v>609</v>
      </c>
    </row>
    <row r="1502" hidden="1">
      <c r="A1502" s="33" t="s">
        <v>6697</v>
      </c>
      <c r="B1502" s="30" t="s">
        <v>139</v>
      </c>
      <c r="C1502" s="30" t="s">
        <v>609</v>
      </c>
      <c r="D1502" s="30" t="s">
        <v>609</v>
      </c>
      <c r="E1502" s="35">
        <v>42015.0</v>
      </c>
      <c r="F1502" s="37" t="s">
        <v>150</v>
      </c>
      <c r="G1502" s="30" t="s">
        <v>7237</v>
      </c>
      <c r="H1502" s="30" t="s">
        <v>145</v>
      </c>
      <c r="I1502" s="30" t="s">
        <v>145</v>
      </c>
      <c r="J1502" s="30" t="s">
        <v>145</v>
      </c>
      <c r="K1502" s="30" t="s">
        <v>145</v>
      </c>
      <c r="L1502" s="30" t="s">
        <v>145</v>
      </c>
      <c r="M1502" s="30" t="s">
        <v>145</v>
      </c>
      <c r="N1502" s="30" t="s">
        <v>145</v>
      </c>
      <c r="O1502" s="30" t="s">
        <v>145</v>
      </c>
      <c r="P1502" s="30" t="s">
        <v>145</v>
      </c>
      <c r="Q1502" s="30" t="s">
        <v>609</v>
      </c>
    </row>
    <row r="1503" hidden="1">
      <c r="A1503" s="33" t="s">
        <v>6699</v>
      </c>
      <c r="B1503" s="30" t="s">
        <v>139</v>
      </c>
      <c r="C1503" s="30" t="s">
        <v>216</v>
      </c>
      <c r="D1503" s="30" t="s">
        <v>216</v>
      </c>
      <c r="E1503" s="35">
        <v>42015.0</v>
      </c>
      <c r="F1503" s="37" t="s">
        <v>150</v>
      </c>
      <c r="G1503" s="30" t="s">
        <v>7242</v>
      </c>
      <c r="H1503" s="30" t="s">
        <v>145</v>
      </c>
      <c r="I1503" s="30" t="s">
        <v>145</v>
      </c>
      <c r="J1503" s="30" t="s">
        <v>145</v>
      </c>
      <c r="K1503" s="30" t="s">
        <v>145</v>
      </c>
      <c r="L1503" s="30" t="s">
        <v>145</v>
      </c>
      <c r="M1503" s="30" t="s">
        <v>145</v>
      </c>
      <c r="N1503" s="30" t="s">
        <v>145</v>
      </c>
      <c r="O1503" s="30" t="s">
        <v>145</v>
      </c>
      <c r="P1503" s="30" t="s">
        <v>145</v>
      </c>
      <c r="Q1503" s="30" t="s">
        <v>216</v>
      </c>
    </row>
    <row r="1504" hidden="1">
      <c r="A1504" s="33" t="s">
        <v>6701</v>
      </c>
      <c r="B1504" s="30" t="s">
        <v>139</v>
      </c>
      <c r="C1504" s="30" t="s">
        <v>1400</v>
      </c>
      <c r="D1504" s="30" t="s">
        <v>1400</v>
      </c>
      <c r="E1504" s="35">
        <v>42015.0</v>
      </c>
      <c r="F1504" s="37" t="s">
        <v>150</v>
      </c>
      <c r="G1504" s="30" t="s">
        <v>7244</v>
      </c>
      <c r="H1504" s="30" t="s">
        <v>145</v>
      </c>
      <c r="I1504" s="30" t="s">
        <v>145</v>
      </c>
      <c r="J1504" s="30" t="s">
        <v>145</v>
      </c>
      <c r="K1504" s="30" t="s">
        <v>145</v>
      </c>
      <c r="L1504" s="30" t="s">
        <v>145</v>
      </c>
      <c r="M1504" s="30" t="s">
        <v>145</v>
      </c>
      <c r="N1504" s="30" t="s">
        <v>145</v>
      </c>
      <c r="O1504" s="30" t="s">
        <v>145</v>
      </c>
      <c r="P1504" s="30" t="s">
        <v>145</v>
      </c>
      <c r="Q1504" s="30" t="s">
        <v>1400</v>
      </c>
    </row>
    <row r="1505" hidden="1">
      <c r="A1505" s="33" t="s">
        <v>6703</v>
      </c>
      <c r="B1505" s="30" t="s">
        <v>139</v>
      </c>
      <c r="C1505" s="30" t="s">
        <v>216</v>
      </c>
      <c r="D1505" s="30" t="s">
        <v>216</v>
      </c>
      <c r="E1505" s="35">
        <v>42015.0</v>
      </c>
      <c r="F1505" s="37" t="s">
        <v>150</v>
      </c>
      <c r="G1505" s="30" t="s">
        <v>7242</v>
      </c>
      <c r="H1505" s="30" t="s">
        <v>145</v>
      </c>
      <c r="I1505" s="30" t="s">
        <v>145</v>
      </c>
      <c r="J1505" s="30" t="s">
        <v>145</v>
      </c>
      <c r="K1505" s="30" t="s">
        <v>145</v>
      </c>
      <c r="L1505" s="30" t="s">
        <v>145</v>
      </c>
      <c r="M1505" s="30" t="s">
        <v>145</v>
      </c>
      <c r="N1505" s="30" t="s">
        <v>145</v>
      </c>
      <c r="O1505" s="30" t="s">
        <v>145</v>
      </c>
      <c r="P1505" s="30" t="s">
        <v>145</v>
      </c>
      <c r="Q1505" s="30" t="s">
        <v>216</v>
      </c>
    </row>
    <row r="1506" hidden="1">
      <c r="A1506" s="33" t="str">
        <f>hyperlink("https://issues.sierrawireless.com/browse/QTI9X28-3301", "QTI9X28-3301")</f>
        <v>QTI9X28-3301</v>
      </c>
      <c r="B1506" s="30" t="s">
        <v>417</v>
      </c>
      <c r="C1506" s="30" t="s">
        <v>140</v>
      </c>
      <c r="D1506" s="30" t="s">
        <v>419</v>
      </c>
      <c r="E1506" s="35">
        <v>43136.0</v>
      </c>
      <c r="F1506" s="37" t="s">
        <v>207</v>
      </c>
      <c r="G1506" s="30" t="s">
        <v>7251</v>
      </c>
      <c r="H1506" s="30" t="s">
        <v>145</v>
      </c>
      <c r="I1506" s="30" t="s">
        <v>145</v>
      </c>
      <c r="J1506" s="30" t="s">
        <v>145</v>
      </c>
      <c r="K1506" s="30" t="s">
        <v>145</v>
      </c>
      <c r="L1506" s="30" t="s">
        <v>145</v>
      </c>
      <c r="M1506" s="30" t="s">
        <v>145</v>
      </c>
      <c r="N1506" s="30" t="s">
        <v>145</v>
      </c>
      <c r="O1506" s="30" t="s">
        <v>145</v>
      </c>
      <c r="P1506" s="30" t="s">
        <v>145</v>
      </c>
      <c r="Q1506" s="30" t="s">
        <v>166</v>
      </c>
    </row>
    <row r="1507" hidden="1">
      <c r="A1507" s="33" t="s">
        <v>6705</v>
      </c>
      <c r="B1507" s="30" t="s">
        <v>139</v>
      </c>
      <c r="C1507" s="30" t="s">
        <v>216</v>
      </c>
      <c r="D1507" s="30" t="s">
        <v>216</v>
      </c>
      <c r="E1507" s="35">
        <v>42015.0</v>
      </c>
      <c r="F1507" s="37" t="s">
        <v>150</v>
      </c>
      <c r="G1507" s="30" t="s">
        <v>7242</v>
      </c>
      <c r="H1507" s="30" t="s">
        <v>145</v>
      </c>
      <c r="I1507" s="30" t="s">
        <v>145</v>
      </c>
      <c r="J1507" s="30" t="s">
        <v>145</v>
      </c>
      <c r="K1507" s="30" t="s">
        <v>145</v>
      </c>
      <c r="L1507" s="30" t="s">
        <v>145</v>
      </c>
      <c r="M1507" s="30" t="s">
        <v>145</v>
      </c>
      <c r="N1507" s="30" t="s">
        <v>145</v>
      </c>
      <c r="O1507" s="30" t="s">
        <v>145</v>
      </c>
      <c r="P1507" s="30" t="s">
        <v>145</v>
      </c>
      <c r="Q1507" s="30" t="s">
        <v>216</v>
      </c>
    </row>
    <row r="1508" hidden="1">
      <c r="A1508" s="33" t="s">
        <v>6709</v>
      </c>
      <c r="B1508" s="30" t="s">
        <v>139</v>
      </c>
      <c r="C1508" s="30" t="s">
        <v>609</v>
      </c>
      <c r="D1508" s="30" t="s">
        <v>609</v>
      </c>
      <c r="E1508" s="35">
        <v>42014.0</v>
      </c>
      <c r="F1508" s="37" t="s">
        <v>150</v>
      </c>
      <c r="G1508" s="30" t="s">
        <v>7257</v>
      </c>
      <c r="H1508" s="30" t="s">
        <v>145</v>
      </c>
      <c r="I1508" s="30" t="s">
        <v>145</v>
      </c>
      <c r="J1508" s="30" t="s">
        <v>145</v>
      </c>
      <c r="K1508" s="30" t="s">
        <v>145</v>
      </c>
      <c r="L1508" s="30" t="s">
        <v>145</v>
      </c>
      <c r="M1508" s="30" t="s">
        <v>145</v>
      </c>
      <c r="N1508" s="30" t="s">
        <v>145</v>
      </c>
      <c r="O1508" s="30" t="s">
        <v>145</v>
      </c>
      <c r="P1508" s="30" t="s">
        <v>145</v>
      </c>
      <c r="Q1508" s="30" t="s">
        <v>609</v>
      </c>
    </row>
    <row r="1509" hidden="1">
      <c r="A1509" s="33" t="str">
        <f>hyperlink("https://issues.sierrawireless.com/browse/QTI9X40-3076", "QTI9X40-3076")</f>
        <v>QTI9X40-3076</v>
      </c>
      <c r="B1509" s="30" t="s">
        <v>417</v>
      </c>
      <c r="C1509" s="30" t="s">
        <v>140</v>
      </c>
      <c r="D1509" s="30" t="s">
        <v>1587</v>
      </c>
      <c r="E1509" s="35">
        <v>43136.0</v>
      </c>
      <c r="F1509" s="37" t="s">
        <v>379</v>
      </c>
      <c r="G1509" s="30" t="s">
        <v>7087</v>
      </c>
      <c r="H1509" s="30" t="s">
        <v>166</v>
      </c>
      <c r="I1509" s="30" t="s">
        <v>166</v>
      </c>
      <c r="J1509" s="30" t="s">
        <v>166</v>
      </c>
      <c r="K1509" s="30" t="s">
        <v>166</v>
      </c>
      <c r="L1509" s="30" t="s">
        <v>166</v>
      </c>
      <c r="M1509" s="30" t="s">
        <v>166</v>
      </c>
      <c r="N1509" s="30" t="s">
        <v>145</v>
      </c>
      <c r="O1509" s="30" t="s">
        <v>145</v>
      </c>
      <c r="P1509" s="30" t="s">
        <v>145</v>
      </c>
      <c r="Q1509" s="30" t="s">
        <v>166</v>
      </c>
    </row>
    <row r="1510" hidden="1">
      <c r="A1510" s="33" t="str">
        <f>hyperlink("https://issues.sierrawireless.com/browse/QTI9X28-3295", "QTI9X28-3295")</f>
        <v>QTI9X28-3295</v>
      </c>
      <c r="B1510" s="30" t="s">
        <v>417</v>
      </c>
      <c r="C1510" s="30" t="s">
        <v>140</v>
      </c>
      <c r="D1510" s="30" t="s">
        <v>419</v>
      </c>
      <c r="E1510" s="35">
        <v>43136.0</v>
      </c>
      <c r="F1510" s="37" t="s">
        <v>207</v>
      </c>
      <c r="G1510" s="30" t="s">
        <v>7251</v>
      </c>
      <c r="H1510" s="30" t="s">
        <v>145</v>
      </c>
      <c r="I1510" s="30" t="s">
        <v>145</v>
      </c>
      <c r="J1510" s="30" t="s">
        <v>145</v>
      </c>
      <c r="K1510" s="30" t="s">
        <v>145</v>
      </c>
      <c r="L1510" s="30" t="s">
        <v>145</v>
      </c>
      <c r="M1510" s="30" t="s">
        <v>145</v>
      </c>
      <c r="N1510" s="30" t="s">
        <v>145</v>
      </c>
      <c r="O1510" s="30" t="s">
        <v>145</v>
      </c>
      <c r="P1510" s="30" t="s">
        <v>145</v>
      </c>
      <c r="Q1510" s="30" t="s">
        <v>166</v>
      </c>
    </row>
    <row r="1511" hidden="1">
      <c r="A1511" s="33" t="str">
        <f>hyperlink("https://issues.sierrawireless.com/browse/QTI9X28-3306", "QTI9X28-3306")</f>
        <v>QTI9X28-3306</v>
      </c>
      <c r="B1511" s="30" t="s">
        <v>417</v>
      </c>
      <c r="C1511" s="30" t="s">
        <v>140</v>
      </c>
      <c r="D1511" s="30" t="s">
        <v>419</v>
      </c>
      <c r="E1511" s="35">
        <v>43136.0</v>
      </c>
      <c r="F1511" s="37" t="s">
        <v>207</v>
      </c>
      <c r="G1511" s="30" t="s">
        <v>7251</v>
      </c>
      <c r="H1511" s="30" t="s">
        <v>145</v>
      </c>
      <c r="I1511" s="30" t="s">
        <v>145</v>
      </c>
      <c r="J1511" s="30" t="s">
        <v>145</v>
      </c>
      <c r="K1511" s="30" t="s">
        <v>145</v>
      </c>
      <c r="L1511" s="30" t="s">
        <v>145</v>
      </c>
      <c r="M1511" s="30" t="s">
        <v>145</v>
      </c>
      <c r="N1511" s="30" t="s">
        <v>145</v>
      </c>
      <c r="O1511" s="30" t="s">
        <v>145</v>
      </c>
      <c r="P1511" s="30" t="s">
        <v>145</v>
      </c>
      <c r="Q1511" s="30" t="s">
        <v>166</v>
      </c>
    </row>
    <row r="1512" hidden="1">
      <c r="A1512" s="33" t="str">
        <f>hyperlink("https://issues.sierrawireless.com/browse/QTI9X28-3307", "QTI9X28-3307")</f>
        <v>QTI9X28-3307</v>
      </c>
      <c r="B1512" s="30" t="s">
        <v>830</v>
      </c>
      <c r="C1512" s="30" t="s">
        <v>140</v>
      </c>
      <c r="D1512" s="30" t="s">
        <v>419</v>
      </c>
      <c r="E1512" s="35">
        <v>43136.0</v>
      </c>
      <c r="F1512" s="37" t="s">
        <v>207</v>
      </c>
      <c r="G1512" s="30" t="s">
        <v>7251</v>
      </c>
      <c r="H1512" s="30" t="s">
        <v>145</v>
      </c>
      <c r="I1512" s="30" t="s">
        <v>145</v>
      </c>
      <c r="J1512" s="30" t="s">
        <v>145</v>
      </c>
      <c r="K1512" s="30" t="s">
        <v>145</v>
      </c>
      <c r="L1512" s="30" t="s">
        <v>145</v>
      </c>
      <c r="M1512" s="30" t="s">
        <v>145</v>
      </c>
      <c r="N1512" s="30" t="s">
        <v>145</v>
      </c>
      <c r="O1512" s="30" t="s">
        <v>145</v>
      </c>
      <c r="P1512" s="30" t="s">
        <v>145</v>
      </c>
      <c r="Q1512" s="30" t="s">
        <v>166</v>
      </c>
    </row>
    <row r="1513" hidden="1">
      <c r="A1513" s="33" t="s">
        <v>6712</v>
      </c>
      <c r="B1513" s="30" t="s">
        <v>139</v>
      </c>
      <c r="C1513" s="30" t="s">
        <v>609</v>
      </c>
      <c r="D1513" s="30" t="s">
        <v>609</v>
      </c>
      <c r="E1513" s="35">
        <v>42014.0</v>
      </c>
      <c r="F1513" s="37" t="s">
        <v>150</v>
      </c>
      <c r="G1513" s="30" t="s">
        <v>7257</v>
      </c>
      <c r="H1513" s="30" t="s">
        <v>145</v>
      </c>
      <c r="I1513" s="30" t="s">
        <v>145</v>
      </c>
      <c r="J1513" s="30" t="s">
        <v>145</v>
      </c>
      <c r="K1513" s="30" t="s">
        <v>145</v>
      </c>
      <c r="L1513" s="30" t="s">
        <v>145</v>
      </c>
      <c r="M1513" s="30" t="s">
        <v>145</v>
      </c>
      <c r="N1513" s="30" t="s">
        <v>145</v>
      </c>
      <c r="O1513" s="30" t="s">
        <v>145</v>
      </c>
      <c r="P1513" s="30" t="s">
        <v>145</v>
      </c>
      <c r="Q1513" s="30" t="s">
        <v>609</v>
      </c>
    </row>
    <row r="1514" hidden="1">
      <c r="A1514" s="33" t="s">
        <v>6715</v>
      </c>
      <c r="B1514" s="30" t="s">
        <v>139</v>
      </c>
      <c r="C1514" s="30" t="s">
        <v>216</v>
      </c>
      <c r="D1514" s="30" t="s">
        <v>216</v>
      </c>
      <c r="E1514" s="35">
        <v>42014.0</v>
      </c>
      <c r="F1514" s="37" t="s">
        <v>150</v>
      </c>
      <c r="G1514" s="30" t="s">
        <v>7270</v>
      </c>
      <c r="H1514" s="30" t="s">
        <v>145</v>
      </c>
      <c r="I1514" s="30" t="s">
        <v>145</v>
      </c>
      <c r="J1514" s="30" t="s">
        <v>145</v>
      </c>
      <c r="K1514" s="30" t="s">
        <v>145</v>
      </c>
      <c r="L1514" s="30" t="s">
        <v>145</v>
      </c>
      <c r="M1514" s="30" t="s">
        <v>145</v>
      </c>
      <c r="N1514" s="30" t="s">
        <v>145</v>
      </c>
      <c r="O1514" s="30" t="s">
        <v>145</v>
      </c>
      <c r="P1514" s="30" t="s">
        <v>145</v>
      </c>
      <c r="Q1514" s="30" t="s">
        <v>216</v>
      </c>
    </row>
    <row r="1515" hidden="1">
      <c r="A1515" s="33" t="s">
        <v>6718</v>
      </c>
      <c r="B1515" s="30" t="s">
        <v>139</v>
      </c>
      <c r="C1515" s="30" t="s">
        <v>216</v>
      </c>
      <c r="D1515" s="30" t="s">
        <v>216</v>
      </c>
      <c r="E1515" s="35">
        <v>42014.0</v>
      </c>
      <c r="F1515" s="37" t="s">
        <v>150</v>
      </c>
      <c r="G1515" s="30" t="s">
        <v>7270</v>
      </c>
      <c r="H1515" s="30" t="s">
        <v>145</v>
      </c>
      <c r="I1515" s="30" t="s">
        <v>145</v>
      </c>
      <c r="J1515" s="30" t="s">
        <v>145</v>
      </c>
      <c r="K1515" s="30" t="s">
        <v>145</v>
      </c>
      <c r="L1515" s="30" t="s">
        <v>145</v>
      </c>
      <c r="M1515" s="30" t="s">
        <v>145</v>
      </c>
      <c r="N1515" s="30" t="s">
        <v>145</v>
      </c>
      <c r="O1515" s="30" t="s">
        <v>145</v>
      </c>
      <c r="P1515" s="30" t="s">
        <v>145</v>
      </c>
      <c r="Q1515" s="30" t="s">
        <v>216</v>
      </c>
    </row>
    <row r="1516" hidden="1">
      <c r="A1516" s="33" t="s">
        <v>6721</v>
      </c>
      <c r="B1516" s="30" t="s">
        <v>139</v>
      </c>
      <c r="C1516" s="30" t="s">
        <v>216</v>
      </c>
      <c r="D1516" s="30" t="s">
        <v>216</v>
      </c>
      <c r="E1516" s="35">
        <v>42014.0</v>
      </c>
      <c r="F1516" s="37" t="s">
        <v>150</v>
      </c>
      <c r="G1516" s="30" t="s">
        <v>7270</v>
      </c>
      <c r="H1516" s="30" t="s">
        <v>145</v>
      </c>
      <c r="I1516" s="30" t="s">
        <v>145</v>
      </c>
      <c r="J1516" s="30" t="s">
        <v>145</v>
      </c>
      <c r="K1516" s="30" t="s">
        <v>145</v>
      </c>
      <c r="L1516" s="30" t="s">
        <v>145</v>
      </c>
      <c r="M1516" s="30" t="s">
        <v>145</v>
      </c>
      <c r="N1516" s="30" t="s">
        <v>145</v>
      </c>
      <c r="O1516" s="30" t="s">
        <v>145</v>
      </c>
      <c r="P1516" s="30" t="s">
        <v>145</v>
      </c>
      <c r="Q1516" s="30" t="s">
        <v>216</v>
      </c>
    </row>
    <row r="1517" hidden="1">
      <c r="A1517" s="33" t="s">
        <v>6725</v>
      </c>
      <c r="B1517" s="30" t="s">
        <v>139</v>
      </c>
      <c r="C1517" s="30" t="s">
        <v>216</v>
      </c>
      <c r="D1517" s="30" t="s">
        <v>216</v>
      </c>
      <c r="E1517" s="35">
        <v>42014.0</v>
      </c>
      <c r="F1517" s="37" t="s">
        <v>150</v>
      </c>
      <c r="G1517" s="30" t="s">
        <v>7270</v>
      </c>
      <c r="H1517" s="30" t="s">
        <v>145</v>
      </c>
      <c r="I1517" s="30" t="s">
        <v>145</v>
      </c>
      <c r="J1517" s="30" t="s">
        <v>145</v>
      </c>
      <c r="K1517" s="30" t="s">
        <v>145</v>
      </c>
      <c r="L1517" s="30" t="s">
        <v>145</v>
      </c>
      <c r="M1517" s="30" t="s">
        <v>145</v>
      </c>
      <c r="N1517" s="30" t="s">
        <v>145</v>
      </c>
      <c r="O1517" s="30" t="s">
        <v>145</v>
      </c>
      <c r="P1517" s="30" t="s">
        <v>145</v>
      </c>
      <c r="Q1517" s="30" t="s">
        <v>216</v>
      </c>
    </row>
    <row r="1518" hidden="1">
      <c r="A1518" s="33" t="s">
        <v>6729</v>
      </c>
      <c r="B1518" s="30" t="s">
        <v>139</v>
      </c>
      <c r="C1518" s="30" t="s">
        <v>216</v>
      </c>
      <c r="D1518" s="30" t="s">
        <v>216</v>
      </c>
      <c r="E1518" s="35">
        <v>42014.0</v>
      </c>
      <c r="F1518" s="37" t="s">
        <v>150</v>
      </c>
      <c r="G1518" s="30" t="s">
        <v>7270</v>
      </c>
      <c r="H1518" s="30" t="s">
        <v>145</v>
      </c>
      <c r="I1518" s="30" t="s">
        <v>145</v>
      </c>
      <c r="J1518" s="30" t="s">
        <v>145</v>
      </c>
      <c r="K1518" s="30" t="s">
        <v>145</v>
      </c>
      <c r="L1518" s="30" t="s">
        <v>145</v>
      </c>
      <c r="M1518" s="30" t="s">
        <v>145</v>
      </c>
      <c r="N1518" s="30" t="s">
        <v>145</v>
      </c>
      <c r="O1518" s="30" t="s">
        <v>145</v>
      </c>
      <c r="P1518" s="30" t="s">
        <v>145</v>
      </c>
      <c r="Q1518" s="30" t="s">
        <v>216</v>
      </c>
    </row>
    <row r="1519" hidden="1">
      <c r="A1519" s="33" t="s">
        <v>6731</v>
      </c>
      <c r="B1519" s="30" t="s">
        <v>139</v>
      </c>
      <c r="C1519" s="30" t="s">
        <v>216</v>
      </c>
      <c r="D1519" s="30" t="s">
        <v>216</v>
      </c>
      <c r="E1519" s="35">
        <v>42014.0</v>
      </c>
      <c r="F1519" s="37" t="s">
        <v>150</v>
      </c>
      <c r="G1519" s="30" t="s">
        <v>7270</v>
      </c>
      <c r="H1519" s="30" t="s">
        <v>145</v>
      </c>
      <c r="I1519" s="30" t="s">
        <v>145</v>
      </c>
      <c r="J1519" s="30" t="s">
        <v>145</v>
      </c>
      <c r="K1519" s="30" t="s">
        <v>145</v>
      </c>
      <c r="L1519" s="30" t="s">
        <v>145</v>
      </c>
      <c r="M1519" s="30" t="s">
        <v>145</v>
      </c>
      <c r="N1519" s="30" t="s">
        <v>145</v>
      </c>
      <c r="O1519" s="30" t="s">
        <v>145</v>
      </c>
      <c r="P1519" s="30" t="s">
        <v>145</v>
      </c>
      <c r="Q1519" s="30" t="s">
        <v>216</v>
      </c>
    </row>
    <row r="1520" hidden="1">
      <c r="A1520" s="33" t="s">
        <v>6734</v>
      </c>
      <c r="B1520" s="30" t="s">
        <v>139</v>
      </c>
      <c r="C1520" s="30" t="s">
        <v>216</v>
      </c>
      <c r="D1520" s="30" t="s">
        <v>216</v>
      </c>
      <c r="E1520" s="35">
        <v>42014.0</v>
      </c>
      <c r="F1520" s="37" t="s">
        <v>150</v>
      </c>
      <c r="G1520" s="30" t="s">
        <v>7270</v>
      </c>
      <c r="H1520" s="30" t="s">
        <v>145</v>
      </c>
      <c r="I1520" s="30" t="s">
        <v>145</v>
      </c>
      <c r="J1520" s="30" t="s">
        <v>145</v>
      </c>
      <c r="K1520" s="30" t="s">
        <v>145</v>
      </c>
      <c r="L1520" s="30" t="s">
        <v>145</v>
      </c>
      <c r="M1520" s="30" t="s">
        <v>145</v>
      </c>
      <c r="N1520" s="30" t="s">
        <v>145</v>
      </c>
      <c r="O1520" s="30" t="s">
        <v>145</v>
      </c>
      <c r="P1520" s="30" t="s">
        <v>145</v>
      </c>
      <c r="Q1520" s="30" t="s">
        <v>216</v>
      </c>
    </row>
    <row r="1521" hidden="1">
      <c r="A1521" s="33" t="s">
        <v>6737</v>
      </c>
      <c r="B1521" s="30" t="s">
        <v>139</v>
      </c>
      <c r="C1521" s="30" t="s">
        <v>216</v>
      </c>
      <c r="D1521" s="30" t="s">
        <v>216</v>
      </c>
      <c r="E1521" s="35">
        <v>42014.0</v>
      </c>
      <c r="F1521" s="37" t="s">
        <v>150</v>
      </c>
      <c r="G1521" s="30" t="s">
        <v>7270</v>
      </c>
      <c r="H1521" s="30" t="s">
        <v>145</v>
      </c>
      <c r="I1521" s="30" t="s">
        <v>145</v>
      </c>
      <c r="J1521" s="30" t="s">
        <v>145</v>
      </c>
      <c r="K1521" s="30" t="s">
        <v>145</v>
      </c>
      <c r="L1521" s="30" t="s">
        <v>145</v>
      </c>
      <c r="M1521" s="30" t="s">
        <v>145</v>
      </c>
      <c r="N1521" s="30" t="s">
        <v>145</v>
      </c>
      <c r="O1521" s="30" t="s">
        <v>145</v>
      </c>
      <c r="P1521" s="30" t="s">
        <v>145</v>
      </c>
      <c r="Q1521" s="30" t="s">
        <v>216</v>
      </c>
    </row>
    <row r="1522" hidden="1">
      <c r="A1522" s="33" t="s">
        <v>6741</v>
      </c>
      <c r="B1522" s="30" t="s">
        <v>139</v>
      </c>
      <c r="C1522" s="30" t="s">
        <v>609</v>
      </c>
      <c r="D1522" s="30" t="s">
        <v>609</v>
      </c>
      <c r="E1522" s="35">
        <v>42013.0</v>
      </c>
      <c r="F1522" s="37" t="s">
        <v>150</v>
      </c>
      <c r="G1522" s="30" t="s">
        <v>7275</v>
      </c>
      <c r="H1522" s="30" t="s">
        <v>145</v>
      </c>
      <c r="I1522" s="30" t="s">
        <v>145</v>
      </c>
      <c r="J1522" s="30" t="s">
        <v>145</v>
      </c>
      <c r="K1522" s="30" t="s">
        <v>145</v>
      </c>
      <c r="L1522" s="30" t="s">
        <v>145</v>
      </c>
      <c r="M1522" s="30" t="s">
        <v>145</v>
      </c>
      <c r="N1522" s="30" t="s">
        <v>145</v>
      </c>
      <c r="O1522" s="30" t="s">
        <v>145</v>
      </c>
      <c r="P1522" s="30" t="s">
        <v>145</v>
      </c>
      <c r="Q1522" s="30" t="s">
        <v>609</v>
      </c>
    </row>
    <row r="1523" hidden="1">
      <c r="A1523" s="33" t="s">
        <v>6745</v>
      </c>
      <c r="B1523" s="30" t="s">
        <v>139</v>
      </c>
      <c r="C1523" s="30" t="s">
        <v>216</v>
      </c>
      <c r="D1523" s="30" t="s">
        <v>216</v>
      </c>
      <c r="E1523" s="35">
        <v>42013.0</v>
      </c>
      <c r="F1523" s="37" t="s">
        <v>150</v>
      </c>
      <c r="G1523" s="30" t="s">
        <v>7276</v>
      </c>
      <c r="H1523" s="30" t="s">
        <v>145</v>
      </c>
      <c r="I1523" s="30" t="s">
        <v>145</v>
      </c>
      <c r="J1523" s="30" t="s">
        <v>145</v>
      </c>
      <c r="K1523" s="30" t="s">
        <v>145</v>
      </c>
      <c r="L1523" s="30" t="s">
        <v>145</v>
      </c>
      <c r="M1523" s="30" t="s">
        <v>145</v>
      </c>
      <c r="N1523" s="30" t="s">
        <v>145</v>
      </c>
      <c r="O1523" s="30" t="s">
        <v>145</v>
      </c>
      <c r="P1523" s="30" t="s">
        <v>145</v>
      </c>
      <c r="Q1523" s="30" t="s">
        <v>216</v>
      </c>
    </row>
    <row r="1524" hidden="1">
      <c r="A1524" s="33" t="s">
        <v>6747</v>
      </c>
      <c r="B1524" s="30" t="s">
        <v>139</v>
      </c>
      <c r="C1524" s="30" t="s">
        <v>609</v>
      </c>
      <c r="D1524" s="30" t="s">
        <v>609</v>
      </c>
      <c r="E1524" s="35">
        <v>42013.0</v>
      </c>
      <c r="F1524" s="37" t="s">
        <v>150</v>
      </c>
      <c r="G1524" s="30" t="s">
        <v>7275</v>
      </c>
      <c r="H1524" s="30" t="s">
        <v>145</v>
      </c>
      <c r="I1524" s="30" t="s">
        <v>145</v>
      </c>
      <c r="J1524" s="30" t="s">
        <v>145</v>
      </c>
      <c r="K1524" s="30" t="s">
        <v>145</v>
      </c>
      <c r="L1524" s="30" t="s">
        <v>145</v>
      </c>
      <c r="M1524" s="30" t="s">
        <v>145</v>
      </c>
      <c r="N1524" s="30" t="s">
        <v>145</v>
      </c>
      <c r="O1524" s="30" t="s">
        <v>145</v>
      </c>
      <c r="P1524" s="30" t="s">
        <v>145</v>
      </c>
      <c r="Q1524" s="30" t="s">
        <v>609</v>
      </c>
    </row>
    <row r="1525" hidden="1">
      <c r="A1525" s="33" t="s">
        <v>6751</v>
      </c>
      <c r="B1525" s="30" t="s">
        <v>139</v>
      </c>
      <c r="C1525" s="30" t="s">
        <v>609</v>
      </c>
      <c r="D1525" s="30" t="s">
        <v>609</v>
      </c>
      <c r="E1525" s="35">
        <v>42013.0</v>
      </c>
      <c r="F1525" s="37" t="s">
        <v>150</v>
      </c>
      <c r="G1525" s="30" t="s">
        <v>7275</v>
      </c>
      <c r="H1525" s="30" t="s">
        <v>145</v>
      </c>
      <c r="I1525" s="30" t="s">
        <v>145</v>
      </c>
      <c r="J1525" s="30" t="s">
        <v>145</v>
      </c>
      <c r="K1525" s="30" t="s">
        <v>145</v>
      </c>
      <c r="L1525" s="30" t="s">
        <v>145</v>
      </c>
      <c r="M1525" s="30" t="s">
        <v>145</v>
      </c>
      <c r="N1525" s="30" t="s">
        <v>145</v>
      </c>
      <c r="O1525" s="30" t="s">
        <v>145</v>
      </c>
      <c r="P1525" s="30" t="s">
        <v>145</v>
      </c>
      <c r="Q1525" s="30" t="s">
        <v>609</v>
      </c>
    </row>
    <row r="1526" hidden="1">
      <c r="A1526" s="33" t="s">
        <v>6754</v>
      </c>
      <c r="B1526" s="30" t="s">
        <v>139</v>
      </c>
      <c r="C1526" s="30" t="s">
        <v>177</v>
      </c>
      <c r="D1526" s="30" t="s">
        <v>177</v>
      </c>
      <c r="E1526" s="35">
        <v>42013.0</v>
      </c>
      <c r="F1526" s="37" t="s">
        <v>150</v>
      </c>
      <c r="G1526" s="30" t="s">
        <v>7277</v>
      </c>
      <c r="H1526" s="30" t="s">
        <v>145</v>
      </c>
      <c r="I1526" s="30" t="s">
        <v>145</v>
      </c>
      <c r="J1526" s="30" t="s">
        <v>145</v>
      </c>
      <c r="K1526" s="30" t="s">
        <v>145</v>
      </c>
      <c r="L1526" s="30" t="s">
        <v>145</v>
      </c>
      <c r="M1526" s="30" t="s">
        <v>145</v>
      </c>
      <c r="N1526" s="30" t="s">
        <v>145</v>
      </c>
      <c r="O1526" s="30" t="s">
        <v>145</v>
      </c>
      <c r="P1526" s="30" t="s">
        <v>145</v>
      </c>
      <c r="Q1526" s="30" t="s">
        <v>177</v>
      </c>
    </row>
    <row r="1527" hidden="1">
      <c r="A1527" s="33" t="str">
        <f>hyperlink("https://issues.sierrawireless.com/browse/QTI9X28-3340", "QTI9X28-3340")</f>
        <v>QTI9X28-3340</v>
      </c>
      <c r="B1527" s="30" t="s">
        <v>469</v>
      </c>
      <c r="C1527" s="30" t="s">
        <v>140</v>
      </c>
      <c r="D1527" s="30" t="s">
        <v>140</v>
      </c>
      <c r="E1527" s="35">
        <v>43139.0</v>
      </c>
      <c r="F1527" s="37" t="s">
        <v>207</v>
      </c>
      <c r="G1527" s="30" t="s">
        <v>146</v>
      </c>
      <c r="H1527" s="30" t="s">
        <v>145</v>
      </c>
      <c r="I1527" s="30" t="s">
        <v>145</v>
      </c>
      <c r="J1527" s="30" t="s">
        <v>145</v>
      </c>
      <c r="K1527" s="30" t="s">
        <v>145</v>
      </c>
      <c r="L1527" s="30" t="s">
        <v>146</v>
      </c>
      <c r="M1527" s="30" t="s">
        <v>7087</v>
      </c>
      <c r="N1527" s="30" t="s">
        <v>145</v>
      </c>
      <c r="O1527" s="30" t="s">
        <v>145</v>
      </c>
      <c r="P1527" s="30" t="s">
        <v>145</v>
      </c>
      <c r="Q1527" s="30" t="s">
        <v>166</v>
      </c>
    </row>
    <row r="1528" hidden="1">
      <c r="A1528" s="33" t="s">
        <v>6756</v>
      </c>
      <c r="B1528" s="30" t="s">
        <v>139</v>
      </c>
      <c r="C1528" s="30" t="s">
        <v>177</v>
      </c>
      <c r="D1528" s="30" t="s">
        <v>177</v>
      </c>
      <c r="E1528" s="35">
        <v>42013.0</v>
      </c>
      <c r="F1528" s="37" t="s">
        <v>150</v>
      </c>
      <c r="G1528" s="30" t="s">
        <v>7278</v>
      </c>
      <c r="H1528" s="30" t="s">
        <v>145</v>
      </c>
      <c r="I1528" s="30" t="s">
        <v>145</v>
      </c>
      <c r="J1528" s="30" t="s">
        <v>145</v>
      </c>
      <c r="K1528" s="30" t="s">
        <v>140</v>
      </c>
      <c r="L1528" s="30" t="s">
        <v>146</v>
      </c>
      <c r="M1528" s="30" t="s">
        <v>146</v>
      </c>
      <c r="N1528" s="30" t="s">
        <v>145</v>
      </c>
      <c r="O1528" s="30" t="s">
        <v>145</v>
      </c>
      <c r="P1528" s="30" t="s">
        <v>145</v>
      </c>
      <c r="Q1528" s="30" t="s">
        <v>1471</v>
      </c>
    </row>
    <row r="1529" hidden="1">
      <c r="A1529" s="33" t="s">
        <v>6757</v>
      </c>
      <c r="B1529" s="30" t="s">
        <v>139</v>
      </c>
      <c r="C1529" s="30" t="s">
        <v>177</v>
      </c>
      <c r="D1529" s="30" t="s">
        <v>177</v>
      </c>
      <c r="E1529" s="35">
        <v>42013.0</v>
      </c>
      <c r="F1529" s="37" t="s">
        <v>150</v>
      </c>
      <c r="G1529" s="30" t="s">
        <v>7278</v>
      </c>
      <c r="H1529" s="30" t="s">
        <v>145</v>
      </c>
      <c r="I1529" s="30" t="s">
        <v>145</v>
      </c>
      <c r="J1529" s="30" t="s">
        <v>145</v>
      </c>
      <c r="K1529" s="30" t="s">
        <v>140</v>
      </c>
      <c r="L1529" s="30" t="s">
        <v>146</v>
      </c>
      <c r="M1529" s="30" t="s">
        <v>146</v>
      </c>
      <c r="N1529" s="30" t="s">
        <v>145</v>
      </c>
      <c r="O1529" s="30" t="s">
        <v>145</v>
      </c>
      <c r="P1529" s="30" t="s">
        <v>145</v>
      </c>
      <c r="Q1529" s="30" t="s">
        <v>1471</v>
      </c>
    </row>
    <row r="1530" hidden="1">
      <c r="A1530" s="33" t="s">
        <v>6758</v>
      </c>
      <c r="B1530" s="30" t="s">
        <v>139</v>
      </c>
      <c r="C1530" s="30" t="s">
        <v>216</v>
      </c>
      <c r="D1530" s="30" t="s">
        <v>216</v>
      </c>
      <c r="E1530" s="35">
        <v>42013.0</v>
      </c>
      <c r="F1530" s="37" t="s">
        <v>150</v>
      </c>
      <c r="G1530" s="30" t="s">
        <v>7276</v>
      </c>
      <c r="H1530" s="30" t="s">
        <v>145</v>
      </c>
      <c r="I1530" s="30" t="s">
        <v>145</v>
      </c>
      <c r="J1530" s="30" t="s">
        <v>145</v>
      </c>
      <c r="K1530" s="30" t="s">
        <v>145</v>
      </c>
      <c r="L1530" s="30" t="s">
        <v>145</v>
      </c>
      <c r="M1530" s="30" t="s">
        <v>145</v>
      </c>
      <c r="N1530" s="30" t="s">
        <v>145</v>
      </c>
      <c r="O1530" s="30" t="s">
        <v>145</v>
      </c>
      <c r="P1530" s="30" t="s">
        <v>145</v>
      </c>
      <c r="Q1530" s="30" t="s">
        <v>216</v>
      </c>
    </row>
    <row r="1531" hidden="1">
      <c r="A1531" s="33" t="s">
        <v>6761</v>
      </c>
      <c r="B1531" s="30" t="s">
        <v>139</v>
      </c>
      <c r="C1531" s="30" t="s">
        <v>216</v>
      </c>
      <c r="D1531" s="30" t="s">
        <v>216</v>
      </c>
      <c r="E1531" s="35">
        <v>42013.0</v>
      </c>
      <c r="F1531" s="37" t="s">
        <v>150</v>
      </c>
      <c r="G1531" s="30" t="s">
        <v>7276</v>
      </c>
      <c r="H1531" s="30" t="s">
        <v>145</v>
      </c>
      <c r="I1531" s="30" t="s">
        <v>145</v>
      </c>
      <c r="J1531" s="30" t="s">
        <v>145</v>
      </c>
      <c r="K1531" s="30" t="s">
        <v>145</v>
      </c>
      <c r="L1531" s="30" t="s">
        <v>145</v>
      </c>
      <c r="M1531" s="30" t="s">
        <v>145</v>
      </c>
      <c r="N1531" s="30" t="s">
        <v>145</v>
      </c>
      <c r="O1531" s="30" t="s">
        <v>145</v>
      </c>
      <c r="P1531" s="30" t="s">
        <v>145</v>
      </c>
      <c r="Q1531" s="30" t="s">
        <v>216</v>
      </c>
    </row>
    <row r="1532" hidden="1">
      <c r="A1532" s="33" t="s">
        <v>6763</v>
      </c>
      <c r="B1532" s="30" t="s">
        <v>139</v>
      </c>
      <c r="C1532" s="30" t="s">
        <v>609</v>
      </c>
      <c r="D1532" s="30" t="s">
        <v>609</v>
      </c>
      <c r="E1532" s="35">
        <v>42013.0</v>
      </c>
      <c r="F1532" s="37" t="s">
        <v>150</v>
      </c>
      <c r="G1532" s="30" t="s">
        <v>7275</v>
      </c>
      <c r="H1532" s="30" t="s">
        <v>145</v>
      </c>
      <c r="I1532" s="30" t="s">
        <v>145</v>
      </c>
      <c r="J1532" s="30" t="s">
        <v>145</v>
      </c>
      <c r="K1532" s="30" t="s">
        <v>145</v>
      </c>
      <c r="L1532" s="30" t="s">
        <v>145</v>
      </c>
      <c r="M1532" s="30" t="s">
        <v>145</v>
      </c>
      <c r="N1532" s="30" t="s">
        <v>145</v>
      </c>
      <c r="O1532" s="30" t="s">
        <v>145</v>
      </c>
      <c r="P1532" s="30" t="s">
        <v>145</v>
      </c>
      <c r="Q1532" s="30" t="s">
        <v>609</v>
      </c>
    </row>
    <row r="1533" hidden="1">
      <c r="A1533" s="33" t="s">
        <v>6765</v>
      </c>
      <c r="B1533" s="30" t="s">
        <v>139</v>
      </c>
      <c r="C1533" s="30" t="s">
        <v>216</v>
      </c>
      <c r="D1533" s="30" t="s">
        <v>216</v>
      </c>
      <c r="E1533" s="35">
        <v>42013.0</v>
      </c>
      <c r="F1533" s="37" t="s">
        <v>150</v>
      </c>
      <c r="G1533" s="30" t="s">
        <v>7276</v>
      </c>
      <c r="H1533" s="30" t="s">
        <v>145</v>
      </c>
      <c r="I1533" s="30" t="s">
        <v>145</v>
      </c>
      <c r="J1533" s="30" t="s">
        <v>145</v>
      </c>
      <c r="K1533" s="30" t="s">
        <v>145</v>
      </c>
      <c r="L1533" s="30" t="s">
        <v>145</v>
      </c>
      <c r="M1533" s="30" t="s">
        <v>145</v>
      </c>
      <c r="N1533" s="30" t="s">
        <v>145</v>
      </c>
      <c r="O1533" s="30" t="s">
        <v>145</v>
      </c>
      <c r="P1533" s="30" t="s">
        <v>145</v>
      </c>
      <c r="Q1533" s="30" t="s">
        <v>216</v>
      </c>
    </row>
    <row r="1534" hidden="1">
      <c r="A1534" s="33" t="s">
        <v>6768</v>
      </c>
      <c r="B1534" s="30" t="s">
        <v>139</v>
      </c>
      <c r="C1534" s="30" t="s">
        <v>216</v>
      </c>
      <c r="D1534" s="30" t="s">
        <v>216</v>
      </c>
      <c r="E1534" s="35">
        <v>42013.0</v>
      </c>
      <c r="F1534" s="37" t="s">
        <v>150</v>
      </c>
      <c r="G1534" s="30" t="s">
        <v>7276</v>
      </c>
      <c r="H1534" s="30" t="s">
        <v>145</v>
      </c>
      <c r="I1534" s="30" t="s">
        <v>145</v>
      </c>
      <c r="J1534" s="30" t="s">
        <v>145</v>
      </c>
      <c r="K1534" s="30" t="s">
        <v>145</v>
      </c>
      <c r="L1534" s="30" t="s">
        <v>145</v>
      </c>
      <c r="M1534" s="30" t="s">
        <v>145</v>
      </c>
      <c r="N1534" s="30" t="s">
        <v>145</v>
      </c>
      <c r="O1534" s="30" t="s">
        <v>145</v>
      </c>
      <c r="P1534" s="30" t="s">
        <v>145</v>
      </c>
      <c r="Q1534" s="30" t="s">
        <v>216</v>
      </c>
    </row>
    <row r="1535" hidden="1">
      <c r="A1535" s="33" t="s">
        <v>6770</v>
      </c>
      <c r="B1535" s="30" t="s">
        <v>139</v>
      </c>
      <c r="C1535" s="30" t="s">
        <v>216</v>
      </c>
      <c r="D1535" s="30" t="s">
        <v>216</v>
      </c>
      <c r="E1535" s="35">
        <v>42012.0</v>
      </c>
      <c r="F1535" s="37" t="s">
        <v>150</v>
      </c>
      <c r="G1535" s="30" t="s">
        <v>7281</v>
      </c>
      <c r="H1535" s="30" t="s">
        <v>145</v>
      </c>
      <c r="I1535" s="30" t="s">
        <v>145</v>
      </c>
      <c r="J1535" s="30" t="s">
        <v>145</v>
      </c>
      <c r="K1535" s="30" t="s">
        <v>145</v>
      </c>
      <c r="L1535" s="30" t="s">
        <v>145</v>
      </c>
      <c r="M1535" s="30" t="s">
        <v>145</v>
      </c>
      <c r="N1535" s="30" t="s">
        <v>145</v>
      </c>
      <c r="O1535" s="30" t="s">
        <v>145</v>
      </c>
      <c r="P1535" s="30" t="s">
        <v>145</v>
      </c>
      <c r="Q1535" s="30" t="s">
        <v>216</v>
      </c>
    </row>
    <row r="1536" hidden="1">
      <c r="A1536" s="33" t="s">
        <v>6772</v>
      </c>
      <c r="B1536" s="30" t="s">
        <v>139</v>
      </c>
      <c r="C1536" s="30" t="s">
        <v>609</v>
      </c>
      <c r="D1536" s="30" t="s">
        <v>609</v>
      </c>
      <c r="E1536" s="35">
        <v>42012.0</v>
      </c>
      <c r="F1536" s="37" t="s">
        <v>150</v>
      </c>
      <c r="G1536" s="30" t="s">
        <v>7282</v>
      </c>
      <c r="H1536" s="30" t="s">
        <v>145</v>
      </c>
      <c r="I1536" s="30" t="s">
        <v>145</v>
      </c>
      <c r="J1536" s="30" t="s">
        <v>145</v>
      </c>
      <c r="K1536" s="30" t="s">
        <v>145</v>
      </c>
      <c r="L1536" s="30" t="s">
        <v>145</v>
      </c>
      <c r="M1536" s="30" t="s">
        <v>145</v>
      </c>
      <c r="N1536" s="30" t="s">
        <v>145</v>
      </c>
      <c r="O1536" s="30" t="s">
        <v>145</v>
      </c>
      <c r="P1536" s="30" t="s">
        <v>145</v>
      </c>
      <c r="Q1536" s="30" t="s">
        <v>609</v>
      </c>
    </row>
    <row r="1537" hidden="1">
      <c r="A1537" s="33" t="s">
        <v>6776</v>
      </c>
      <c r="B1537" s="30" t="s">
        <v>139</v>
      </c>
      <c r="C1537" s="30" t="s">
        <v>6505</v>
      </c>
      <c r="D1537" s="30" t="s">
        <v>6505</v>
      </c>
      <c r="E1537" s="35">
        <v>42012.0</v>
      </c>
      <c r="F1537" s="37" t="s">
        <v>150</v>
      </c>
      <c r="G1537" s="30" t="s">
        <v>7284</v>
      </c>
      <c r="H1537" s="30" t="s">
        <v>145</v>
      </c>
      <c r="I1537" s="30" t="s">
        <v>145</v>
      </c>
      <c r="J1537" s="30" t="s">
        <v>145</v>
      </c>
      <c r="K1537" s="30" t="s">
        <v>145</v>
      </c>
      <c r="L1537" s="30" t="s">
        <v>145</v>
      </c>
      <c r="M1537" s="30" t="s">
        <v>6505</v>
      </c>
      <c r="N1537" s="30" t="s">
        <v>145</v>
      </c>
      <c r="O1537" s="30" t="s">
        <v>145</v>
      </c>
      <c r="P1537" s="30" t="s">
        <v>145</v>
      </c>
      <c r="Q1537" s="30" t="s">
        <v>7123</v>
      </c>
    </row>
    <row r="1538" hidden="1">
      <c r="A1538" s="33" t="s">
        <v>6778</v>
      </c>
      <c r="B1538" s="30" t="s">
        <v>139</v>
      </c>
      <c r="C1538" s="30" t="s">
        <v>6505</v>
      </c>
      <c r="D1538" s="30" t="s">
        <v>6505</v>
      </c>
      <c r="E1538" s="35">
        <v>42012.0</v>
      </c>
      <c r="F1538" s="37" t="s">
        <v>150</v>
      </c>
      <c r="G1538" s="30" t="s">
        <v>7284</v>
      </c>
      <c r="H1538" s="30" t="s">
        <v>145</v>
      </c>
      <c r="I1538" s="30" t="s">
        <v>145</v>
      </c>
      <c r="J1538" s="30" t="s">
        <v>145</v>
      </c>
      <c r="K1538" s="30" t="s">
        <v>145</v>
      </c>
      <c r="L1538" s="30" t="s">
        <v>145</v>
      </c>
      <c r="M1538" s="30" t="s">
        <v>6505</v>
      </c>
      <c r="N1538" s="30" t="s">
        <v>145</v>
      </c>
      <c r="O1538" s="30" t="s">
        <v>145</v>
      </c>
      <c r="P1538" s="30" t="s">
        <v>145</v>
      </c>
      <c r="Q1538" s="30" t="s">
        <v>7123</v>
      </c>
    </row>
    <row r="1539" hidden="1">
      <c r="A1539" s="33" t="s">
        <v>6781</v>
      </c>
      <c r="B1539" s="30" t="s">
        <v>139</v>
      </c>
      <c r="C1539" s="30" t="s">
        <v>609</v>
      </c>
      <c r="D1539" s="30" t="s">
        <v>609</v>
      </c>
      <c r="E1539" s="35">
        <v>42011.0</v>
      </c>
      <c r="F1539" s="37" t="s">
        <v>150</v>
      </c>
      <c r="G1539" s="30" t="s">
        <v>7285</v>
      </c>
      <c r="H1539" s="30" t="s">
        <v>145</v>
      </c>
      <c r="I1539" s="30" t="s">
        <v>145</v>
      </c>
      <c r="J1539" s="30" t="s">
        <v>145</v>
      </c>
      <c r="K1539" s="30" t="s">
        <v>145</v>
      </c>
      <c r="L1539" s="30" t="s">
        <v>145</v>
      </c>
      <c r="M1539" s="30" t="s">
        <v>145</v>
      </c>
      <c r="N1539" s="30" t="s">
        <v>145</v>
      </c>
      <c r="O1539" s="30" t="s">
        <v>145</v>
      </c>
      <c r="P1539" s="30" t="s">
        <v>145</v>
      </c>
      <c r="Q1539" s="30" t="s">
        <v>609</v>
      </c>
    </row>
    <row r="1540" hidden="1">
      <c r="A1540" s="33" t="s">
        <v>6785</v>
      </c>
      <c r="B1540" s="30" t="s">
        <v>139</v>
      </c>
      <c r="C1540" s="30" t="s">
        <v>609</v>
      </c>
      <c r="D1540" s="30" t="s">
        <v>609</v>
      </c>
      <c r="E1540" s="35">
        <v>42011.0</v>
      </c>
      <c r="F1540" s="37" t="s">
        <v>150</v>
      </c>
      <c r="G1540" s="30" t="s">
        <v>7285</v>
      </c>
      <c r="H1540" s="30" t="s">
        <v>145</v>
      </c>
      <c r="I1540" s="30" t="s">
        <v>145</v>
      </c>
      <c r="J1540" s="30" t="s">
        <v>145</v>
      </c>
      <c r="K1540" s="30" t="s">
        <v>145</v>
      </c>
      <c r="L1540" s="30" t="s">
        <v>145</v>
      </c>
      <c r="M1540" s="30" t="s">
        <v>145</v>
      </c>
      <c r="N1540" s="30" t="s">
        <v>145</v>
      </c>
      <c r="O1540" s="30" t="s">
        <v>145</v>
      </c>
      <c r="P1540" s="30" t="s">
        <v>145</v>
      </c>
      <c r="Q1540" s="30" t="s">
        <v>609</v>
      </c>
    </row>
    <row r="1541" hidden="1">
      <c r="A1541" s="33" t="s">
        <v>6787</v>
      </c>
      <c r="B1541" s="30" t="s">
        <v>139</v>
      </c>
      <c r="C1541" s="30" t="s">
        <v>609</v>
      </c>
      <c r="D1541" s="30" t="s">
        <v>609</v>
      </c>
      <c r="E1541" s="35">
        <v>42011.0</v>
      </c>
      <c r="F1541" s="37" t="s">
        <v>150</v>
      </c>
      <c r="G1541" s="30" t="s">
        <v>7285</v>
      </c>
      <c r="H1541" s="30" t="s">
        <v>145</v>
      </c>
      <c r="I1541" s="30" t="s">
        <v>145</v>
      </c>
      <c r="J1541" s="30" t="s">
        <v>145</v>
      </c>
      <c r="K1541" s="30" t="s">
        <v>145</v>
      </c>
      <c r="L1541" s="30" t="s">
        <v>145</v>
      </c>
      <c r="M1541" s="30" t="s">
        <v>145</v>
      </c>
      <c r="N1541" s="30" t="s">
        <v>145</v>
      </c>
      <c r="O1541" s="30" t="s">
        <v>145</v>
      </c>
      <c r="P1541" s="30" t="s">
        <v>145</v>
      </c>
      <c r="Q1541" s="30" t="s">
        <v>609</v>
      </c>
    </row>
    <row r="1542" hidden="1">
      <c r="A1542" s="33" t="s">
        <v>6790</v>
      </c>
      <c r="B1542" s="30" t="s">
        <v>139</v>
      </c>
      <c r="C1542" s="30" t="s">
        <v>609</v>
      </c>
      <c r="D1542" s="30" t="s">
        <v>609</v>
      </c>
      <c r="E1542" s="35">
        <v>42011.0</v>
      </c>
      <c r="F1542" s="37" t="s">
        <v>150</v>
      </c>
      <c r="G1542" s="30" t="s">
        <v>7285</v>
      </c>
      <c r="H1542" s="30" t="s">
        <v>145</v>
      </c>
      <c r="I1542" s="30" t="s">
        <v>145</v>
      </c>
      <c r="J1542" s="30" t="s">
        <v>145</v>
      </c>
      <c r="K1542" s="30" t="s">
        <v>145</v>
      </c>
      <c r="L1542" s="30" t="s">
        <v>145</v>
      </c>
      <c r="M1542" s="30" t="s">
        <v>145</v>
      </c>
      <c r="N1542" s="30" t="s">
        <v>145</v>
      </c>
      <c r="O1542" s="30" t="s">
        <v>145</v>
      </c>
      <c r="P1542" s="30" t="s">
        <v>145</v>
      </c>
      <c r="Q1542" s="30" t="s">
        <v>609</v>
      </c>
    </row>
    <row r="1543" hidden="1">
      <c r="A1543" s="33" t="s">
        <v>6792</v>
      </c>
      <c r="B1543" s="30" t="s">
        <v>139</v>
      </c>
      <c r="C1543" s="30" t="s">
        <v>609</v>
      </c>
      <c r="D1543" s="30" t="s">
        <v>609</v>
      </c>
      <c r="E1543" s="35">
        <v>42011.0</v>
      </c>
      <c r="F1543" s="37" t="s">
        <v>150</v>
      </c>
      <c r="G1543" s="30" t="s">
        <v>7285</v>
      </c>
      <c r="H1543" s="30" t="s">
        <v>145</v>
      </c>
      <c r="I1543" s="30" t="s">
        <v>145</v>
      </c>
      <c r="J1543" s="30" t="s">
        <v>145</v>
      </c>
      <c r="K1543" s="30" t="s">
        <v>145</v>
      </c>
      <c r="L1543" s="30" t="s">
        <v>145</v>
      </c>
      <c r="M1543" s="30" t="s">
        <v>145</v>
      </c>
      <c r="N1543" s="30" t="s">
        <v>145</v>
      </c>
      <c r="O1543" s="30" t="s">
        <v>145</v>
      </c>
      <c r="P1543" s="30" t="s">
        <v>145</v>
      </c>
      <c r="Q1543" s="30" t="s">
        <v>609</v>
      </c>
    </row>
    <row r="1544" hidden="1">
      <c r="A1544" s="33" t="s">
        <v>6794</v>
      </c>
      <c r="B1544" s="30" t="s">
        <v>139</v>
      </c>
      <c r="C1544" s="30" t="s">
        <v>177</v>
      </c>
      <c r="D1544" s="30" t="s">
        <v>177</v>
      </c>
      <c r="E1544" s="35">
        <v>42011.0</v>
      </c>
      <c r="F1544" s="37" t="s">
        <v>150</v>
      </c>
      <c r="G1544" s="30" t="s">
        <v>7290</v>
      </c>
      <c r="H1544" s="30" t="s">
        <v>145</v>
      </c>
      <c r="I1544" s="30" t="s">
        <v>145</v>
      </c>
      <c r="J1544" s="30" t="s">
        <v>145</v>
      </c>
      <c r="K1544" s="30" t="s">
        <v>145</v>
      </c>
      <c r="L1544" s="30" t="s">
        <v>145</v>
      </c>
      <c r="M1544" s="30" t="s">
        <v>145</v>
      </c>
      <c r="N1544" s="30" t="s">
        <v>145</v>
      </c>
      <c r="O1544" s="30" t="s">
        <v>145</v>
      </c>
      <c r="P1544" s="30" t="s">
        <v>145</v>
      </c>
      <c r="Q1544" s="30" t="s">
        <v>177</v>
      </c>
    </row>
    <row r="1545" hidden="1">
      <c r="A1545" s="33" t="s">
        <v>6797</v>
      </c>
      <c r="B1545" s="30" t="s">
        <v>139</v>
      </c>
      <c r="C1545" s="30" t="s">
        <v>216</v>
      </c>
      <c r="D1545" s="30" t="s">
        <v>216</v>
      </c>
      <c r="E1545" s="35">
        <v>42011.0</v>
      </c>
      <c r="F1545" s="37" t="s">
        <v>150</v>
      </c>
      <c r="G1545" s="30" t="s">
        <v>7291</v>
      </c>
      <c r="H1545" s="30" t="s">
        <v>145</v>
      </c>
      <c r="I1545" s="30" t="s">
        <v>145</v>
      </c>
      <c r="J1545" s="30" t="s">
        <v>145</v>
      </c>
      <c r="K1545" s="30" t="s">
        <v>145</v>
      </c>
      <c r="L1545" s="30" t="s">
        <v>145</v>
      </c>
      <c r="M1545" s="30" t="s">
        <v>145</v>
      </c>
      <c r="N1545" s="30" t="s">
        <v>145</v>
      </c>
      <c r="O1545" s="30" t="s">
        <v>145</v>
      </c>
      <c r="P1545" s="30" t="s">
        <v>145</v>
      </c>
      <c r="Q1545" s="30" t="s">
        <v>216</v>
      </c>
    </row>
    <row r="1546" hidden="1">
      <c r="A1546" s="33" t="s">
        <v>6799</v>
      </c>
      <c r="B1546" s="30" t="s">
        <v>139</v>
      </c>
      <c r="C1546" s="30" t="s">
        <v>1891</v>
      </c>
      <c r="D1546" s="30" t="s">
        <v>1891</v>
      </c>
      <c r="E1546" s="35">
        <v>42010.0</v>
      </c>
      <c r="F1546" s="37" t="s">
        <v>150</v>
      </c>
      <c r="G1546" s="30" t="s">
        <v>7292</v>
      </c>
      <c r="H1546" s="30" t="s">
        <v>145</v>
      </c>
      <c r="I1546" s="30" t="s">
        <v>145</v>
      </c>
      <c r="J1546" s="30" t="s">
        <v>145</v>
      </c>
      <c r="K1546" s="30" t="s">
        <v>145</v>
      </c>
      <c r="L1546" s="30" t="s">
        <v>145</v>
      </c>
      <c r="M1546" s="30" t="s">
        <v>145</v>
      </c>
      <c r="N1546" s="30" t="s">
        <v>145</v>
      </c>
      <c r="O1546" s="30" t="s">
        <v>145</v>
      </c>
      <c r="P1546" s="30" t="s">
        <v>145</v>
      </c>
      <c r="Q1546" s="30" t="s">
        <v>1891</v>
      </c>
    </row>
    <row r="1547" hidden="1">
      <c r="A1547" s="33" t="str">
        <f>hyperlink("https://issues.sierrawireless.com/browse/QTI9X28-3328", "QTI9X28-3328")</f>
        <v>QTI9X28-3328</v>
      </c>
      <c r="B1547" s="30" t="s">
        <v>417</v>
      </c>
      <c r="C1547" s="30" t="s">
        <v>140</v>
      </c>
      <c r="D1547" s="30" t="s">
        <v>419</v>
      </c>
      <c r="E1547" s="35">
        <v>43139.0</v>
      </c>
      <c r="F1547" s="37" t="s">
        <v>207</v>
      </c>
      <c r="G1547" s="30" t="s">
        <v>7293</v>
      </c>
      <c r="H1547" s="30" t="s">
        <v>145</v>
      </c>
      <c r="I1547" s="30" t="s">
        <v>145</v>
      </c>
      <c r="J1547" s="30" t="s">
        <v>145</v>
      </c>
      <c r="K1547" s="30" t="s">
        <v>145</v>
      </c>
      <c r="L1547" s="30" t="s">
        <v>145</v>
      </c>
      <c r="M1547" s="30" t="s">
        <v>145</v>
      </c>
      <c r="N1547" s="30" t="s">
        <v>145</v>
      </c>
      <c r="O1547" s="30" t="s">
        <v>145</v>
      </c>
      <c r="P1547" s="30" t="s">
        <v>145</v>
      </c>
      <c r="Q1547" s="30" t="s">
        <v>166</v>
      </c>
    </row>
    <row r="1548" hidden="1">
      <c r="A1548" s="33" t="s">
        <v>6801</v>
      </c>
      <c r="B1548" s="30" t="s">
        <v>139</v>
      </c>
      <c r="C1548" s="30" t="s">
        <v>216</v>
      </c>
      <c r="D1548" s="30" t="s">
        <v>216</v>
      </c>
      <c r="E1548" s="35">
        <v>42010.0</v>
      </c>
      <c r="F1548" s="37" t="s">
        <v>150</v>
      </c>
      <c r="G1548" s="30" t="s">
        <v>7294</v>
      </c>
      <c r="H1548" s="30" t="s">
        <v>145</v>
      </c>
      <c r="I1548" s="30" t="s">
        <v>145</v>
      </c>
      <c r="J1548" s="30" t="s">
        <v>145</v>
      </c>
      <c r="K1548" s="30" t="s">
        <v>145</v>
      </c>
      <c r="L1548" s="30" t="s">
        <v>145</v>
      </c>
      <c r="M1548" s="30" t="s">
        <v>145</v>
      </c>
      <c r="N1548" s="30" t="s">
        <v>145</v>
      </c>
      <c r="O1548" s="30" t="s">
        <v>145</v>
      </c>
      <c r="P1548" s="30" t="s">
        <v>145</v>
      </c>
      <c r="Q1548" s="30" t="s">
        <v>216</v>
      </c>
    </row>
    <row r="1549" hidden="1">
      <c r="A1549" s="33" t="str">
        <f>hyperlink("https://issues.sierrawireless.com/browse/SZAM-148", "SZAM-148")</f>
        <v>SZAM-148</v>
      </c>
      <c r="B1549" s="30" t="s">
        <v>252</v>
      </c>
      <c r="C1549" s="30" t="s">
        <v>148</v>
      </c>
      <c r="D1549" s="30" t="s">
        <v>233</v>
      </c>
      <c r="E1549" s="35">
        <v>43158.0</v>
      </c>
      <c r="F1549" s="37" t="s">
        <v>162</v>
      </c>
      <c r="G1549" s="30" t="s">
        <v>492</v>
      </c>
      <c r="H1549" s="30" t="s">
        <v>145</v>
      </c>
      <c r="I1549" s="30" t="s">
        <v>145</v>
      </c>
      <c r="J1549" s="30" t="s">
        <v>145</v>
      </c>
      <c r="K1549" s="30" t="s">
        <v>145</v>
      </c>
      <c r="L1549" s="30" t="s">
        <v>145</v>
      </c>
      <c r="M1549" s="30" t="s">
        <v>145</v>
      </c>
      <c r="N1549" s="30" t="s">
        <v>145</v>
      </c>
      <c r="O1549" s="30" t="s">
        <v>145</v>
      </c>
      <c r="P1549" s="30" t="s">
        <v>145</v>
      </c>
      <c r="Q1549" s="30" t="s">
        <v>166</v>
      </c>
    </row>
    <row r="1550" hidden="1">
      <c r="A1550" s="33" t="s">
        <v>6803</v>
      </c>
      <c r="B1550" s="30" t="s">
        <v>139</v>
      </c>
      <c r="C1550" s="30" t="s">
        <v>609</v>
      </c>
      <c r="D1550" s="30" t="s">
        <v>609</v>
      </c>
      <c r="E1550" s="35">
        <v>42010.0</v>
      </c>
      <c r="F1550" s="37" t="s">
        <v>150</v>
      </c>
      <c r="G1550" s="30" t="s">
        <v>7295</v>
      </c>
      <c r="H1550" s="30" t="s">
        <v>145</v>
      </c>
      <c r="I1550" s="30" t="s">
        <v>145</v>
      </c>
      <c r="J1550" s="30" t="s">
        <v>145</v>
      </c>
      <c r="K1550" s="30" t="s">
        <v>145</v>
      </c>
      <c r="L1550" s="30" t="s">
        <v>145</v>
      </c>
      <c r="M1550" s="30" t="s">
        <v>145</v>
      </c>
      <c r="N1550" s="30" t="s">
        <v>145</v>
      </c>
      <c r="O1550" s="30" t="s">
        <v>145</v>
      </c>
      <c r="P1550" s="30" t="s">
        <v>145</v>
      </c>
      <c r="Q1550" s="30" t="s">
        <v>609</v>
      </c>
    </row>
    <row r="1551" hidden="1">
      <c r="A1551" s="33" t="s">
        <v>6806</v>
      </c>
      <c r="B1551" s="30" t="s">
        <v>139</v>
      </c>
      <c r="C1551" s="30" t="s">
        <v>6505</v>
      </c>
      <c r="D1551" s="30" t="s">
        <v>6505</v>
      </c>
      <c r="E1551" s="35">
        <v>42010.0</v>
      </c>
      <c r="F1551" s="37" t="s">
        <v>150</v>
      </c>
      <c r="G1551" s="30" t="s">
        <v>7296</v>
      </c>
      <c r="H1551" s="30" t="s">
        <v>145</v>
      </c>
      <c r="I1551" s="30" t="s">
        <v>145</v>
      </c>
      <c r="J1551" s="30" t="s">
        <v>145</v>
      </c>
      <c r="K1551" s="30" t="s">
        <v>145</v>
      </c>
      <c r="L1551" s="30" t="s">
        <v>145</v>
      </c>
      <c r="M1551" s="30" t="s">
        <v>6505</v>
      </c>
      <c r="N1551" s="30" t="s">
        <v>145</v>
      </c>
      <c r="O1551" s="30" t="s">
        <v>145</v>
      </c>
      <c r="P1551" s="30" t="s">
        <v>145</v>
      </c>
      <c r="Q1551" s="30" t="s">
        <v>7123</v>
      </c>
    </row>
    <row r="1552" hidden="1">
      <c r="A1552" s="33" t="s">
        <v>6808</v>
      </c>
      <c r="B1552" s="30" t="s">
        <v>139</v>
      </c>
      <c r="C1552" s="30" t="s">
        <v>6505</v>
      </c>
      <c r="D1552" s="30" t="s">
        <v>6505</v>
      </c>
      <c r="E1552" s="35">
        <v>42010.0</v>
      </c>
      <c r="F1552" s="37" t="s">
        <v>150</v>
      </c>
      <c r="G1552" s="30" t="s">
        <v>7296</v>
      </c>
      <c r="H1552" s="30" t="s">
        <v>145</v>
      </c>
      <c r="I1552" s="30" t="s">
        <v>145</v>
      </c>
      <c r="J1552" s="30" t="s">
        <v>145</v>
      </c>
      <c r="K1552" s="30" t="s">
        <v>145</v>
      </c>
      <c r="L1552" s="30" t="s">
        <v>145</v>
      </c>
      <c r="M1552" s="30" t="s">
        <v>6505</v>
      </c>
      <c r="N1552" s="30" t="s">
        <v>145</v>
      </c>
      <c r="O1552" s="30" t="s">
        <v>145</v>
      </c>
      <c r="P1552" s="30" t="s">
        <v>145</v>
      </c>
      <c r="Q1552" s="30" t="s">
        <v>7123</v>
      </c>
    </row>
    <row r="1553" hidden="1">
      <c r="A1553" s="33" t="s">
        <v>6810</v>
      </c>
      <c r="B1553" s="30" t="s">
        <v>139</v>
      </c>
      <c r="C1553" s="30" t="s">
        <v>609</v>
      </c>
      <c r="D1553" s="30" t="s">
        <v>609</v>
      </c>
      <c r="E1553" s="35">
        <v>42010.0</v>
      </c>
      <c r="F1553" s="37" t="s">
        <v>150</v>
      </c>
      <c r="G1553" s="30" t="s">
        <v>7295</v>
      </c>
      <c r="H1553" s="30" t="s">
        <v>145</v>
      </c>
      <c r="I1553" s="30" t="s">
        <v>145</v>
      </c>
      <c r="J1553" s="30" t="s">
        <v>145</v>
      </c>
      <c r="K1553" s="30" t="s">
        <v>145</v>
      </c>
      <c r="L1553" s="30" t="s">
        <v>145</v>
      </c>
      <c r="M1553" s="30" t="s">
        <v>145</v>
      </c>
      <c r="N1553" s="30" t="s">
        <v>145</v>
      </c>
      <c r="O1553" s="30" t="s">
        <v>145</v>
      </c>
      <c r="P1553" s="30" t="s">
        <v>145</v>
      </c>
      <c r="Q1553" s="30" t="s">
        <v>609</v>
      </c>
    </row>
    <row r="1554" hidden="1">
      <c r="A1554" s="33" t="s">
        <v>6814</v>
      </c>
      <c r="B1554" s="30" t="s">
        <v>139</v>
      </c>
      <c r="C1554" s="30" t="s">
        <v>177</v>
      </c>
      <c r="D1554" s="30" t="s">
        <v>177</v>
      </c>
      <c r="E1554" s="35">
        <v>42010.0</v>
      </c>
      <c r="F1554" s="37" t="s">
        <v>150</v>
      </c>
      <c r="G1554" s="30" t="s">
        <v>7297</v>
      </c>
      <c r="H1554" s="30" t="s">
        <v>145</v>
      </c>
      <c r="I1554" s="30" t="s">
        <v>145</v>
      </c>
      <c r="J1554" s="30" t="s">
        <v>145</v>
      </c>
      <c r="K1554" s="30" t="s">
        <v>145</v>
      </c>
      <c r="L1554" s="30" t="s">
        <v>145</v>
      </c>
      <c r="M1554" s="30" t="s">
        <v>145</v>
      </c>
      <c r="N1554" s="30" t="s">
        <v>145</v>
      </c>
      <c r="O1554" s="30" t="s">
        <v>145</v>
      </c>
      <c r="P1554" s="30" t="s">
        <v>145</v>
      </c>
      <c r="Q1554" s="30" t="s">
        <v>177</v>
      </c>
    </row>
    <row r="1555" hidden="1">
      <c r="A1555" s="33" t="str">
        <f>hyperlink("https://issues.sierrawireless.com/browse/RDDEVTOOL-919", "RDDEVTOOL-919")</f>
        <v>RDDEVTOOL-919</v>
      </c>
      <c r="B1555" s="30" t="s">
        <v>86</v>
      </c>
      <c r="C1555" s="30" t="s">
        <v>148</v>
      </c>
      <c r="D1555" s="30" t="s">
        <v>6237</v>
      </c>
      <c r="E1555" s="35">
        <v>43073.0</v>
      </c>
      <c r="F1555" s="37" t="s">
        <v>7300</v>
      </c>
      <c r="G1555" s="30" t="s">
        <v>148</v>
      </c>
      <c r="H1555" s="30" t="s">
        <v>166</v>
      </c>
      <c r="I1555" s="30" t="s">
        <v>166</v>
      </c>
      <c r="J1555" s="30" t="s">
        <v>166</v>
      </c>
      <c r="K1555" s="30" t="s">
        <v>166</v>
      </c>
      <c r="L1555" s="30" t="s">
        <v>166</v>
      </c>
      <c r="M1555" s="30" t="s">
        <v>166</v>
      </c>
      <c r="N1555" s="30" t="s">
        <v>145</v>
      </c>
      <c r="O1555" s="30" t="s">
        <v>145</v>
      </c>
      <c r="P1555" s="30" t="s">
        <v>145</v>
      </c>
      <c r="Q1555" s="30" t="s">
        <v>166</v>
      </c>
    </row>
    <row r="1556" hidden="1">
      <c r="A1556" s="33" t="str">
        <f>hyperlink("https://issues.sierrawireless.com/browse/FWTOOLS-186", "FWTOOLS-186")</f>
        <v>FWTOOLS-186</v>
      </c>
      <c r="B1556" s="30" t="s">
        <v>496</v>
      </c>
      <c r="C1556" s="30" t="s">
        <v>148</v>
      </c>
      <c r="D1556" s="30" t="s">
        <v>6237</v>
      </c>
      <c r="E1556" s="35">
        <v>43073.0</v>
      </c>
      <c r="F1556" s="37" t="s">
        <v>379</v>
      </c>
      <c r="G1556" s="30" t="s">
        <v>148</v>
      </c>
      <c r="H1556" s="30" t="s">
        <v>166</v>
      </c>
      <c r="I1556" s="30" t="s">
        <v>166</v>
      </c>
      <c r="J1556" s="30" t="s">
        <v>166</v>
      </c>
      <c r="K1556" s="30" t="s">
        <v>166</v>
      </c>
      <c r="L1556" s="30" t="s">
        <v>166</v>
      </c>
      <c r="M1556" s="30" t="s">
        <v>166</v>
      </c>
      <c r="N1556" s="30" t="s">
        <v>145</v>
      </c>
      <c r="O1556" s="30" t="s">
        <v>145</v>
      </c>
      <c r="P1556" s="30" t="s">
        <v>145</v>
      </c>
      <c r="Q1556" s="30" t="s">
        <v>166</v>
      </c>
    </row>
    <row r="1557" hidden="1">
      <c r="A1557" s="33" t="s">
        <v>6817</v>
      </c>
      <c r="B1557" s="30" t="s">
        <v>139</v>
      </c>
      <c r="C1557" s="30" t="s">
        <v>177</v>
      </c>
      <c r="D1557" s="30" t="s">
        <v>177</v>
      </c>
      <c r="E1557" s="35">
        <v>42010.0</v>
      </c>
      <c r="F1557" s="37" t="s">
        <v>150</v>
      </c>
      <c r="G1557" s="30" t="s">
        <v>7297</v>
      </c>
      <c r="H1557" s="30" t="s">
        <v>145</v>
      </c>
      <c r="I1557" s="30" t="s">
        <v>145</v>
      </c>
      <c r="J1557" s="30" t="s">
        <v>145</v>
      </c>
      <c r="K1557" s="30" t="s">
        <v>145</v>
      </c>
      <c r="L1557" s="30" t="s">
        <v>145</v>
      </c>
      <c r="M1557" s="30" t="s">
        <v>145</v>
      </c>
      <c r="N1557" s="30" t="s">
        <v>145</v>
      </c>
      <c r="O1557" s="30" t="s">
        <v>145</v>
      </c>
      <c r="P1557" s="30" t="s">
        <v>145</v>
      </c>
      <c r="Q1557" s="30" t="s">
        <v>177</v>
      </c>
    </row>
    <row r="1558" hidden="1">
      <c r="A1558" s="33" t="s">
        <v>6819</v>
      </c>
      <c r="B1558" s="30" t="s">
        <v>139</v>
      </c>
      <c r="C1558" s="30" t="s">
        <v>177</v>
      </c>
      <c r="D1558" s="30" t="s">
        <v>177</v>
      </c>
      <c r="E1558" s="35">
        <v>42010.0</v>
      </c>
      <c r="F1558" s="37" t="s">
        <v>150</v>
      </c>
      <c r="G1558" s="30" t="s">
        <v>7297</v>
      </c>
      <c r="H1558" s="30" t="s">
        <v>145</v>
      </c>
      <c r="I1558" s="30" t="s">
        <v>145</v>
      </c>
      <c r="J1558" s="30" t="s">
        <v>145</v>
      </c>
      <c r="K1558" s="30" t="s">
        <v>145</v>
      </c>
      <c r="L1558" s="30" t="s">
        <v>145</v>
      </c>
      <c r="M1558" s="30" t="s">
        <v>145</v>
      </c>
      <c r="N1558" s="30" t="s">
        <v>145</v>
      </c>
      <c r="O1558" s="30" t="s">
        <v>145</v>
      </c>
      <c r="P1558" s="30" t="s">
        <v>145</v>
      </c>
      <c r="Q1558" s="30" t="s">
        <v>177</v>
      </c>
    </row>
    <row r="1559" hidden="1">
      <c r="A1559" s="33" t="s">
        <v>6821</v>
      </c>
      <c r="B1559" s="30" t="s">
        <v>139</v>
      </c>
      <c r="C1559" s="30" t="s">
        <v>177</v>
      </c>
      <c r="D1559" s="30" t="s">
        <v>177</v>
      </c>
      <c r="E1559" s="35">
        <v>42010.0</v>
      </c>
      <c r="F1559" s="37" t="s">
        <v>150</v>
      </c>
      <c r="G1559" s="30" t="s">
        <v>7297</v>
      </c>
      <c r="H1559" s="30" t="s">
        <v>145</v>
      </c>
      <c r="I1559" s="30" t="s">
        <v>145</v>
      </c>
      <c r="J1559" s="30" t="s">
        <v>145</v>
      </c>
      <c r="K1559" s="30" t="s">
        <v>145</v>
      </c>
      <c r="L1559" s="30" t="s">
        <v>145</v>
      </c>
      <c r="M1559" s="30" t="s">
        <v>145</v>
      </c>
      <c r="N1559" s="30" t="s">
        <v>145</v>
      </c>
      <c r="O1559" s="30" t="s">
        <v>145</v>
      </c>
      <c r="P1559" s="30" t="s">
        <v>145</v>
      </c>
      <c r="Q1559" s="30" t="s">
        <v>177</v>
      </c>
    </row>
    <row r="1560" hidden="1">
      <c r="A1560" s="33" t="str">
        <f>hyperlink("https://issues.sierrawireless.com/browse/QTI9X40-3155", "QTI9X40-3155")</f>
        <v>QTI9X40-3155</v>
      </c>
      <c r="B1560" s="30" t="s">
        <v>830</v>
      </c>
      <c r="C1560" s="30" t="s">
        <v>140</v>
      </c>
      <c r="D1560" s="30" t="s">
        <v>419</v>
      </c>
      <c r="E1560" s="35">
        <v>43158.0</v>
      </c>
      <c r="F1560" s="37" t="s">
        <v>207</v>
      </c>
      <c r="G1560" s="30" t="s">
        <v>7304</v>
      </c>
      <c r="H1560" s="30" t="s">
        <v>145</v>
      </c>
      <c r="I1560" s="30" t="s">
        <v>145</v>
      </c>
      <c r="J1560" s="30" t="s">
        <v>145</v>
      </c>
      <c r="K1560" s="30" t="s">
        <v>145</v>
      </c>
      <c r="L1560" s="30" t="s">
        <v>145</v>
      </c>
      <c r="M1560" s="30" t="s">
        <v>145</v>
      </c>
      <c r="N1560" s="30" t="s">
        <v>145</v>
      </c>
      <c r="O1560" s="30" t="s">
        <v>145</v>
      </c>
      <c r="P1560" s="30" t="s">
        <v>145</v>
      </c>
      <c r="Q1560" s="30" t="s">
        <v>166</v>
      </c>
    </row>
    <row r="1561" hidden="1">
      <c r="A1561" s="33" t="s">
        <v>6822</v>
      </c>
      <c r="B1561" s="30" t="s">
        <v>139</v>
      </c>
      <c r="C1561" s="30" t="s">
        <v>244</v>
      </c>
      <c r="D1561" s="30" t="s">
        <v>244</v>
      </c>
      <c r="E1561" s="35">
        <v>42009.0</v>
      </c>
      <c r="F1561" s="37" t="s">
        <v>150</v>
      </c>
      <c r="G1561" s="30" t="s">
        <v>7305</v>
      </c>
      <c r="H1561" s="30" t="s">
        <v>145</v>
      </c>
      <c r="I1561" s="30" t="s">
        <v>145</v>
      </c>
      <c r="J1561" s="30" t="s">
        <v>145</v>
      </c>
      <c r="K1561" s="30" t="s">
        <v>145</v>
      </c>
      <c r="L1561" s="30" t="s">
        <v>145</v>
      </c>
      <c r="M1561" s="30" t="s">
        <v>145</v>
      </c>
      <c r="N1561" s="30" t="s">
        <v>145</v>
      </c>
      <c r="O1561" s="30" t="s">
        <v>145</v>
      </c>
      <c r="P1561" s="30" t="s">
        <v>145</v>
      </c>
      <c r="Q1561" s="30" t="s">
        <v>244</v>
      </c>
    </row>
    <row r="1562" hidden="1">
      <c r="A1562" s="33" t="s">
        <v>6825</v>
      </c>
      <c r="B1562" s="30" t="s">
        <v>139</v>
      </c>
      <c r="C1562" s="30" t="s">
        <v>244</v>
      </c>
      <c r="D1562" s="30" t="s">
        <v>244</v>
      </c>
      <c r="E1562" s="35">
        <v>42009.0</v>
      </c>
      <c r="F1562" s="37" t="s">
        <v>150</v>
      </c>
      <c r="G1562" s="30" t="s">
        <v>7305</v>
      </c>
      <c r="H1562" s="30" t="s">
        <v>145</v>
      </c>
      <c r="I1562" s="30" t="s">
        <v>145</v>
      </c>
      <c r="J1562" s="30" t="s">
        <v>145</v>
      </c>
      <c r="K1562" s="30" t="s">
        <v>145</v>
      </c>
      <c r="L1562" s="30" t="s">
        <v>145</v>
      </c>
      <c r="M1562" s="30" t="s">
        <v>145</v>
      </c>
      <c r="N1562" s="30" t="s">
        <v>145</v>
      </c>
      <c r="O1562" s="30" t="s">
        <v>145</v>
      </c>
      <c r="P1562" s="30" t="s">
        <v>145</v>
      </c>
      <c r="Q1562" s="30" t="s">
        <v>244</v>
      </c>
    </row>
    <row r="1563" hidden="1">
      <c r="A1563" s="33" t="s">
        <v>6829</v>
      </c>
      <c r="B1563" s="30" t="s">
        <v>139</v>
      </c>
      <c r="C1563" s="30" t="s">
        <v>6505</v>
      </c>
      <c r="D1563" s="30" t="s">
        <v>6505</v>
      </c>
      <c r="E1563" s="35">
        <v>42009.0</v>
      </c>
      <c r="F1563" s="37" t="s">
        <v>150</v>
      </c>
      <c r="G1563" s="30" t="s">
        <v>7307</v>
      </c>
      <c r="H1563" s="30" t="s">
        <v>145</v>
      </c>
      <c r="I1563" s="30" t="s">
        <v>145</v>
      </c>
      <c r="J1563" s="30" t="s">
        <v>145</v>
      </c>
      <c r="K1563" s="30" t="s">
        <v>145</v>
      </c>
      <c r="L1563" s="30" t="s">
        <v>145</v>
      </c>
      <c r="M1563" s="30" t="s">
        <v>6505</v>
      </c>
      <c r="N1563" s="30" t="s">
        <v>145</v>
      </c>
      <c r="O1563" s="30" t="s">
        <v>145</v>
      </c>
      <c r="P1563" s="30" t="s">
        <v>145</v>
      </c>
      <c r="Q1563" s="30" t="s">
        <v>7123</v>
      </c>
    </row>
    <row r="1564" hidden="1">
      <c r="A1564" s="33" t="str">
        <f>hyperlink("https://issues.sierrawireless.com/browse/QTI9X40-3147", "QTI9X40-3147")</f>
        <v>QTI9X40-3147</v>
      </c>
      <c r="B1564" s="30" t="s">
        <v>417</v>
      </c>
      <c r="C1564" s="30" t="s">
        <v>140</v>
      </c>
      <c r="D1564" s="30" t="s">
        <v>419</v>
      </c>
      <c r="E1564" s="35">
        <v>43158.0</v>
      </c>
      <c r="F1564" s="37" t="s">
        <v>207</v>
      </c>
      <c r="G1564" s="30" t="s">
        <v>7309</v>
      </c>
      <c r="H1564" s="30" t="s">
        <v>145</v>
      </c>
      <c r="I1564" s="30" t="s">
        <v>145</v>
      </c>
      <c r="J1564" s="30" t="s">
        <v>145</v>
      </c>
      <c r="K1564" s="30" t="s">
        <v>145</v>
      </c>
      <c r="L1564" s="30" t="s">
        <v>145</v>
      </c>
      <c r="M1564" s="30" t="s">
        <v>145</v>
      </c>
      <c r="N1564" s="30" t="s">
        <v>145</v>
      </c>
      <c r="O1564" s="30" t="s">
        <v>145</v>
      </c>
      <c r="P1564" s="30" t="s">
        <v>145</v>
      </c>
      <c r="Q1564" s="30" t="s">
        <v>166</v>
      </c>
    </row>
    <row r="1565" hidden="1">
      <c r="A1565" s="33" t="str">
        <f>hyperlink("https://issues.sierrawireless.com/browse/QTI9X40-3146", "QTI9X40-3146")</f>
        <v>QTI9X40-3146</v>
      </c>
      <c r="B1565" s="30" t="s">
        <v>417</v>
      </c>
      <c r="C1565" s="30" t="s">
        <v>140</v>
      </c>
      <c r="D1565" s="30" t="s">
        <v>419</v>
      </c>
      <c r="E1565" s="35">
        <v>43158.0</v>
      </c>
      <c r="F1565" s="37" t="s">
        <v>207</v>
      </c>
      <c r="G1565" s="30" t="s">
        <v>7309</v>
      </c>
      <c r="H1565" s="30" t="s">
        <v>145</v>
      </c>
      <c r="I1565" s="30" t="s">
        <v>145</v>
      </c>
      <c r="J1565" s="30" t="s">
        <v>145</v>
      </c>
      <c r="K1565" s="30" t="s">
        <v>145</v>
      </c>
      <c r="L1565" s="30" t="s">
        <v>145</v>
      </c>
      <c r="M1565" s="30" t="s">
        <v>145</v>
      </c>
      <c r="N1565" s="30" t="s">
        <v>145</v>
      </c>
      <c r="O1565" s="30" t="s">
        <v>145</v>
      </c>
      <c r="P1565" s="30" t="s">
        <v>145</v>
      </c>
      <c r="Q1565" s="30" t="s">
        <v>166</v>
      </c>
    </row>
    <row r="1566" hidden="1">
      <c r="A1566" s="33" t="str">
        <f>hyperlink("https://issues.sierrawireless.com/browse/QTI9X28-3414", "QTI9X28-3414")</f>
        <v>QTI9X28-3414</v>
      </c>
      <c r="B1566" s="30" t="s">
        <v>417</v>
      </c>
      <c r="C1566" s="30" t="s">
        <v>140</v>
      </c>
      <c r="D1566" s="30" t="s">
        <v>4832</v>
      </c>
      <c r="E1566" s="35">
        <v>43159.0</v>
      </c>
      <c r="F1566" s="37" t="s">
        <v>207</v>
      </c>
      <c r="G1566" s="30" t="s">
        <v>7309</v>
      </c>
      <c r="H1566" s="30" t="s">
        <v>145</v>
      </c>
      <c r="I1566" s="30" t="s">
        <v>145</v>
      </c>
      <c r="J1566" s="30" t="s">
        <v>145</v>
      </c>
      <c r="K1566" s="30" t="s">
        <v>145</v>
      </c>
      <c r="L1566" s="30" t="s">
        <v>145</v>
      </c>
      <c r="M1566" s="30" t="s">
        <v>145</v>
      </c>
      <c r="N1566" s="30" t="s">
        <v>145</v>
      </c>
      <c r="O1566" s="30" t="s">
        <v>145</v>
      </c>
      <c r="P1566" s="30" t="s">
        <v>145</v>
      </c>
      <c r="Q1566" s="30" t="s">
        <v>166</v>
      </c>
    </row>
    <row r="1567" hidden="1">
      <c r="A1567" s="33" t="str">
        <f>hyperlink("https://issues.sierrawireless.com/browse/QTI9X28-2809", "QTI9X28-2809")</f>
        <v>QTI9X28-2809</v>
      </c>
      <c r="B1567" s="30" t="s">
        <v>417</v>
      </c>
      <c r="C1567" s="30" t="s">
        <v>140</v>
      </c>
      <c r="D1567" s="30" t="s">
        <v>1203</v>
      </c>
      <c r="E1567" s="35">
        <v>43092.0</v>
      </c>
      <c r="F1567" s="37" t="s">
        <v>207</v>
      </c>
      <c r="G1567" s="30" t="s">
        <v>7313</v>
      </c>
      <c r="H1567" s="30" t="s">
        <v>145</v>
      </c>
      <c r="I1567" s="30" t="s">
        <v>145</v>
      </c>
      <c r="J1567" s="30" t="s">
        <v>145</v>
      </c>
      <c r="K1567" s="30" t="s">
        <v>145</v>
      </c>
      <c r="L1567" s="30" t="s">
        <v>145</v>
      </c>
      <c r="M1567" s="30" t="s">
        <v>145</v>
      </c>
      <c r="N1567" s="30" t="s">
        <v>145</v>
      </c>
      <c r="O1567" s="30" t="s">
        <v>145</v>
      </c>
      <c r="P1567" s="30" t="s">
        <v>145</v>
      </c>
      <c r="Q1567" s="30" t="s">
        <v>166</v>
      </c>
    </row>
    <row r="1568" hidden="1">
      <c r="A1568" s="33" t="str">
        <f>hyperlink("https://issues.sierrawireless.com/browse/QTI9X28-3484", "QTI9X28-3484")</f>
        <v>QTI9X28-3484</v>
      </c>
      <c r="B1568" s="30" t="s">
        <v>496</v>
      </c>
      <c r="C1568" s="30" t="s">
        <v>140</v>
      </c>
      <c r="D1568" s="30" t="s">
        <v>7314</v>
      </c>
      <c r="E1568" s="35">
        <v>43167.0</v>
      </c>
      <c r="F1568" s="37" t="s">
        <v>207</v>
      </c>
      <c r="G1568" s="30" t="s">
        <v>7138</v>
      </c>
      <c r="H1568" s="30" t="s">
        <v>145</v>
      </c>
      <c r="I1568" s="30" t="s">
        <v>145</v>
      </c>
      <c r="J1568" s="30" t="s">
        <v>145</v>
      </c>
      <c r="K1568" s="30" t="s">
        <v>145</v>
      </c>
      <c r="L1568" s="30" t="s">
        <v>145</v>
      </c>
      <c r="M1568" s="30" t="s">
        <v>145</v>
      </c>
      <c r="N1568" s="30" t="s">
        <v>145</v>
      </c>
      <c r="O1568" s="30" t="s">
        <v>145</v>
      </c>
      <c r="P1568" s="30" t="s">
        <v>145</v>
      </c>
      <c r="Q1568" s="30" t="s">
        <v>166</v>
      </c>
    </row>
    <row r="1569" hidden="1">
      <c r="A1569" s="33" t="s">
        <v>6832</v>
      </c>
      <c r="B1569" s="30" t="s">
        <v>139</v>
      </c>
      <c r="C1569" s="30" t="s">
        <v>609</v>
      </c>
      <c r="D1569" s="30" t="s">
        <v>609</v>
      </c>
      <c r="E1569" s="35">
        <v>42008.0</v>
      </c>
      <c r="F1569" s="37" t="s">
        <v>150</v>
      </c>
      <c r="G1569" s="30" t="s">
        <v>7315</v>
      </c>
      <c r="H1569" s="30" t="s">
        <v>145</v>
      </c>
      <c r="I1569" s="30" t="s">
        <v>145</v>
      </c>
      <c r="J1569" s="30" t="s">
        <v>145</v>
      </c>
      <c r="K1569" s="30" t="s">
        <v>145</v>
      </c>
      <c r="L1569" s="30" t="s">
        <v>145</v>
      </c>
      <c r="M1569" s="30" t="s">
        <v>145</v>
      </c>
      <c r="N1569" s="30" t="s">
        <v>145</v>
      </c>
      <c r="O1569" s="30" t="s">
        <v>145</v>
      </c>
      <c r="P1569" s="30" t="s">
        <v>145</v>
      </c>
      <c r="Q1569" s="30" t="s">
        <v>609</v>
      </c>
    </row>
    <row r="1570" hidden="1">
      <c r="A1570" s="33" t="str">
        <f>hyperlink("https://issues.sierrawireless.com/browse/QTI9X40-3144", "QTI9X40-3144")</f>
        <v>QTI9X40-3144</v>
      </c>
      <c r="B1570" s="30" t="s">
        <v>417</v>
      </c>
      <c r="C1570" s="30" t="s">
        <v>140</v>
      </c>
      <c r="D1570" s="30" t="s">
        <v>419</v>
      </c>
      <c r="E1570" s="35">
        <v>43158.0</v>
      </c>
      <c r="F1570" s="37" t="s">
        <v>207</v>
      </c>
      <c r="G1570" s="30" t="s">
        <v>7161</v>
      </c>
      <c r="H1570" s="30" t="s">
        <v>145</v>
      </c>
      <c r="I1570" s="30" t="s">
        <v>145</v>
      </c>
      <c r="J1570" s="30" t="s">
        <v>145</v>
      </c>
      <c r="K1570" s="30" t="s">
        <v>145</v>
      </c>
      <c r="L1570" s="30" t="s">
        <v>145</v>
      </c>
      <c r="M1570" s="30" t="s">
        <v>145</v>
      </c>
      <c r="N1570" s="30" t="s">
        <v>145</v>
      </c>
      <c r="O1570" s="30" t="s">
        <v>145</v>
      </c>
      <c r="P1570" s="30" t="s">
        <v>145</v>
      </c>
      <c r="Q1570" s="30" t="s">
        <v>166</v>
      </c>
    </row>
    <row r="1571" hidden="1">
      <c r="A1571" s="33" t="str">
        <f>hyperlink("https://issues.sierrawireless.com/browse/QTI9X28-3482", "QTI9X28-3482")</f>
        <v>QTI9X28-3482</v>
      </c>
      <c r="B1571" s="30" t="s">
        <v>139</v>
      </c>
      <c r="C1571" s="30" t="s">
        <v>140</v>
      </c>
      <c r="D1571" s="30" t="s">
        <v>140</v>
      </c>
      <c r="E1571" s="35">
        <v>43166.0</v>
      </c>
      <c r="F1571" s="37" t="s">
        <v>207</v>
      </c>
      <c r="G1571" s="30" t="s">
        <v>146</v>
      </c>
      <c r="H1571" s="30" t="s">
        <v>145</v>
      </c>
      <c r="I1571" s="30" t="s">
        <v>145</v>
      </c>
      <c r="J1571" s="30" t="s">
        <v>145</v>
      </c>
      <c r="K1571" s="30" t="s">
        <v>145</v>
      </c>
      <c r="L1571" s="30" t="s">
        <v>146</v>
      </c>
      <c r="M1571" s="30" t="s">
        <v>146</v>
      </c>
      <c r="N1571" s="30" t="s">
        <v>145</v>
      </c>
      <c r="O1571" s="30" t="s">
        <v>145</v>
      </c>
      <c r="P1571" s="30" t="s">
        <v>145</v>
      </c>
      <c r="Q1571" s="30" t="s">
        <v>146</v>
      </c>
    </row>
    <row r="1572" hidden="1">
      <c r="A1572" s="33" t="str">
        <f>hyperlink("https://issues.sierrawireless.com/browse/QTI9X40-3130", "QTI9X40-3130")</f>
        <v>QTI9X40-3130</v>
      </c>
      <c r="B1572" s="30" t="s">
        <v>610</v>
      </c>
      <c r="C1572" s="30" t="s">
        <v>140</v>
      </c>
      <c r="D1572" s="30" t="s">
        <v>7317</v>
      </c>
      <c r="E1572" s="35">
        <v>43157.0</v>
      </c>
      <c r="F1572" s="37" t="s">
        <v>207</v>
      </c>
      <c r="G1572" s="30" t="s">
        <v>7161</v>
      </c>
      <c r="H1572" s="30" t="s">
        <v>145</v>
      </c>
      <c r="I1572" s="30" t="s">
        <v>145</v>
      </c>
      <c r="J1572" s="30" t="s">
        <v>145</v>
      </c>
      <c r="K1572" s="30" t="s">
        <v>145</v>
      </c>
      <c r="L1572" s="30" t="s">
        <v>145</v>
      </c>
      <c r="M1572" s="30" t="s">
        <v>145</v>
      </c>
      <c r="N1572" s="30" t="s">
        <v>145</v>
      </c>
      <c r="O1572" s="30" t="s">
        <v>145</v>
      </c>
      <c r="P1572" s="30" t="s">
        <v>145</v>
      </c>
      <c r="Q1572" s="30" t="s">
        <v>166</v>
      </c>
    </row>
    <row r="1573" hidden="1">
      <c r="A1573" s="33" t="s">
        <v>6834</v>
      </c>
      <c r="B1573" s="30" t="s">
        <v>139</v>
      </c>
      <c r="C1573" s="30" t="s">
        <v>177</v>
      </c>
      <c r="D1573" s="30" t="s">
        <v>177</v>
      </c>
      <c r="E1573" s="35">
        <v>42008.0</v>
      </c>
      <c r="F1573" s="37" t="s">
        <v>150</v>
      </c>
      <c r="G1573" s="30" t="s">
        <v>7318</v>
      </c>
      <c r="H1573" s="30" t="s">
        <v>145</v>
      </c>
      <c r="I1573" s="30" t="s">
        <v>145</v>
      </c>
      <c r="J1573" s="30" t="s">
        <v>145</v>
      </c>
      <c r="K1573" s="30" t="s">
        <v>145</v>
      </c>
      <c r="L1573" s="30" t="s">
        <v>145</v>
      </c>
      <c r="M1573" s="30" t="s">
        <v>145</v>
      </c>
      <c r="N1573" s="30" t="s">
        <v>145</v>
      </c>
      <c r="O1573" s="30" t="s">
        <v>145</v>
      </c>
      <c r="P1573" s="30" t="s">
        <v>145</v>
      </c>
      <c r="Q1573" s="30" t="s">
        <v>177</v>
      </c>
    </row>
    <row r="1574" hidden="1">
      <c r="A1574" s="33" t="s">
        <v>6837</v>
      </c>
      <c r="B1574" s="30" t="s">
        <v>139</v>
      </c>
      <c r="C1574" s="30" t="s">
        <v>244</v>
      </c>
      <c r="D1574" s="30" t="s">
        <v>244</v>
      </c>
      <c r="E1574" s="35">
        <v>42008.0</v>
      </c>
      <c r="F1574" s="37" t="s">
        <v>150</v>
      </c>
      <c r="G1574" s="30" t="s">
        <v>7319</v>
      </c>
      <c r="H1574" s="30" t="s">
        <v>145</v>
      </c>
      <c r="I1574" s="30" t="s">
        <v>145</v>
      </c>
      <c r="J1574" s="30" t="s">
        <v>145</v>
      </c>
      <c r="K1574" s="30" t="s">
        <v>145</v>
      </c>
      <c r="L1574" s="30" t="s">
        <v>145</v>
      </c>
      <c r="M1574" s="30" t="s">
        <v>145</v>
      </c>
      <c r="N1574" s="30" t="s">
        <v>145</v>
      </c>
      <c r="O1574" s="30" t="s">
        <v>145</v>
      </c>
      <c r="P1574" s="30" t="s">
        <v>145</v>
      </c>
      <c r="Q1574" s="30" t="s">
        <v>244</v>
      </c>
    </row>
    <row r="1575" hidden="1">
      <c r="A1575" s="33" t="s">
        <v>6839</v>
      </c>
      <c r="B1575" s="30" t="s">
        <v>139</v>
      </c>
      <c r="C1575" s="30" t="s">
        <v>244</v>
      </c>
      <c r="D1575" s="30" t="s">
        <v>244</v>
      </c>
      <c r="E1575" s="35">
        <v>42008.0</v>
      </c>
      <c r="F1575" s="37" t="s">
        <v>150</v>
      </c>
      <c r="G1575" s="30" t="s">
        <v>7319</v>
      </c>
      <c r="H1575" s="30" t="s">
        <v>145</v>
      </c>
      <c r="I1575" s="30" t="s">
        <v>145</v>
      </c>
      <c r="J1575" s="30" t="s">
        <v>145</v>
      </c>
      <c r="K1575" s="30" t="s">
        <v>145</v>
      </c>
      <c r="L1575" s="30" t="s">
        <v>145</v>
      </c>
      <c r="M1575" s="30" t="s">
        <v>145</v>
      </c>
      <c r="N1575" s="30" t="s">
        <v>145</v>
      </c>
      <c r="O1575" s="30" t="s">
        <v>145</v>
      </c>
      <c r="P1575" s="30" t="s">
        <v>145</v>
      </c>
      <c r="Q1575" s="30" t="s">
        <v>244</v>
      </c>
    </row>
    <row r="1576" hidden="1">
      <c r="A1576" s="33" t="s">
        <v>6842</v>
      </c>
      <c r="B1576" s="30" t="s">
        <v>139</v>
      </c>
      <c r="C1576" s="30" t="s">
        <v>216</v>
      </c>
      <c r="D1576" s="30" t="s">
        <v>216</v>
      </c>
      <c r="E1576" s="35">
        <v>42008.0</v>
      </c>
      <c r="F1576" s="37" t="s">
        <v>150</v>
      </c>
      <c r="G1576" s="30" t="s">
        <v>7321</v>
      </c>
      <c r="H1576" s="30" t="s">
        <v>145</v>
      </c>
      <c r="I1576" s="30" t="s">
        <v>145</v>
      </c>
      <c r="J1576" s="30" t="s">
        <v>145</v>
      </c>
      <c r="K1576" s="30" t="s">
        <v>145</v>
      </c>
      <c r="L1576" s="30" t="s">
        <v>145</v>
      </c>
      <c r="M1576" s="30" t="s">
        <v>145</v>
      </c>
      <c r="N1576" s="30" t="s">
        <v>145</v>
      </c>
      <c r="O1576" s="30" t="s">
        <v>145</v>
      </c>
      <c r="P1576" s="30" t="s">
        <v>145</v>
      </c>
      <c r="Q1576" s="30" t="s">
        <v>216</v>
      </c>
    </row>
    <row r="1577" hidden="1">
      <c r="A1577" s="33" t="s">
        <v>6844</v>
      </c>
      <c r="B1577" s="30" t="s">
        <v>139</v>
      </c>
      <c r="C1577" s="30" t="s">
        <v>216</v>
      </c>
      <c r="D1577" s="30" t="s">
        <v>216</v>
      </c>
      <c r="E1577" s="35">
        <v>42008.0</v>
      </c>
      <c r="F1577" s="37" t="s">
        <v>150</v>
      </c>
      <c r="G1577" s="30" t="s">
        <v>7321</v>
      </c>
      <c r="H1577" s="30" t="s">
        <v>145</v>
      </c>
      <c r="I1577" s="30" t="s">
        <v>145</v>
      </c>
      <c r="J1577" s="30" t="s">
        <v>145</v>
      </c>
      <c r="K1577" s="30" t="s">
        <v>145</v>
      </c>
      <c r="L1577" s="30" t="s">
        <v>145</v>
      </c>
      <c r="M1577" s="30" t="s">
        <v>145</v>
      </c>
      <c r="N1577" s="30" t="s">
        <v>145</v>
      </c>
      <c r="O1577" s="30" t="s">
        <v>145</v>
      </c>
      <c r="P1577" s="30" t="s">
        <v>145</v>
      </c>
      <c r="Q1577" s="30" t="s">
        <v>216</v>
      </c>
    </row>
    <row r="1578" hidden="1">
      <c r="A1578" s="33" t="str">
        <f>hyperlink("https://issues.sierrawireless.com/browse/QTI9X40-3211", "QTI9X40-3211")</f>
        <v>QTI9X40-3211</v>
      </c>
      <c r="B1578" s="30" t="s">
        <v>277</v>
      </c>
      <c r="C1578" s="30" t="s">
        <v>140</v>
      </c>
      <c r="D1578" s="30" t="s">
        <v>140</v>
      </c>
      <c r="E1578" s="35">
        <v>43168.0</v>
      </c>
      <c r="F1578" s="37" t="s">
        <v>162</v>
      </c>
      <c r="G1578" s="30" t="s">
        <v>146</v>
      </c>
      <c r="H1578" s="30" t="s">
        <v>146</v>
      </c>
      <c r="I1578" s="30" t="s">
        <v>254</v>
      </c>
      <c r="J1578" s="30" t="s">
        <v>145</v>
      </c>
      <c r="K1578" s="30" t="s">
        <v>145</v>
      </c>
      <c r="L1578" s="30" t="s">
        <v>145</v>
      </c>
      <c r="M1578" s="30" t="s">
        <v>145</v>
      </c>
      <c r="N1578" s="30" t="s">
        <v>145</v>
      </c>
      <c r="O1578" s="30" t="s">
        <v>145</v>
      </c>
      <c r="P1578" s="30" t="s">
        <v>145</v>
      </c>
      <c r="Q1578" s="30" t="s">
        <v>166</v>
      </c>
    </row>
    <row r="1579" hidden="1">
      <c r="A1579" s="33" t="s">
        <v>6847</v>
      </c>
      <c r="B1579" s="30" t="s">
        <v>139</v>
      </c>
      <c r="C1579" s="30" t="s">
        <v>216</v>
      </c>
      <c r="D1579" s="30" t="s">
        <v>216</v>
      </c>
      <c r="E1579" s="35">
        <v>42008.0</v>
      </c>
      <c r="F1579" s="37" t="s">
        <v>150</v>
      </c>
      <c r="G1579" s="30" t="s">
        <v>7321</v>
      </c>
      <c r="H1579" s="30" t="s">
        <v>145</v>
      </c>
      <c r="I1579" s="30" t="s">
        <v>145</v>
      </c>
      <c r="J1579" s="30" t="s">
        <v>145</v>
      </c>
      <c r="K1579" s="30" t="s">
        <v>145</v>
      </c>
      <c r="L1579" s="30" t="s">
        <v>145</v>
      </c>
      <c r="M1579" s="30" t="s">
        <v>145</v>
      </c>
      <c r="N1579" s="30" t="s">
        <v>145</v>
      </c>
      <c r="O1579" s="30" t="s">
        <v>145</v>
      </c>
      <c r="P1579" s="30" t="s">
        <v>145</v>
      </c>
      <c r="Q1579" s="30" t="s">
        <v>216</v>
      </c>
    </row>
    <row r="1580" hidden="1">
      <c r="A1580" s="33" t="s">
        <v>6852</v>
      </c>
      <c r="B1580" s="30" t="s">
        <v>139</v>
      </c>
      <c r="C1580" s="30" t="s">
        <v>1891</v>
      </c>
      <c r="D1580" s="30" t="s">
        <v>1891</v>
      </c>
      <c r="E1580" s="35">
        <v>42007.0</v>
      </c>
      <c r="F1580" s="37" t="s">
        <v>150</v>
      </c>
      <c r="G1580" s="30" t="s">
        <v>7322</v>
      </c>
      <c r="H1580" s="30" t="s">
        <v>145</v>
      </c>
      <c r="I1580" s="30" t="s">
        <v>145</v>
      </c>
      <c r="J1580" s="30" t="s">
        <v>145</v>
      </c>
      <c r="K1580" s="30" t="s">
        <v>145</v>
      </c>
      <c r="L1580" s="30" t="s">
        <v>145</v>
      </c>
      <c r="M1580" s="30" t="s">
        <v>145</v>
      </c>
      <c r="N1580" s="30" t="s">
        <v>145</v>
      </c>
      <c r="O1580" s="30" t="s">
        <v>145</v>
      </c>
      <c r="P1580" s="30" t="s">
        <v>145</v>
      </c>
      <c r="Q1580" s="30" t="s">
        <v>1891</v>
      </c>
    </row>
    <row r="1581" hidden="1">
      <c r="A1581" s="33" t="s">
        <v>6854</v>
      </c>
      <c r="B1581" s="30" t="s">
        <v>139</v>
      </c>
      <c r="C1581" s="30" t="s">
        <v>216</v>
      </c>
      <c r="D1581" s="30" t="s">
        <v>216</v>
      </c>
      <c r="E1581" s="35">
        <v>42007.0</v>
      </c>
      <c r="F1581" s="37" t="s">
        <v>150</v>
      </c>
      <c r="G1581" s="30" t="s">
        <v>7324</v>
      </c>
      <c r="H1581" s="30" t="s">
        <v>145</v>
      </c>
      <c r="I1581" s="30" t="s">
        <v>145</v>
      </c>
      <c r="J1581" s="30" t="s">
        <v>145</v>
      </c>
      <c r="K1581" s="30" t="s">
        <v>145</v>
      </c>
      <c r="L1581" s="30" t="s">
        <v>145</v>
      </c>
      <c r="M1581" s="30" t="s">
        <v>145</v>
      </c>
      <c r="N1581" s="30" t="s">
        <v>145</v>
      </c>
      <c r="O1581" s="30" t="s">
        <v>145</v>
      </c>
      <c r="P1581" s="30" t="s">
        <v>145</v>
      </c>
      <c r="Q1581" s="30" t="s">
        <v>216</v>
      </c>
    </row>
    <row r="1582" hidden="1">
      <c r="A1582" s="33" t="s">
        <v>6857</v>
      </c>
      <c r="B1582" s="30" t="s">
        <v>139</v>
      </c>
      <c r="C1582" s="30" t="s">
        <v>177</v>
      </c>
      <c r="D1582" s="30" t="s">
        <v>177</v>
      </c>
      <c r="E1582" s="35">
        <v>42007.0</v>
      </c>
      <c r="F1582" s="37" t="s">
        <v>150</v>
      </c>
      <c r="G1582" s="30" t="s">
        <v>7325</v>
      </c>
      <c r="H1582" s="30" t="s">
        <v>145</v>
      </c>
      <c r="I1582" s="30" t="s">
        <v>145</v>
      </c>
      <c r="J1582" s="30" t="s">
        <v>145</v>
      </c>
      <c r="K1582" s="30" t="s">
        <v>145</v>
      </c>
      <c r="L1582" s="30" t="s">
        <v>145</v>
      </c>
      <c r="M1582" s="30" t="s">
        <v>145</v>
      </c>
      <c r="N1582" s="30" t="s">
        <v>145</v>
      </c>
      <c r="O1582" s="30" t="s">
        <v>145</v>
      </c>
      <c r="P1582" s="30" t="s">
        <v>145</v>
      </c>
      <c r="Q1582" s="30" t="s">
        <v>177</v>
      </c>
    </row>
    <row r="1583" hidden="1">
      <c r="A1583" s="33" t="s">
        <v>6859</v>
      </c>
      <c r="B1583" s="30" t="s">
        <v>139</v>
      </c>
      <c r="C1583" s="30" t="s">
        <v>177</v>
      </c>
      <c r="D1583" s="30" t="s">
        <v>177</v>
      </c>
      <c r="E1583" s="35">
        <v>42007.0</v>
      </c>
      <c r="F1583" s="37" t="s">
        <v>150</v>
      </c>
      <c r="G1583" s="30" t="s">
        <v>7325</v>
      </c>
      <c r="H1583" s="30" t="s">
        <v>145</v>
      </c>
      <c r="I1583" s="30" t="s">
        <v>145</v>
      </c>
      <c r="J1583" s="30" t="s">
        <v>145</v>
      </c>
      <c r="K1583" s="30" t="s">
        <v>145</v>
      </c>
      <c r="L1583" s="30" t="s">
        <v>145</v>
      </c>
      <c r="M1583" s="30" t="s">
        <v>145</v>
      </c>
      <c r="N1583" s="30" t="s">
        <v>145</v>
      </c>
      <c r="O1583" s="30" t="s">
        <v>145</v>
      </c>
      <c r="P1583" s="30" t="s">
        <v>145</v>
      </c>
      <c r="Q1583" s="30" t="s">
        <v>177</v>
      </c>
    </row>
    <row r="1584" hidden="1">
      <c r="A1584" s="33" t="s">
        <v>6862</v>
      </c>
      <c r="B1584" s="30" t="s">
        <v>139</v>
      </c>
      <c r="C1584" s="30" t="s">
        <v>177</v>
      </c>
      <c r="D1584" s="30" t="s">
        <v>177</v>
      </c>
      <c r="E1584" s="35">
        <v>42007.0</v>
      </c>
      <c r="F1584" s="37" t="s">
        <v>150</v>
      </c>
      <c r="G1584" s="30" t="s">
        <v>7325</v>
      </c>
      <c r="H1584" s="30" t="s">
        <v>145</v>
      </c>
      <c r="I1584" s="30" t="s">
        <v>145</v>
      </c>
      <c r="J1584" s="30" t="s">
        <v>145</v>
      </c>
      <c r="K1584" s="30" t="s">
        <v>145</v>
      </c>
      <c r="L1584" s="30" t="s">
        <v>145</v>
      </c>
      <c r="M1584" s="30" t="s">
        <v>145</v>
      </c>
      <c r="N1584" s="30" t="s">
        <v>145</v>
      </c>
      <c r="O1584" s="30" t="s">
        <v>145</v>
      </c>
      <c r="P1584" s="30" t="s">
        <v>145</v>
      </c>
      <c r="Q1584" s="30" t="s">
        <v>177</v>
      </c>
    </row>
    <row r="1585" hidden="1">
      <c r="A1585" s="33" t="s">
        <v>6865</v>
      </c>
      <c r="B1585" s="30" t="s">
        <v>139</v>
      </c>
      <c r="C1585" s="30" t="s">
        <v>177</v>
      </c>
      <c r="D1585" s="30" t="s">
        <v>177</v>
      </c>
      <c r="E1585" s="35">
        <v>42007.0</v>
      </c>
      <c r="F1585" s="37" t="s">
        <v>150</v>
      </c>
      <c r="G1585" s="30" t="s">
        <v>7325</v>
      </c>
      <c r="H1585" s="30" t="s">
        <v>145</v>
      </c>
      <c r="I1585" s="30" t="s">
        <v>145</v>
      </c>
      <c r="J1585" s="30" t="s">
        <v>145</v>
      </c>
      <c r="K1585" s="30" t="s">
        <v>145</v>
      </c>
      <c r="L1585" s="30" t="s">
        <v>145</v>
      </c>
      <c r="M1585" s="30" t="s">
        <v>145</v>
      </c>
      <c r="N1585" s="30" t="s">
        <v>145</v>
      </c>
      <c r="O1585" s="30" t="s">
        <v>145</v>
      </c>
      <c r="P1585" s="30" t="s">
        <v>145</v>
      </c>
      <c r="Q1585" s="30" t="s">
        <v>177</v>
      </c>
    </row>
    <row r="1586" hidden="1">
      <c r="A1586" s="33" t="s">
        <v>6867</v>
      </c>
      <c r="B1586" s="30" t="s">
        <v>139</v>
      </c>
      <c r="C1586" s="30" t="s">
        <v>177</v>
      </c>
      <c r="D1586" s="30" t="s">
        <v>177</v>
      </c>
      <c r="E1586" s="35">
        <v>42007.0</v>
      </c>
      <c r="F1586" s="37" t="s">
        <v>150</v>
      </c>
      <c r="G1586" s="30" t="s">
        <v>7325</v>
      </c>
      <c r="H1586" s="30" t="s">
        <v>145</v>
      </c>
      <c r="I1586" s="30" t="s">
        <v>145</v>
      </c>
      <c r="J1586" s="30" t="s">
        <v>145</v>
      </c>
      <c r="K1586" s="30" t="s">
        <v>145</v>
      </c>
      <c r="L1586" s="30" t="s">
        <v>145</v>
      </c>
      <c r="M1586" s="30" t="s">
        <v>145</v>
      </c>
      <c r="N1586" s="30" t="s">
        <v>145</v>
      </c>
      <c r="O1586" s="30" t="s">
        <v>145</v>
      </c>
      <c r="P1586" s="30" t="s">
        <v>145</v>
      </c>
      <c r="Q1586" s="30" t="s">
        <v>177</v>
      </c>
    </row>
    <row r="1587" hidden="1">
      <c r="A1587" s="33" t="s">
        <v>6871</v>
      </c>
      <c r="B1587" s="30" t="s">
        <v>139</v>
      </c>
      <c r="C1587" s="30" t="s">
        <v>177</v>
      </c>
      <c r="D1587" s="30" t="s">
        <v>177</v>
      </c>
      <c r="E1587" s="35">
        <v>42007.0</v>
      </c>
      <c r="F1587" s="37" t="s">
        <v>150</v>
      </c>
      <c r="G1587" s="30" t="s">
        <v>7325</v>
      </c>
      <c r="H1587" s="30" t="s">
        <v>145</v>
      </c>
      <c r="I1587" s="30" t="s">
        <v>145</v>
      </c>
      <c r="J1587" s="30" t="s">
        <v>145</v>
      </c>
      <c r="K1587" s="30" t="s">
        <v>145</v>
      </c>
      <c r="L1587" s="30" t="s">
        <v>145</v>
      </c>
      <c r="M1587" s="30" t="s">
        <v>145</v>
      </c>
      <c r="N1587" s="30" t="s">
        <v>145</v>
      </c>
      <c r="O1587" s="30" t="s">
        <v>145</v>
      </c>
      <c r="P1587" s="30" t="s">
        <v>145</v>
      </c>
      <c r="Q1587" s="30" t="s">
        <v>177</v>
      </c>
    </row>
    <row r="1588" hidden="1">
      <c r="A1588" s="33" t="s">
        <v>6874</v>
      </c>
      <c r="B1588" s="30" t="s">
        <v>139</v>
      </c>
      <c r="C1588" s="30" t="s">
        <v>177</v>
      </c>
      <c r="D1588" s="30" t="s">
        <v>177</v>
      </c>
      <c r="E1588" s="35">
        <v>42007.0</v>
      </c>
      <c r="F1588" s="37" t="s">
        <v>150</v>
      </c>
      <c r="G1588" s="30" t="s">
        <v>7325</v>
      </c>
      <c r="H1588" s="30" t="s">
        <v>145</v>
      </c>
      <c r="I1588" s="30" t="s">
        <v>145</v>
      </c>
      <c r="J1588" s="30" t="s">
        <v>145</v>
      </c>
      <c r="K1588" s="30" t="s">
        <v>145</v>
      </c>
      <c r="L1588" s="30" t="s">
        <v>145</v>
      </c>
      <c r="M1588" s="30" t="s">
        <v>145</v>
      </c>
      <c r="N1588" s="30" t="s">
        <v>145</v>
      </c>
      <c r="O1588" s="30" t="s">
        <v>145</v>
      </c>
      <c r="P1588" s="30" t="s">
        <v>145</v>
      </c>
      <c r="Q1588" s="30" t="s">
        <v>177</v>
      </c>
    </row>
    <row r="1589" hidden="1">
      <c r="A1589" s="33" t="s">
        <v>6877</v>
      </c>
      <c r="B1589" s="30" t="s">
        <v>139</v>
      </c>
      <c r="C1589" s="30" t="s">
        <v>216</v>
      </c>
      <c r="D1589" s="30" t="s">
        <v>216</v>
      </c>
      <c r="E1589" s="35">
        <v>42007.0</v>
      </c>
      <c r="F1589" s="37" t="s">
        <v>150</v>
      </c>
      <c r="G1589" s="30" t="s">
        <v>7324</v>
      </c>
      <c r="H1589" s="30" t="s">
        <v>145</v>
      </c>
      <c r="I1589" s="30" t="s">
        <v>145</v>
      </c>
      <c r="J1589" s="30" t="s">
        <v>145</v>
      </c>
      <c r="K1589" s="30" t="s">
        <v>145</v>
      </c>
      <c r="L1589" s="30" t="s">
        <v>145</v>
      </c>
      <c r="M1589" s="30" t="s">
        <v>145</v>
      </c>
      <c r="N1589" s="30" t="s">
        <v>145</v>
      </c>
      <c r="O1589" s="30" t="s">
        <v>145</v>
      </c>
      <c r="P1589" s="30" t="s">
        <v>145</v>
      </c>
      <c r="Q1589" s="30" t="s">
        <v>216</v>
      </c>
    </row>
    <row r="1590" hidden="1">
      <c r="A1590" s="33" t="s">
        <v>6849</v>
      </c>
      <c r="B1590" s="30" t="s">
        <v>139</v>
      </c>
      <c r="C1590" s="30" t="s">
        <v>6851</v>
      </c>
      <c r="D1590" s="30" t="s">
        <v>6026</v>
      </c>
      <c r="E1590" s="35">
        <v>42006.0</v>
      </c>
      <c r="F1590" s="37" t="s">
        <v>150</v>
      </c>
      <c r="G1590" s="30" t="s">
        <v>7329</v>
      </c>
      <c r="H1590" s="30" t="s">
        <v>145</v>
      </c>
      <c r="I1590" s="30" t="s">
        <v>145</v>
      </c>
      <c r="J1590" s="30" t="s">
        <v>145</v>
      </c>
      <c r="K1590" s="30" t="s">
        <v>6026</v>
      </c>
      <c r="L1590" s="30" t="s">
        <v>6623</v>
      </c>
      <c r="M1590" s="30" t="s">
        <v>7330</v>
      </c>
      <c r="N1590" s="30" t="s">
        <v>145</v>
      </c>
      <c r="O1590" s="30" t="s">
        <v>145</v>
      </c>
      <c r="P1590" s="30" t="s">
        <v>145</v>
      </c>
      <c r="Q1590" s="30" t="s">
        <v>6623</v>
      </c>
    </row>
    <row r="1591" hidden="1">
      <c r="A1591" s="33" t="s">
        <v>6881</v>
      </c>
      <c r="B1591" s="30" t="s">
        <v>139</v>
      </c>
      <c r="C1591" s="30" t="s">
        <v>216</v>
      </c>
      <c r="D1591" s="30" t="s">
        <v>216</v>
      </c>
      <c r="E1591" s="35">
        <v>42006.0</v>
      </c>
      <c r="F1591" s="37" t="s">
        <v>150</v>
      </c>
      <c r="G1591" s="30" t="s">
        <v>7331</v>
      </c>
      <c r="H1591" s="30" t="s">
        <v>145</v>
      </c>
      <c r="I1591" s="30" t="s">
        <v>145</v>
      </c>
      <c r="J1591" s="30" t="s">
        <v>145</v>
      </c>
      <c r="K1591" s="30" t="s">
        <v>145</v>
      </c>
      <c r="L1591" s="30" t="s">
        <v>145</v>
      </c>
      <c r="M1591" s="30" t="s">
        <v>145</v>
      </c>
      <c r="N1591" s="30" t="s">
        <v>145</v>
      </c>
      <c r="O1591" s="30" t="s">
        <v>145</v>
      </c>
      <c r="P1591" s="30" t="s">
        <v>145</v>
      </c>
      <c r="Q1591" s="30" t="s">
        <v>216</v>
      </c>
    </row>
    <row r="1592" hidden="1">
      <c r="A1592" s="33" t="s">
        <v>6883</v>
      </c>
      <c r="B1592" s="30" t="s">
        <v>139</v>
      </c>
      <c r="C1592" s="30" t="s">
        <v>177</v>
      </c>
      <c r="D1592" s="30" t="s">
        <v>177</v>
      </c>
      <c r="E1592" s="35">
        <v>42006.0</v>
      </c>
      <c r="F1592" s="37" t="s">
        <v>150</v>
      </c>
      <c r="G1592" s="30" t="s">
        <v>7333</v>
      </c>
      <c r="H1592" s="30" t="s">
        <v>145</v>
      </c>
      <c r="I1592" s="30" t="s">
        <v>145</v>
      </c>
      <c r="J1592" s="30" t="s">
        <v>145</v>
      </c>
      <c r="K1592" s="30" t="s">
        <v>145</v>
      </c>
      <c r="L1592" s="30" t="s">
        <v>145</v>
      </c>
      <c r="M1592" s="30" t="s">
        <v>145</v>
      </c>
      <c r="N1592" s="30" t="s">
        <v>145</v>
      </c>
      <c r="O1592" s="30" t="s">
        <v>145</v>
      </c>
      <c r="P1592" s="30" t="s">
        <v>145</v>
      </c>
      <c r="Q1592" s="30" t="s">
        <v>177</v>
      </c>
    </row>
    <row r="1593" hidden="1">
      <c r="A1593" s="33" t="s">
        <v>6885</v>
      </c>
      <c r="B1593" s="30" t="s">
        <v>139</v>
      </c>
      <c r="C1593" s="30" t="s">
        <v>1367</v>
      </c>
      <c r="D1593" s="30" t="s">
        <v>1367</v>
      </c>
      <c r="E1593" s="35">
        <v>42006.0</v>
      </c>
      <c r="F1593" s="37" t="s">
        <v>150</v>
      </c>
      <c r="G1593" s="30" t="s">
        <v>7334</v>
      </c>
      <c r="H1593" s="30" t="s">
        <v>145</v>
      </c>
      <c r="I1593" s="30" t="s">
        <v>145</v>
      </c>
      <c r="J1593" s="30" t="s">
        <v>145</v>
      </c>
      <c r="K1593" s="30" t="s">
        <v>145</v>
      </c>
      <c r="L1593" s="30" t="s">
        <v>145</v>
      </c>
      <c r="M1593" s="30" t="s">
        <v>145</v>
      </c>
      <c r="N1593" s="30" t="s">
        <v>145</v>
      </c>
      <c r="O1593" s="30" t="s">
        <v>145</v>
      </c>
      <c r="P1593" s="30" t="s">
        <v>145</v>
      </c>
      <c r="Q1593" s="30" t="s">
        <v>1367</v>
      </c>
    </row>
    <row r="1594" hidden="1">
      <c r="A1594" s="33" t="s">
        <v>6888</v>
      </c>
      <c r="B1594" s="30" t="s">
        <v>139</v>
      </c>
      <c r="C1594" s="30" t="s">
        <v>244</v>
      </c>
      <c r="D1594" s="30" t="s">
        <v>244</v>
      </c>
      <c r="E1594" s="35">
        <v>42005.0</v>
      </c>
      <c r="F1594" s="37" t="s">
        <v>150</v>
      </c>
      <c r="G1594" s="30" t="s">
        <v>7335</v>
      </c>
      <c r="H1594" s="30" t="s">
        <v>145</v>
      </c>
      <c r="I1594" s="30" t="s">
        <v>145</v>
      </c>
      <c r="J1594" s="30" t="s">
        <v>145</v>
      </c>
      <c r="K1594" s="30" t="s">
        <v>145</v>
      </c>
      <c r="L1594" s="30" t="s">
        <v>145</v>
      </c>
      <c r="M1594" s="30" t="s">
        <v>145</v>
      </c>
      <c r="N1594" s="30" t="s">
        <v>145</v>
      </c>
      <c r="O1594" s="30" t="s">
        <v>145</v>
      </c>
      <c r="P1594" s="30" t="s">
        <v>145</v>
      </c>
      <c r="Q1594" s="30" t="s">
        <v>244</v>
      </c>
    </row>
    <row r="1595" hidden="1">
      <c r="A1595" s="33" t="s">
        <v>6890</v>
      </c>
      <c r="B1595" s="30" t="s">
        <v>139</v>
      </c>
      <c r="C1595" s="30" t="s">
        <v>1400</v>
      </c>
      <c r="D1595" s="30" t="s">
        <v>1400</v>
      </c>
      <c r="E1595" s="35">
        <v>42005.0</v>
      </c>
      <c r="F1595" s="37" t="s">
        <v>150</v>
      </c>
      <c r="G1595" s="30" t="s">
        <v>7336</v>
      </c>
      <c r="H1595" s="30" t="s">
        <v>145</v>
      </c>
      <c r="I1595" s="30" t="s">
        <v>145</v>
      </c>
      <c r="J1595" s="30" t="s">
        <v>145</v>
      </c>
      <c r="K1595" s="30" t="s">
        <v>145</v>
      </c>
      <c r="L1595" s="30" t="s">
        <v>145</v>
      </c>
      <c r="M1595" s="30" t="s">
        <v>145</v>
      </c>
      <c r="N1595" s="30" t="s">
        <v>145</v>
      </c>
      <c r="O1595" s="30" t="s">
        <v>145</v>
      </c>
      <c r="P1595" s="30" t="s">
        <v>145</v>
      </c>
      <c r="Q1595" s="30" t="s">
        <v>1400</v>
      </c>
    </row>
    <row r="1596" hidden="1">
      <c r="A1596" s="33" t="s">
        <v>6894</v>
      </c>
      <c r="B1596" s="30" t="s">
        <v>139</v>
      </c>
      <c r="C1596" s="30" t="s">
        <v>244</v>
      </c>
      <c r="D1596" s="30" t="s">
        <v>244</v>
      </c>
      <c r="E1596" s="35">
        <v>42005.0</v>
      </c>
      <c r="F1596" s="37" t="s">
        <v>150</v>
      </c>
      <c r="G1596" s="30" t="s">
        <v>7335</v>
      </c>
      <c r="H1596" s="30" t="s">
        <v>145</v>
      </c>
      <c r="I1596" s="30" t="s">
        <v>145</v>
      </c>
      <c r="J1596" s="30" t="s">
        <v>145</v>
      </c>
      <c r="K1596" s="30" t="s">
        <v>145</v>
      </c>
      <c r="L1596" s="30" t="s">
        <v>145</v>
      </c>
      <c r="M1596" s="30" t="s">
        <v>145</v>
      </c>
      <c r="N1596" s="30" t="s">
        <v>145</v>
      </c>
      <c r="O1596" s="30" t="s">
        <v>145</v>
      </c>
      <c r="P1596" s="30" t="s">
        <v>145</v>
      </c>
      <c r="Q1596" s="30" t="s">
        <v>244</v>
      </c>
    </row>
    <row r="1597" hidden="1">
      <c r="A1597" s="33" t="s">
        <v>6897</v>
      </c>
      <c r="B1597" s="30" t="s">
        <v>139</v>
      </c>
      <c r="C1597" s="30" t="s">
        <v>244</v>
      </c>
      <c r="D1597" s="30" t="s">
        <v>244</v>
      </c>
      <c r="E1597" s="35">
        <v>42005.0</v>
      </c>
      <c r="F1597" s="37" t="s">
        <v>150</v>
      </c>
      <c r="G1597" s="30" t="s">
        <v>7335</v>
      </c>
      <c r="H1597" s="30" t="s">
        <v>145</v>
      </c>
      <c r="I1597" s="30" t="s">
        <v>145</v>
      </c>
      <c r="J1597" s="30" t="s">
        <v>145</v>
      </c>
      <c r="K1597" s="30" t="s">
        <v>145</v>
      </c>
      <c r="L1597" s="30" t="s">
        <v>145</v>
      </c>
      <c r="M1597" s="30" t="s">
        <v>145</v>
      </c>
      <c r="N1597" s="30" t="s">
        <v>145</v>
      </c>
      <c r="O1597" s="30" t="s">
        <v>145</v>
      </c>
      <c r="P1597" s="30" t="s">
        <v>145</v>
      </c>
      <c r="Q1597" s="30" t="s">
        <v>244</v>
      </c>
    </row>
    <row r="1598" hidden="1">
      <c r="A1598" s="33" t="str">
        <f>hyperlink("https://issues.sierrawireless.com/browse/QTI9X28-3512", "QTI9X28-3512")</f>
        <v>QTI9X28-3512</v>
      </c>
      <c r="B1598" s="30" t="s">
        <v>496</v>
      </c>
      <c r="C1598" s="30" t="s">
        <v>140</v>
      </c>
      <c r="D1598" s="30" t="s">
        <v>1587</v>
      </c>
      <c r="E1598" s="35">
        <v>43172.0</v>
      </c>
      <c r="F1598" s="37" t="s">
        <v>379</v>
      </c>
      <c r="G1598" s="30" t="s">
        <v>254</v>
      </c>
      <c r="H1598" s="30" t="s">
        <v>166</v>
      </c>
      <c r="I1598" s="30" t="s">
        <v>166</v>
      </c>
      <c r="J1598" s="30" t="s">
        <v>166</v>
      </c>
      <c r="K1598" s="30" t="s">
        <v>166</v>
      </c>
      <c r="L1598" s="30" t="s">
        <v>166</v>
      </c>
      <c r="M1598" s="30" t="s">
        <v>166</v>
      </c>
      <c r="N1598" s="30" t="s">
        <v>145</v>
      </c>
      <c r="O1598" s="30" t="s">
        <v>145</v>
      </c>
      <c r="P1598" s="30" t="s">
        <v>145</v>
      </c>
      <c r="Q1598" s="30" t="s">
        <v>166</v>
      </c>
    </row>
    <row r="1599" hidden="1">
      <c r="A1599" s="33" t="str">
        <f>hyperlink("https://issues.sierrawireless.com/browse/OEMPRI-7338", "OEMPRI-7338")</f>
        <v>OEMPRI-7338</v>
      </c>
      <c r="B1599" s="30" t="s">
        <v>139</v>
      </c>
      <c r="C1599" s="30" t="s">
        <v>141</v>
      </c>
      <c r="D1599" s="30" t="s">
        <v>141</v>
      </c>
      <c r="E1599" s="35">
        <v>43256.0</v>
      </c>
      <c r="F1599" s="37" t="s">
        <v>150</v>
      </c>
      <c r="G1599" s="30" t="s">
        <v>2587</v>
      </c>
      <c r="H1599" s="30" t="s">
        <v>180</v>
      </c>
      <c r="I1599" s="30" t="s">
        <v>146</v>
      </c>
      <c r="J1599" s="30" t="s">
        <v>189</v>
      </c>
      <c r="K1599" s="30" t="s">
        <v>180</v>
      </c>
      <c r="L1599" s="30" t="s">
        <v>180</v>
      </c>
      <c r="M1599" s="30" t="s">
        <v>179</v>
      </c>
      <c r="N1599" s="30" t="s">
        <v>145</v>
      </c>
      <c r="O1599" s="30" t="s">
        <v>145</v>
      </c>
      <c r="P1599" s="30" t="s">
        <v>145</v>
      </c>
      <c r="Q1599" s="30" t="s">
        <v>180</v>
      </c>
    </row>
    <row r="1600" hidden="1">
      <c r="A1600" s="33" t="s">
        <v>2841</v>
      </c>
      <c r="B1600" s="30" t="s">
        <v>139</v>
      </c>
      <c r="C1600" s="30" t="s">
        <v>155</v>
      </c>
      <c r="D1600" s="30" t="s">
        <v>155</v>
      </c>
      <c r="E1600" s="43">
        <v>43033.0</v>
      </c>
      <c r="F1600" s="44" t="s">
        <v>150</v>
      </c>
      <c r="G1600" s="30" t="s">
        <v>540</v>
      </c>
      <c r="H1600" s="30" t="s">
        <v>146</v>
      </c>
      <c r="I1600" s="30" t="s">
        <v>223</v>
      </c>
      <c r="J1600" s="30" t="s">
        <v>158</v>
      </c>
      <c r="K1600" s="30" t="s">
        <v>375</v>
      </c>
      <c r="L1600" s="30" t="s">
        <v>158</v>
      </c>
      <c r="M1600" s="2" t="s">
        <v>7342</v>
      </c>
      <c r="N1600" s="30" t="s">
        <v>145</v>
      </c>
      <c r="O1600" s="30" t="s">
        <v>145</v>
      </c>
      <c r="P1600" s="30" t="s">
        <v>145</v>
      </c>
      <c r="Q1600" s="30" t="s">
        <v>158</v>
      </c>
    </row>
    <row r="1601" hidden="1">
      <c r="A1601" s="33" t="s">
        <v>2990</v>
      </c>
      <c r="B1601" s="30" t="s">
        <v>139</v>
      </c>
      <c r="C1601" s="30" t="s">
        <v>155</v>
      </c>
      <c r="D1601" s="30" t="s">
        <v>155</v>
      </c>
      <c r="E1601" s="43">
        <v>43024.0</v>
      </c>
      <c r="F1601" s="44" t="s">
        <v>150</v>
      </c>
      <c r="G1601" s="30" t="s">
        <v>540</v>
      </c>
      <c r="H1601" s="30" t="s">
        <v>146</v>
      </c>
      <c r="I1601" s="30" t="s">
        <v>146</v>
      </c>
      <c r="J1601" s="30" t="s">
        <v>158</v>
      </c>
      <c r="K1601" s="30" t="s">
        <v>158</v>
      </c>
      <c r="L1601" s="30" t="s">
        <v>158</v>
      </c>
      <c r="M1601" s="30" t="s">
        <v>2404</v>
      </c>
      <c r="N1601" s="30" t="s">
        <v>145</v>
      </c>
      <c r="O1601" s="30" t="s">
        <v>145</v>
      </c>
      <c r="P1601" s="30" t="s">
        <v>145</v>
      </c>
      <c r="Q1601" s="2" t="s">
        <v>7343</v>
      </c>
    </row>
    <row r="1602" hidden="1">
      <c r="A1602" s="33" t="str">
        <f>hyperlink("https://issues.sierrawireless.com/browse/OEMPRI-6475", "OEMPRI-6475")</f>
        <v>OEMPRI-6475</v>
      </c>
      <c r="B1602" s="30" t="s">
        <v>139</v>
      </c>
      <c r="C1602" s="30" t="s">
        <v>140</v>
      </c>
      <c r="D1602" s="30" t="s">
        <v>153</v>
      </c>
      <c r="E1602" s="35">
        <v>43174.0</v>
      </c>
      <c r="F1602" s="37" t="s">
        <v>154</v>
      </c>
      <c r="G1602" s="30" t="s">
        <v>146</v>
      </c>
      <c r="H1602" s="30" t="s">
        <v>145</v>
      </c>
      <c r="I1602" s="30" t="s">
        <v>145</v>
      </c>
      <c r="J1602" s="30" t="s">
        <v>145</v>
      </c>
      <c r="K1602" s="30" t="s">
        <v>145</v>
      </c>
      <c r="L1602" s="30" t="s">
        <v>145</v>
      </c>
      <c r="M1602" s="30" t="s">
        <v>145</v>
      </c>
      <c r="N1602" s="30" t="s">
        <v>145</v>
      </c>
      <c r="O1602" s="30" t="s">
        <v>145</v>
      </c>
      <c r="P1602" s="30" t="s">
        <v>145</v>
      </c>
      <c r="Q1602" s="30" t="s">
        <v>146</v>
      </c>
    </row>
    <row r="1603" hidden="1">
      <c r="A1603" s="33" t="str">
        <f>hyperlink("https://issues.sierrawireless.com/browse/OEMPRI-6476", "OEMPRI-6476")</f>
        <v>OEMPRI-6476</v>
      </c>
      <c r="B1603" s="30" t="s">
        <v>139</v>
      </c>
      <c r="C1603" s="30" t="s">
        <v>310</v>
      </c>
      <c r="D1603" s="30" t="s">
        <v>310</v>
      </c>
      <c r="E1603" s="35">
        <v>43174.0</v>
      </c>
      <c r="F1603" s="37" t="s">
        <v>154</v>
      </c>
      <c r="G1603" s="30" t="s">
        <v>314</v>
      </c>
      <c r="H1603" s="30" t="s">
        <v>145</v>
      </c>
      <c r="I1603" s="30" t="s">
        <v>145</v>
      </c>
      <c r="J1603" s="30" t="s">
        <v>145</v>
      </c>
      <c r="K1603" s="30" t="s">
        <v>145</v>
      </c>
      <c r="L1603" s="30" t="s">
        <v>145</v>
      </c>
      <c r="M1603" s="30" t="s">
        <v>145</v>
      </c>
      <c r="N1603" s="30" t="s">
        <v>145</v>
      </c>
      <c r="O1603" s="30" t="s">
        <v>145</v>
      </c>
      <c r="P1603" s="30" t="s">
        <v>145</v>
      </c>
      <c r="Q1603" s="30" t="s">
        <v>314</v>
      </c>
    </row>
    <row r="1604" hidden="1">
      <c r="A1604" s="33" t="str">
        <f>hyperlink("https://issues.sierrawireless.com/browse/OEMPRI-6477", "OEMPRI-6477")</f>
        <v>OEMPRI-6477</v>
      </c>
      <c r="B1604" s="30" t="s">
        <v>139</v>
      </c>
      <c r="C1604" s="30" t="s">
        <v>148</v>
      </c>
      <c r="D1604" s="30" t="s">
        <v>120</v>
      </c>
      <c r="E1604" s="35">
        <v>43174.0</v>
      </c>
      <c r="F1604" s="37" t="s">
        <v>154</v>
      </c>
      <c r="G1604" s="30" t="s">
        <v>152</v>
      </c>
      <c r="H1604" s="30" t="s">
        <v>145</v>
      </c>
      <c r="I1604" s="30" t="s">
        <v>145</v>
      </c>
      <c r="J1604" s="30" t="s">
        <v>145</v>
      </c>
      <c r="K1604" s="30" t="s">
        <v>145</v>
      </c>
      <c r="L1604" s="30" t="s">
        <v>145</v>
      </c>
      <c r="M1604" s="30" t="s">
        <v>145</v>
      </c>
      <c r="N1604" s="30" t="s">
        <v>145</v>
      </c>
      <c r="O1604" s="30" t="s">
        <v>145</v>
      </c>
      <c r="P1604" s="30" t="s">
        <v>145</v>
      </c>
      <c r="Q1604" s="30" t="s">
        <v>152</v>
      </c>
    </row>
    <row r="1605" hidden="1">
      <c r="A1605" s="33" t="s">
        <v>3075</v>
      </c>
      <c r="B1605" s="30" t="s">
        <v>139</v>
      </c>
      <c r="C1605" s="30" t="s">
        <v>155</v>
      </c>
      <c r="D1605" s="30" t="s">
        <v>155</v>
      </c>
      <c r="E1605" s="43">
        <v>43018.0</v>
      </c>
      <c r="F1605" s="44" t="s">
        <v>150</v>
      </c>
      <c r="G1605" s="30" t="s">
        <v>5522</v>
      </c>
      <c r="H1605" s="30" t="s">
        <v>146</v>
      </c>
      <c r="I1605" s="30" t="s">
        <v>146</v>
      </c>
      <c r="J1605" s="30" t="s">
        <v>158</v>
      </c>
      <c r="K1605" s="30" t="s">
        <v>158</v>
      </c>
      <c r="L1605" s="30" t="s">
        <v>158</v>
      </c>
      <c r="M1605" s="2" t="s">
        <v>7348</v>
      </c>
      <c r="N1605" s="30" t="s">
        <v>145</v>
      </c>
      <c r="O1605" s="30" t="s">
        <v>145</v>
      </c>
      <c r="P1605" s="30" t="s">
        <v>145</v>
      </c>
      <c r="Q1605" s="30" t="s">
        <v>158</v>
      </c>
    </row>
    <row r="1606" hidden="1">
      <c r="A1606" s="33" t="str">
        <f>hyperlink("https://issues.sierrawireless.com/browse/OEMPRI-7342", "OEMPRI-7342")</f>
        <v>OEMPRI-7342</v>
      </c>
      <c r="B1606" s="30" t="s">
        <v>139</v>
      </c>
      <c r="C1606" s="30" t="s">
        <v>148</v>
      </c>
      <c r="D1606" s="30" t="s">
        <v>141</v>
      </c>
      <c r="E1606" s="35">
        <v>43256.0</v>
      </c>
      <c r="F1606" s="37" t="s">
        <v>150</v>
      </c>
      <c r="G1606" s="30" t="s">
        <v>1280</v>
      </c>
      <c r="H1606" s="30" t="s">
        <v>223</v>
      </c>
      <c r="I1606" s="30" t="s">
        <v>146</v>
      </c>
      <c r="J1606" s="30" t="s">
        <v>1476</v>
      </c>
      <c r="K1606" s="30" t="s">
        <v>213</v>
      </c>
      <c r="L1606" s="30" t="s">
        <v>152</v>
      </c>
      <c r="M1606" s="30" t="s">
        <v>1270</v>
      </c>
      <c r="N1606" s="30" t="s">
        <v>145</v>
      </c>
      <c r="O1606" s="30" t="s">
        <v>145</v>
      </c>
      <c r="P1606" s="30" t="s">
        <v>145</v>
      </c>
      <c r="Q1606" s="30" t="s">
        <v>152</v>
      </c>
    </row>
    <row r="1607" hidden="1">
      <c r="A1607" s="33" t="str">
        <f>hyperlink("https://issues.sierrawireless.com/browse/OEMPRI-6880", "OEMPRI-6880")</f>
        <v>OEMPRI-6880</v>
      </c>
      <c r="B1607" s="30" t="s">
        <v>139</v>
      </c>
      <c r="C1607" s="30" t="s">
        <v>140</v>
      </c>
      <c r="D1607" s="30" t="s">
        <v>140</v>
      </c>
      <c r="E1607" s="35">
        <v>43214.0</v>
      </c>
      <c r="F1607" s="37" t="s">
        <v>269</v>
      </c>
      <c r="G1607" s="30" t="s">
        <v>521</v>
      </c>
      <c r="H1607" s="30" t="s">
        <v>145</v>
      </c>
      <c r="I1607" s="30" t="s">
        <v>145</v>
      </c>
      <c r="J1607" s="30" t="s">
        <v>145</v>
      </c>
      <c r="K1607" s="30" t="s">
        <v>145</v>
      </c>
      <c r="L1607" s="30" t="s">
        <v>145</v>
      </c>
      <c r="M1607" s="30" t="s">
        <v>145</v>
      </c>
      <c r="N1607" s="30" t="s">
        <v>145</v>
      </c>
      <c r="O1607" s="30" t="s">
        <v>145</v>
      </c>
      <c r="P1607" s="30" t="s">
        <v>145</v>
      </c>
      <c r="Q1607" s="30" t="s">
        <v>146</v>
      </c>
    </row>
    <row r="1608" hidden="1">
      <c r="A1608" s="33" t="str">
        <f>hyperlink("https://issues.sierrawireless.com/browse/OEMPRI-6299", "OEMPRI-6299")</f>
        <v>OEMPRI-6299</v>
      </c>
      <c r="B1608" s="30" t="s">
        <v>139</v>
      </c>
      <c r="C1608" s="30" t="s">
        <v>148</v>
      </c>
      <c r="D1608" s="30" t="s">
        <v>609</v>
      </c>
      <c r="E1608" s="35">
        <v>43157.0</v>
      </c>
      <c r="F1608" s="37" t="s">
        <v>150</v>
      </c>
      <c r="G1608" s="30" t="s">
        <v>155</v>
      </c>
      <c r="H1608" s="30" t="s">
        <v>146</v>
      </c>
      <c r="I1608" s="30" t="s">
        <v>2578</v>
      </c>
      <c r="J1608" s="30" t="s">
        <v>158</v>
      </c>
      <c r="K1608" s="30" t="s">
        <v>158</v>
      </c>
      <c r="L1608" s="30" t="s">
        <v>158</v>
      </c>
      <c r="M1608" s="30" t="s">
        <v>1052</v>
      </c>
      <c r="N1608" s="30" t="s">
        <v>152</v>
      </c>
      <c r="O1608" s="30" t="s">
        <v>152</v>
      </c>
      <c r="P1608" s="30" t="s">
        <v>152</v>
      </c>
      <c r="Q1608" s="30" t="s">
        <v>166</v>
      </c>
    </row>
    <row r="1609" hidden="1">
      <c r="A1609" s="33" t="str">
        <f>hyperlink("https://issues.sierrawireless.com/browse/OEMPRI-6853", "OEMPRI-6853")</f>
        <v>OEMPRI-6853</v>
      </c>
      <c r="B1609" s="30" t="s">
        <v>139</v>
      </c>
      <c r="C1609" s="30" t="s">
        <v>148</v>
      </c>
      <c r="D1609" s="30" t="s">
        <v>155</v>
      </c>
      <c r="E1609" s="35">
        <v>43213.0</v>
      </c>
      <c r="F1609" s="37" t="s">
        <v>150</v>
      </c>
      <c r="G1609" s="30" t="s">
        <v>223</v>
      </c>
      <c r="H1609" s="30" t="s">
        <v>223</v>
      </c>
      <c r="I1609" s="30" t="s">
        <v>146</v>
      </c>
      <c r="J1609" s="30" t="s">
        <v>189</v>
      </c>
      <c r="K1609" s="30" t="s">
        <v>727</v>
      </c>
      <c r="L1609" s="30" t="s">
        <v>152</v>
      </c>
      <c r="M1609" s="30" t="s">
        <v>152</v>
      </c>
      <c r="N1609" s="30" t="s">
        <v>145</v>
      </c>
      <c r="O1609" s="30" t="s">
        <v>145</v>
      </c>
      <c r="P1609" s="30" t="s">
        <v>145</v>
      </c>
      <c r="Q1609" s="30" t="s">
        <v>152</v>
      </c>
    </row>
    <row r="1610" hidden="1">
      <c r="A1610" s="33" t="str">
        <f>hyperlink("https://issues.sierrawireless.com/browse/OEMPRI-5481", "OEMPRI-5481")</f>
        <v>OEMPRI-5481</v>
      </c>
      <c r="B1610" s="30" t="s">
        <v>139</v>
      </c>
      <c r="C1610" s="30" t="s">
        <v>140</v>
      </c>
      <c r="D1610" s="30" t="s">
        <v>140</v>
      </c>
      <c r="E1610" s="35">
        <v>43070.0</v>
      </c>
      <c r="F1610" s="37" t="s">
        <v>143</v>
      </c>
      <c r="G1610" s="2" t="s">
        <v>7351</v>
      </c>
      <c r="H1610" s="30" t="s">
        <v>145</v>
      </c>
      <c r="I1610" s="30" t="s">
        <v>145</v>
      </c>
      <c r="J1610" s="30" t="s">
        <v>145</v>
      </c>
      <c r="K1610" s="30" t="s">
        <v>145</v>
      </c>
      <c r="L1610" s="30" t="s">
        <v>145</v>
      </c>
      <c r="M1610" s="30" t="s">
        <v>145</v>
      </c>
      <c r="N1610" s="30" t="s">
        <v>145</v>
      </c>
      <c r="O1610" s="30" t="s">
        <v>145</v>
      </c>
      <c r="P1610" s="30" t="s">
        <v>145</v>
      </c>
      <c r="Q1610" s="30" t="s">
        <v>146</v>
      </c>
    </row>
    <row r="1611" hidden="1">
      <c r="A1611" s="33" t="str">
        <f>hyperlink("https://issues.sierrawireless.com/browse/OEMPRI-7315", "OEMPRI-7315")</f>
        <v>OEMPRI-7315</v>
      </c>
      <c r="B1611" s="30" t="s">
        <v>139</v>
      </c>
      <c r="C1611" s="30" t="s">
        <v>148</v>
      </c>
      <c r="D1611" s="30" t="s">
        <v>122</v>
      </c>
      <c r="E1611" s="35">
        <v>43255.0</v>
      </c>
      <c r="F1611" s="37" t="s">
        <v>150</v>
      </c>
      <c r="G1611" s="30" t="s">
        <v>152</v>
      </c>
      <c r="H1611" s="30" t="s">
        <v>145</v>
      </c>
      <c r="I1611" s="30" t="s">
        <v>145</v>
      </c>
      <c r="J1611" s="30" t="s">
        <v>145</v>
      </c>
      <c r="K1611" s="30" t="s">
        <v>145</v>
      </c>
      <c r="L1611" s="30" t="s">
        <v>145</v>
      </c>
      <c r="M1611" s="30" t="s">
        <v>145</v>
      </c>
      <c r="N1611" s="30" t="s">
        <v>145</v>
      </c>
      <c r="O1611" s="30" t="s">
        <v>145</v>
      </c>
      <c r="P1611" s="30" t="s">
        <v>145</v>
      </c>
      <c r="Q1611" s="30" t="s">
        <v>152</v>
      </c>
    </row>
    <row r="1612" hidden="1">
      <c r="A1612" s="33" t="str">
        <f>hyperlink("https://issues.sierrawireless.com/browse/OEMPRI-7316", "OEMPRI-7316")</f>
        <v>OEMPRI-7316</v>
      </c>
      <c r="B1612" s="30" t="s">
        <v>139</v>
      </c>
      <c r="C1612" s="30" t="s">
        <v>148</v>
      </c>
      <c r="D1612" s="30" t="s">
        <v>177</v>
      </c>
      <c r="E1612" s="35">
        <v>43255.0</v>
      </c>
      <c r="F1612" s="37" t="s">
        <v>150</v>
      </c>
      <c r="G1612" s="30" t="s">
        <v>152</v>
      </c>
      <c r="H1612" s="30" t="s">
        <v>152</v>
      </c>
      <c r="I1612" s="30" t="s">
        <v>152</v>
      </c>
      <c r="J1612" s="30" t="s">
        <v>152</v>
      </c>
      <c r="K1612" s="30" t="s">
        <v>152</v>
      </c>
      <c r="L1612" s="30" t="s">
        <v>152</v>
      </c>
      <c r="M1612" s="30" t="s">
        <v>152</v>
      </c>
      <c r="N1612" s="30" t="s">
        <v>152</v>
      </c>
      <c r="O1612" s="30" t="s">
        <v>152</v>
      </c>
      <c r="P1612" s="30" t="s">
        <v>152</v>
      </c>
      <c r="Q1612" s="30" t="s">
        <v>152</v>
      </c>
    </row>
    <row r="1613" hidden="1">
      <c r="A1613" s="33" t="str">
        <f>hyperlink("https://issues.sierrawireless.com/browse/OEMPRI-6525", "OEMPRI-6525")</f>
        <v>OEMPRI-6525</v>
      </c>
      <c r="B1613" s="30" t="s">
        <v>139</v>
      </c>
      <c r="C1613" s="30" t="s">
        <v>140</v>
      </c>
      <c r="D1613" s="30" t="s">
        <v>140</v>
      </c>
      <c r="E1613" s="35">
        <v>43179.0</v>
      </c>
      <c r="F1613" s="37" t="s">
        <v>269</v>
      </c>
      <c r="G1613" s="30" t="s">
        <v>146</v>
      </c>
      <c r="H1613" s="30" t="s">
        <v>145</v>
      </c>
      <c r="I1613" s="30" t="s">
        <v>145</v>
      </c>
      <c r="J1613" s="30" t="s">
        <v>145</v>
      </c>
      <c r="K1613" s="30" t="s">
        <v>145</v>
      </c>
      <c r="L1613" s="30" t="s">
        <v>145</v>
      </c>
      <c r="M1613" s="30" t="s">
        <v>145</v>
      </c>
      <c r="N1613" s="30" t="s">
        <v>145</v>
      </c>
      <c r="O1613" s="30" t="s">
        <v>145</v>
      </c>
      <c r="P1613" s="30" t="s">
        <v>145</v>
      </c>
      <c r="Q1613" s="30" t="s">
        <v>146</v>
      </c>
    </row>
    <row r="1614" hidden="1">
      <c r="A1614" s="33" t="str">
        <f>hyperlink("https://issues.sierrawireless.com/browse/OEMPRI-7322", "OEMPRI-7322")</f>
        <v>OEMPRI-7322</v>
      </c>
      <c r="B1614" s="30" t="s">
        <v>139</v>
      </c>
      <c r="C1614" s="30" t="s">
        <v>140</v>
      </c>
      <c r="D1614" s="30" t="s">
        <v>141</v>
      </c>
      <c r="E1614" s="35">
        <v>43255.0</v>
      </c>
      <c r="F1614" s="37" t="s">
        <v>143</v>
      </c>
      <c r="G1614" s="30" t="s">
        <v>146</v>
      </c>
      <c r="H1614" s="30" t="s">
        <v>145</v>
      </c>
      <c r="I1614" s="30" t="s">
        <v>145</v>
      </c>
      <c r="J1614" s="30" t="s">
        <v>145</v>
      </c>
      <c r="K1614" s="30" t="s">
        <v>145</v>
      </c>
      <c r="L1614" s="30" t="s">
        <v>145</v>
      </c>
      <c r="M1614" s="30" t="s">
        <v>145</v>
      </c>
      <c r="N1614" s="30" t="s">
        <v>145</v>
      </c>
      <c r="O1614" s="30" t="s">
        <v>145</v>
      </c>
      <c r="P1614" s="30" t="s">
        <v>145</v>
      </c>
      <c r="Q1614" s="30" t="s">
        <v>146</v>
      </c>
    </row>
    <row r="1615" hidden="1">
      <c r="A1615" s="33" t="str">
        <f>hyperlink("https://issues.sierrawireless.com/browse/OEMPRI-7324", "OEMPRI-7324")</f>
        <v>OEMPRI-7324</v>
      </c>
      <c r="B1615" s="30" t="s">
        <v>139</v>
      </c>
      <c r="C1615" s="30" t="s">
        <v>148</v>
      </c>
      <c r="D1615" s="30" t="s">
        <v>141</v>
      </c>
      <c r="E1615" s="35">
        <v>43255.0</v>
      </c>
      <c r="F1615" s="37" t="s">
        <v>150</v>
      </c>
      <c r="G1615" s="30" t="s">
        <v>152</v>
      </c>
      <c r="H1615" s="30" t="s">
        <v>145</v>
      </c>
      <c r="I1615" s="30" t="s">
        <v>145</v>
      </c>
      <c r="J1615" s="30" t="s">
        <v>145</v>
      </c>
      <c r="K1615" s="30" t="s">
        <v>145</v>
      </c>
      <c r="L1615" s="30" t="s">
        <v>145</v>
      </c>
      <c r="M1615" s="30" t="s">
        <v>145</v>
      </c>
      <c r="N1615" s="30" t="s">
        <v>145</v>
      </c>
      <c r="O1615" s="30" t="s">
        <v>145</v>
      </c>
      <c r="P1615" s="30" t="s">
        <v>145</v>
      </c>
      <c r="Q1615" s="30" t="s">
        <v>152</v>
      </c>
    </row>
    <row r="1616" hidden="1">
      <c r="A1616" s="33" t="str">
        <f>hyperlink("https://issues.sierrawireless.com/browse/OEMPRI-6795", "OEMPRI-6795")</f>
        <v>OEMPRI-6795</v>
      </c>
      <c r="B1616" s="30" t="s">
        <v>139</v>
      </c>
      <c r="C1616" s="30" t="s">
        <v>148</v>
      </c>
      <c r="D1616" s="30" t="s">
        <v>155</v>
      </c>
      <c r="E1616" s="35">
        <v>43206.0</v>
      </c>
      <c r="F1616" s="37" t="s">
        <v>150</v>
      </c>
      <c r="G1616" s="30" t="s">
        <v>185</v>
      </c>
      <c r="H1616" s="30" t="s">
        <v>146</v>
      </c>
      <c r="I1616" s="30" t="s">
        <v>1280</v>
      </c>
      <c r="J1616" s="30" t="s">
        <v>1476</v>
      </c>
      <c r="K1616" s="30" t="s">
        <v>158</v>
      </c>
      <c r="L1616" s="30" t="s">
        <v>158</v>
      </c>
      <c r="M1616" s="30" t="s">
        <v>7352</v>
      </c>
      <c r="N1616" s="30" t="s">
        <v>145</v>
      </c>
      <c r="O1616" s="30" t="s">
        <v>145</v>
      </c>
      <c r="P1616" s="30" t="s">
        <v>145</v>
      </c>
      <c r="Q1616" s="30" t="s">
        <v>156</v>
      </c>
    </row>
    <row r="1617" hidden="1">
      <c r="A1617" s="33" t="str">
        <f>hyperlink("https://issues.sierrawireless.com/browse/OEMPRI-6552", "OEMPRI-6552")</f>
        <v>OEMPRI-6552</v>
      </c>
      <c r="B1617" s="30" t="s">
        <v>139</v>
      </c>
      <c r="C1617" s="30" t="s">
        <v>310</v>
      </c>
      <c r="D1617" s="30" t="s">
        <v>310</v>
      </c>
      <c r="E1617" s="35">
        <v>43180.0</v>
      </c>
      <c r="F1617" s="37" t="s">
        <v>143</v>
      </c>
      <c r="G1617" s="30" t="s">
        <v>314</v>
      </c>
      <c r="H1617" s="30" t="s">
        <v>145</v>
      </c>
      <c r="I1617" s="30" t="s">
        <v>145</v>
      </c>
      <c r="J1617" s="30" t="s">
        <v>145</v>
      </c>
      <c r="K1617" s="30" t="s">
        <v>145</v>
      </c>
      <c r="L1617" s="30" t="s">
        <v>145</v>
      </c>
      <c r="M1617" s="30" t="s">
        <v>145</v>
      </c>
      <c r="N1617" s="30" t="s">
        <v>145</v>
      </c>
      <c r="O1617" s="30" t="s">
        <v>145</v>
      </c>
      <c r="P1617" s="30" t="s">
        <v>145</v>
      </c>
      <c r="Q1617" s="30" t="s">
        <v>314</v>
      </c>
    </row>
    <row r="1618" hidden="1">
      <c r="A1618" s="33" t="str">
        <f>hyperlink("https://issues.sierrawireless.com/browse/OEMPRI-6558", "OEMPRI-6558")</f>
        <v>OEMPRI-6558</v>
      </c>
      <c r="B1618" s="30" t="s">
        <v>139</v>
      </c>
      <c r="C1618" s="30" t="s">
        <v>310</v>
      </c>
      <c r="D1618" s="30" t="s">
        <v>310</v>
      </c>
      <c r="E1618" s="35">
        <v>43180.0</v>
      </c>
      <c r="F1618" s="37" t="s">
        <v>143</v>
      </c>
      <c r="G1618" s="30" t="s">
        <v>314</v>
      </c>
      <c r="H1618" s="30" t="s">
        <v>145</v>
      </c>
      <c r="I1618" s="30" t="s">
        <v>145</v>
      </c>
      <c r="J1618" s="30" t="s">
        <v>145</v>
      </c>
      <c r="K1618" s="30" t="s">
        <v>145</v>
      </c>
      <c r="L1618" s="30" t="s">
        <v>145</v>
      </c>
      <c r="M1618" s="30" t="s">
        <v>145</v>
      </c>
      <c r="N1618" s="30" t="s">
        <v>145</v>
      </c>
      <c r="O1618" s="30" t="s">
        <v>145</v>
      </c>
      <c r="P1618" s="30" t="s">
        <v>145</v>
      </c>
      <c r="Q1618" s="30" t="s">
        <v>314</v>
      </c>
    </row>
    <row r="1619" hidden="1">
      <c r="A1619" s="33" t="str">
        <f>hyperlink("https://issues.sierrawireless.com/browse/OEMPRI-7325", "OEMPRI-7325")</f>
        <v>OEMPRI-7325</v>
      </c>
      <c r="B1619" s="30" t="s">
        <v>139</v>
      </c>
      <c r="C1619" s="30" t="s">
        <v>141</v>
      </c>
      <c r="D1619" s="30" t="s">
        <v>141</v>
      </c>
      <c r="E1619" s="35">
        <v>43255.0</v>
      </c>
      <c r="F1619" s="37" t="s">
        <v>143</v>
      </c>
      <c r="G1619" s="30" t="s">
        <v>7354</v>
      </c>
      <c r="H1619" s="30" t="s">
        <v>145</v>
      </c>
      <c r="I1619" s="30" t="s">
        <v>145</v>
      </c>
      <c r="J1619" s="30" t="s">
        <v>145</v>
      </c>
      <c r="K1619" s="30" t="s">
        <v>145</v>
      </c>
      <c r="L1619" s="30" t="s">
        <v>145</v>
      </c>
      <c r="M1619" s="30" t="s">
        <v>145</v>
      </c>
      <c r="N1619" s="30" t="s">
        <v>145</v>
      </c>
      <c r="O1619" s="30" t="s">
        <v>145</v>
      </c>
      <c r="P1619" s="30" t="s">
        <v>145</v>
      </c>
      <c r="Q1619" s="30" t="s">
        <v>180</v>
      </c>
    </row>
    <row r="1620" hidden="1">
      <c r="A1620" s="33" t="str">
        <f>hyperlink("https://issues.sierrawireless.com/browse/OEMPRI-6563", "OEMPRI-6563")</f>
        <v>OEMPRI-6563</v>
      </c>
      <c r="B1620" s="30" t="s">
        <v>139</v>
      </c>
      <c r="C1620" s="30" t="s">
        <v>140</v>
      </c>
      <c r="D1620" s="30" t="s">
        <v>1235</v>
      </c>
      <c r="E1620" s="35">
        <v>43181.0</v>
      </c>
      <c r="F1620" s="37" t="s">
        <v>150</v>
      </c>
      <c r="G1620" s="30" t="s">
        <v>146</v>
      </c>
      <c r="H1620" s="30" t="s">
        <v>145</v>
      </c>
      <c r="I1620" s="30" t="s">
        <v>145</v>
      </c>
      <c r="J1620" s="30" t="s">
        <v>145</v>
      </c>
      <c r="K1620" s="30" t="s">
        <v>145</v>
      </c>
      <c r="L1620" s="30" t="s">
        <v>145</v>
      </c>
      <c r="M1620" s="30" t="s">
        <v>145</v>
      </c>
      <c r="N1620" s="30" t="s">
        <v>145</v>
      </c>
      <c r="O1620" s="30" t="s">
        <v>145</v>
      </c>
      <c r="P1620" s="30" t="s">
        <v>145</v>
      </c>
      <c r="Q1620" s="30" t="s">
        <v>146</v>
      </c>
    </row>
    <row r="1621" hidden="1">
      <c r="A1621" s="33" t="str">
        <f>hyperlink("https://issues.sierrawireless.com/browse/OEMPRI-7130", "OEMPRI-7130")</f>
        <v>OEMPRI-7130</v>
      </c>
      <c r="B1621" s="30" t="s">
        <v>139</v>
      </c>
      <c r="C1621" s="30" t="s">
        <v>148</v>
      </c>
      <c r="D1621" s="30" t="s">
        <v>141</v>
      </c>
      <c r="E1621" s="35">
        <v>43234.0</v>
      </c>
      <c r="F1621" s="37" t="s">
        <v>150</v>
      </c>
      <c r="G1621" s="30" t="s">
        <v>503</v>
      </c>
      <c r="H1621" s="30" t="s">
        <v>145</v>
      </c>
      <c r="I1621" s="30" t="s">
        <v>146</v>
      </c>
      <c r="J1621" s="30" t="s">
        <v>189</v>
      </c>
      <c r="K1621" s="30" t="s">
        <v>152</v>
      </c>
      <c r="L1621" s="30" t="s">
        <v>152</v>
      </c>
      <c r="M1621" s="30" t="s">
        <v>2602</v>
      </c>
      <c r="N1621" s="30" t="s">
        <v>145</v>
      </c>
      <c r="O1621" s="30" t="s">
        <v>145</v>
      </c>
      <c r="P1621" s="30" t="s">
        <v>145</v>
      </c>
      <c r="Q1621" s="30" t="s">
        <v>556</v>
      </c>
    </row>
    <row r="1622" hidden="1">
      <c r="A1622" s="33" t="str">
        <f>hyperlink("https://issues.sierrawireless.com/browse/OEMPRI-6036", "OEMPRI-6036")</f>
        <v>OEMPRI-6036</v>
      </c>
      <c r="B1622" s="30" t="s">
        <v>139</v>
      </c>
      <c r="C1622" s="30" t="s">
        <v>148</v>
      </c>
      <c r="D1622" s="30" t="s">
        <v>177</v>
      </c>
      <c r="E1622" s="35">
        <v>43125.0</v>
      </c>
      <c r="F1622" s="37" t="s">
        <v>150</v>
      </c>
      <c r="G1622" s="30" t="s">
        <v>7355</v>
      </c>
      <c r="H1622" s="30" t="s">
        <v>152</v>
      </c>
      <c r="I1622" s="30" t="s">
        <v>146</v>
      </c>
      <c r="J1622" s="30" t="s">
        <v>618</v>
      </c>
      <c r="K1622" s="30" t="s">
        <v>152</v>
      </c>
      <c r="L1622" s="30" t="s">
        <v>152</v>
      </c>
      <c r="M1622" s="30" t="s">
        <v>2876</v>
      </c>
      <c r="N1622" s="30" t="s">
        <v>152</v>
      </c>
      <c r="O1622" s="30" t="s">
        <v>152</v>
      </c>
      <c r="P1622" s="30" t="s">
        <v>152</v>
      </c>
      <c r="Q1622" s="30" t="s">
        <v>166</v>
      </c>
    </row>
    <row r="1623" hidden="1">
      <c r="A1623" s="33" t="str">
        <f>hyperlink("https://issues.sierrawireless.com/browse/OEMPRI-6784", "OEMPRI-6784")</f>
        <v>OEMPRI-6784</v>
      </c>
      <c r="B1623" s="30" t="s">
        <v>139</v>
      </c>
      <c r="C1623" s="30" t="s">
        <v>170</v>
      </c>
      <c r="D1623" s="30" t="s">
        <v>337</v>
      </c>
      <c r="E1623" s="35">
        <v>43203.0</v>
      </c>
      <c r="F1623" s="37" t="s">
        <v>150</v>
      </c>
      <c r="G1623" s="30" t="s">
        <v>222</v>
      </c>
      <c r="H1623" s="30" t="s">
        <v>223</v>
      </c>
      <c r="I1623" s="30" t="s">
        <v>146</v>
      </c>
      <c r="J1623" s="30" t="s">
        <v>407</v>
      </c>
      <c r="K1623" s="30" t="s">
        <v>152</v>
      </c>
      <c r="L1623" s="30" t="s">
        <v>152</v>
      </c>
      <c r="M1623" s="30" t="s">
        <v>7356</v>
      </c>
      <c r="N1623" s="30" t="s">
        <v>145</v>
      </c>
      <c r="O1623" s="30" t="s">
        <v>145</v>
      </c>
      <c r="P1623" s="30" t="s">
        <v>145</v>
      </c>
      <c r="Q1623" s="30" t="s">
        <v>743</v>
      </c>
    </row>
    <row r="1624" hidden="1">
      <c r="A1624" s="33" t="str">
        <f>hyperlink("https://issues.sierrawireless.com/browse/OEMPRI-6004", "OEMPRI-6004")</f>
        <v>OEMPRI-6004</v>
      </c>
      <c r="B1624" s="30" t="s">
        <v>139</v>
      </c>
      <c r="C1624" s="30" t="s">
        <v>148</v>
      </c>
      <c r="D1624" s="30" t="s">
        <v>177</v>
      </c>
      <c r="E1624" s="35">
        <v>43124.0</v>
      </c>
      <c r="F1624" s="37" t="s">
        <v>150</v>
      </c>
      <c r="G1624" s="30" t="s">
        <v>3050</v>
      </c>
      <c r="H1624" s="30" t="s">
        <v>152</v>
      </c>
      <c r="I1624" s="30" t="s">
        <v>146</v>
      </c>
      <c r="J1624" s="30" t="s">
        <v>4374</v>
      </c>
      <c r="K1624" s="30" t="s">
        <v>152</v>
      </c>
      <c r="L1624" s="30" t="s">
        <v>152</v>
      </c>
      <c r="M1624" s="30" t="s">
        <v>7357</v>
      </c>
      <c r="N1624" s="30" t="s">
        <v>152</v>
      </c>
      <c r="O1624" s="30" t="s">
        <v>152</v>
      </c>
      <c r="P1624" s="30" t="s">
        <v>152</v>
      </c>
      <c r="Q1624" s="30" t="s">
        <v>166</v>
      </c>
    </row>
    <row r="1625" hidden="1">
      <c r="A1625" s="33" t="str">
        <f>hyperlink("https://issues.sierrawireless.com/browse/OEMPRI-5965", "OEMPRI-5965")</f>
        <v>OEMPRI-5965</v>
      </c>
      <c r="B1625" s="30" t="s">
        <v>139</v>
      </c>
      <c r="C1625" s="30" t="s">
        <v>140</v>
      </c>
      <c r="D1625" s="30" t="s">
        <v>140</v>
      </c>
      <c r="E1625" s="35">
        <v>43123.0</v>
      </c>
      <c r="F1625" s="37" t="s">
        <v>143</v>
      </c>
      <c r="G1625" s="30" t="s">
        <v>5749</v>
      </c>
      <c r="H1625" s="30" t="s">
        <v>145</v>
      </c>
      <c r="I1625" s="30" t="s">
        <v>145</v>
      </c>
      <c r="J1625" s="30" t="s">
        <v>145</v>
      </c>
      <c r="K1625" s="30" t="s">
        <v>145</v>
      </c>
      <c r="L1625" s="30" t="s">
        <v>145</v>
      </c>
      <c r="M1625" s="30" t="s">
        <v>145</v>
      </c>
      <c r="N1625" s="30" t="s">
        <v>145</v>
      </c>
      <c r="O1625" s="30" t="s">
        <v>145</v>
      </c>
      <c r="P1625" s="30" t="s">
        <v>145</v>
      </c>
      <c r="Q1625" s="30" t="s">
        <v>146</v>
      </c>
    </row>
    <row r="1626" hidden="1">
      <c r="A1626" s="33" t="str">
        <f>hyperlink("https://issues.sierrawireless.com/browse/OEMPRI-7323", "OEMPRI-7323")</f>
        <v>OEMPRI-7323</v>
      </c>
      <c r="B1626" s="30" t="s">
        <v>139</v>
      </c>
      <c r="C1626" s="30" t="s">
        <v>148</v>
      </c>
      <c r="D1626" s="30" t="s">
        <v>141</v>
      </c>
      <c r="E1626" s="35">
        <v>43255.0</v>
      </c>
      <c r="F1626" s="37" t="s">
        <v>150</v>
      </c>
      <c r="G1626" s="30" t="s">
        <v>152</v>
      </c>
      <c r="H1626" s="30" t="s">
        <v>145</v>
      </c>
      <c r="I1626" s="30" t="s">
        <v>145</v>
      </c>
      <c r="J1626" s="30" t="s">
        <v>145</v>
      </c>
      <c r="K1626" s="30" t="s">
        <v>145</v>
      </c>
      <c r="L1626" s="30" t="s">
        <v>145</v>
      </c>
      <c r="M1626" s="30" t="s">
        <v>145</v>
      </c>
      <c r="N1626" s="30" t="s">
        <v>145</v>
      </c>
      <c r="O1626" s="30" t="s">
        <v>145</v>
      </c>
      <c r="P1626" s="30" t="s">
        <v>145</v>
      </c>
      <c r="Q1626" s="30" t="s">
        <v>152</v>
      </c>
    </row>
    <row r="1627" hidden="1">
      <c r="A1627" s="33" t="str">
        <f>hyperlink("https://issues.sierrawireless.com/browse/OEMPRI-7326", "OEMPRI-7326")</f>
        <v>OEMPRI-7326</v>
      </c>
      <c r="B1627" s="30" t="s">
        <v>139</v>
      </c>
      <c r="C1627" s="30" t="s">
        <v>141</v>
      </c>
      <c r="D1627" s="30" t="s">
        <v>141</v>
      </c>
      <c r="E1627" s="35">
        <v>43255.0</v>
      </c>
      <c r="F1627" s="37" t="s">
        <v>143</v>
      </c>
      <c r="G1627" s="30" t="s">
        <v>5821</v>
      </c>
      <c r="H1627" s="30" t="s">
        <v>145</v>
      </c>
      <c r="I1627" s="30" t="s">
        <v>145</v>
      </c>
      <c r="J1627" s="30" t="s">
        <v>145</v>
      </c>
      <c r="K1627" s="30" t="s">
        <v>145</v>
      </c>
      <c r="L1627" s="30" t="s">
        <v>145</v>
      </c>
      <c r="M1627" s="30" t="s">
        <v>145</v>
      </c>
      <c r="N1627" s="30" t="s">
        <v>145</v>
      </c>
      <c r="O1627" s="30" t="s">
        <v>145</v>
      </c>
      <c r="P1627" s="30" t="s">
        <v>145</v>
      </c>
      <c r="Q1627" s="30" t="s">
        <v>180</v>
      </c>
    </row>
    <row r="1628" hidden="1">
      <c r="A1628" s="33" t="str">
        <f>hyperlink("https://issues.sierrawireless.com/browse/OEMPRI-7611", "OEMPRI-7611")</f>
        <v>OEMPRI-7611</v>
      </c>
      <c r="B1628" s="30" t="s">
        <v>139</v>
      </c>
      <c r="C1628" s="30" t="s">
        <v>170</v>
      </c>
      <c r="D1628" s="30" t="s">
        <v>140</v>
      </c>
      <c r="E1628" s="35">
        <v>43285.0</v>
      </c>
      <c r="F1628" s="37" t="s">
        <v>150</v>
      </c>
      <c r="G1628" s="30" t="s">
        <v>223</v>
      </c>
      <c r="H1628" s="30" t="s">
        <v>145</v>
      </c>
      <c r="I1628" s="30" t="s">
        <v>223</v>
      </c>
      <c r="J1628" s="30" t="s">
        <v>1737</v>
      </c>
      <c r="K1628" s="30" t="s">
        <v>407</v>
      </c>
      <c r="L1628" s="30" t="s">
        <v>407</v>
      </c>
      <c r="M1628" s="30" t="s">
        <v>5456</v>
      </c>
      <c r="N1628" s="30" t="s">
        <v>145</v>
      </c>
      <c r="O1628" s="30" t="s">
        <v>145</v>
      </c>
      <c r="P1628" s="30" t="s">
        <v>145</v>
      </c>
      <c r="Q1628" s="30" t="s">
        <v>743</v>
      </c>
    </row>
    <row r="1629" hidden="1">
      <c r="A1629" s="33" t="str">
        <f>hyperlink("https://issues.sierrawireless.com/browse/OEMPRI-7287", "OEMPRI-7287")</f>
        <v>OEMPRI-7287</v>
      </c>
      <c r="B1629" s="30" t="s">
        <v>139</v>
      </c>
      <c r="C1629" s="30" t="s">
        <v>170</v>
      </c>
      <c r="D1629" s="30" t="s">
        <v>170</v>
      </c>
      <c r="E1629" s="35">
        <v>43251.0</v>
      </c>
      <c r="F1629" s="37" t="s">
        <v>184</v>
      </c>
      <c r="G1629" s="30" t="s">
        <v>654</v>
      </c>
      <c r="H1629" s="30" t="s">
        <v>146</v>
      </c>
      <c r="I1629" s="30" t="s">
        <v>146</v>
      </c>
      <c r="J1629" s="30" t="s">
        <v>618</v>
      </c>
      <c r="K1629" s="30" t="s">
        <v>152</v>
      </c>
      <c r="L1629" s="30" t="s">
        <v>5521</v>
      </c>
      <c r="M1629" s="30" t="s">
        <v>145</v>
      </c>
      <c r="N1629" s="30" t="s">
        <v>145</v>
      </c>
      <c r="O1629" s="30" t="s">
        <v>145</v>
      </c>
      <c r="P1629" s="30" t="s">
        <v>145</v>
      </c>
      <c r="Q1629" s="30" t="s">
        <v>743</v>
      </c>
    </row>
    <row r="1630" hidden="1">
      <c r="A1630" s="33" t="str">
        <f>hyperlink("https://issues.sierrawireless.com/browse/OEMPRI-7289", "OEMPRI-7289")</f>
        <v>OEMPRI-7289</v>
      </c>
      <c r="B1630" s="30" t="s">
        <v>139</v>
      </c>
      <c r="C1630" s="30" t="s">
        <v>148</v>
      </c>
      <c r="D1630" s="30" t="s">
        <v>216</v>
      </c>
      <c r="E1630" s="35">
        <v>43251.0</v>
      </c>
      <c r="F1630" s="37" t="s">
        <v>150</v>
      </c>
      <c r="G1630" s="30" t="s">
        <v>1131</v>
      </c>
      <c r="H1630" s="30" t="s">
        <v>145</v>
      </c>
      <c r="I1630" s="30" t="s">
        <v>152</v>
      </c>
      <c r="J1630" s="30" t="s">
        <v>146</v>
      </c>
      <c r="K1630" s="30" t="s">
        <v>146</v>
      </c>
      <c r="L1630" s="30" t="s">
        <v>146</v>
      </c>
      <c r="M1630" s="30" t="s">
        <v>185</v>
      </c>
      <c r="N1630" s="30" t="s">
        <v>152</v>
      </c>
      <c r="O1630" s="30" t="s">
        <v>1774</v>
      </c>
      <c r="P1630" s="30" t="s">
        <v>152</v>
      </c>
      <c r="Q1630" s="30" t="s">
        <v>152</v>
      </c>
    </row>
    <row r="1631" hidden="1">
      <c r="A1631" s="33" t="str">
        <f>hyperlink("https://issues.sierrawireless.com/browse/OEMPRI-6728", "OEMPRI-6728")</f>
        <v>OEMPRI-6728</v>
      </c>
      <c r="B1631" s="30" t="s">
        <v>139</v>
      </c>
      <c r="C1631" s="30" t="s">
        <v>148</v>
      </c>
      <c r="D1631" s="30" t="s">
        <v>122</v>
      </c>
      <c r="E1631" s="35">
        <v>43199.0</v>
      </c>
      <c r="F1631" s="37" t="s">
        <v>150</v>
      </c>
      <c r="G1631" s="30" t="s">
        <v>210</v>
      </c>
      <c r="H1631" s="30" t="s">
        <v>212</v>
      </c>
      <c r="I1631" s="30" t="s">
        <v>212</v>
      </c>
      <c r="J1631" s="30" t="s">
        <v>212</v>
      </c>
      <c r="K1631" s="30" t="s">
        <v>2196</v>
      </c>
      <c r="L1631" s="30" t="s">
        <v>213</v>
      </c>
      <c r="M1631" s="30" t="s">
        <v>7361</v>
      </c>
      <c r="N1631" s="30" t="s">
        <v>152</v>
      </c>
      <c r="O1631" s="30" t="s">
        <v>152</v>
      </c>
      <c r="P1631" s="30" t="s">
        <v>152</v>
      </c>
      <c r="Q1631" s="30" t="s">
        <v>152</v>
      </c>
    </row>
    <row r="1632" hidden="1">
      <c r="A1632" s="33" t="str">
        <f>hyperlink("https://issues.sierrawireless.com/browse/OEMPRI-7263", "OEMPRI-7263")</f>
        <v>OEMPRI-7263</v>
      </c>
      <c r="B1632" s="30" t="s">
        <v>139</v>
      </c>
      <c r="C1632" s="30" t="s">
        <v>148</v>
      </c>
      <c r="D1632" s="30" t="s">
        <v>141</v>
      </c>
      <c r="E1632" s="35">
        <v>43249.0</v>
      </c>
      <c r="F1632" s="37" t="s">
        <v>150</v>
      </c>
      <c r="G1632" s="30" t="s">
        <v>146</v>
      </c>
      <c r="H1632" s="30" t="s">
        <v>146</v>
      </c>
      <c r="I1632" s="30" t="s">
        <v>438</v>
      </c>
      <c r="J1632" s="30" t="s">
        <v>189</v>
      </c>
      <c r="K1632" s="30" t="s">
        <v>152</v>
      </c>
      <c r="L1632" s="30" t="s">
        <v>152</v>
      </c>
      <c r="M1632" s="30" t="s">
        <v>2434</v>
      </c>
      <c r="N1632" s="30" t="s">
        <v>145</v>
      </c>
      <c r="O1632" s="30" t="s">
        <v>145</v>
      </c>
      <c r="P1632" s="30" t="s">
        <v>145</v>
      </c>
      <c r="Q1632" s="30" t="s">
        <v>151</v>
      </c>
    </row>
    <row r="1633" hidden="1">
      <c r="A1633" s="33" t="str">
        <f>hyperlink("https://issues.sierrawireless.com/browse/OEMPRI-6643", "OEMPRI-6643")</f>
        <v>OEMPRI-6643</v>
      </c>
      <c r="B1633" s="30" t="s">
        <v>139</v>
      </c>
      <c r="C1633" s="30" t="s">
        <v>140</v>
      </c>
      <c r="D1633" s="30" t="s">
        <v>141</v>
      </c>
      <c r="E1633" s="35">
        <v>43187.0</v>
      </c>
      <c r="F1633" s="37" t="s">
        <v>143</v>
      </c>
      <c r="G1633" s="30" t="s">
        <v>146</v>
      </c>
      <c r="H1633" s="30" t="s">
        <v>145</v>
      </c>
      <c r="I1633" s="30" t="s">
        <v>145</v>
      </c>
      <c r="J1633" s="30" t="s">
        <v>145</v>
      </c>
      <c r="K1633" s="30" t="s">
        <v>145</v>
      </c>
      <c r="L1633" s="30" t="s">
        <v>145</v>
      </c>
      <c r="M1633" s="30" t="s">
        <v>145</v>
      </c>
      <c r="N1633" s="30" t="s">
        <v>145</v>
      </c>
      <c r="O1633" s="30" t="s">
        <v>145</v>
      </c>
      <c r="P1633" s="30" t="s">
        <v>145</v>
      </c>
      <c r="Q1633" s="30" t="s">
        <v>146</v>
      </c>
    </row>
    <row r="1634" hidden="1">
      <c r="A1634" s="33" t="str">
        <f>hyperlink("https://issues.sierrawireless.com/browse/OEMPRI-7266", "OEMPRI-7266")</f>
        <v>OEMPRI-7266</v>
      </c>
      <c r="B1634" s="30" t="s">
        <v>139</v>
      </c>
      <c r="C1634" s="30" t="s">
        <v>148</v>
      </c>
      <c r="D1634" s="30" t="s">
        <v>141</v>
      </c>
      <c r="E1634" s="35">
        <v>43249.0</v>
      </c>
      <c r="F1634" s="37" t="s">
        <v>143</v>
      </c>
      <c r="G1634" s="30" t="s">
        <v>199</v>
      </c>
      <c r="H1634" s="30" t="s">
        <v>145</v>
      </c>
      <c r="I1634" s="30" t="s">
        <v>145</v>
      </c>
      <c r="J1634" s="30" t="s">
        <v>145</v>
      </c>
      <c r="K1634" s="30" t="s">
        <v>145</v>
      </c>
      <c r="L1634" s="30" t="s">
        <v>145</v>
      </c>
      <c r="M1634" s="30" t="s">
        <v>145</v>
      </c>
      <c r="N1634" s="30" t="s">
        <v>145</v>
      </c>
      <c r="O1634" s="30" t="s">
        <v>145</v>
      </c>
      <c r="P1634" s="30" t="s">
        <v>145</v>
      </c>
      <c r="Q1634" s="30" t="s">
        <v>152</v>
      </c>
    </row>
    <row r="1635" hidden="1">
      <c r="A1635" s="33" t="str">
        <f>hyperlink("https://issues.sierrawireless.com/browse/OEMPRI-6651", "OEMPRI-6651")</f>
        <v>OEMPRI-6651</v>
      </c>
      <c r="B1635" s="30" t="s">
        <v>139</v>
      </c>
      <c r="C1635" s="30" t="s">
        <v>310</v>
      </c>
      <c r="D1635" s="30" t="s">
        <v>310</v>
      </c>
      <c r="E1635" s="35">
        <v>43187.0</v>
      </c>
      <c r="F1635" s="37" t="s">
        <v>143</v>
      </c>
      <c r="G1635" s="30" t="s">
        <v>314</v>
      </c>
      <c r="H1635" s="30" t="s">
        <v>145</v>
      </c>
      <c r="I1635" s="30" t="s">
        <v>145</v>
      </c>
      <c r="J1635" s="30" t="s">
        <v>145</v>
      </c>
      <c r="K1635" s="30" t="s">
        <v>145</v>
      </c>
      <c r="L1635" s="30" t="s">
        <v>145</v>
      </c>
      <c r="M1635" s="30" t="s">
        <v>145</v>
      </c>
      <c r="N1635" s="30" t="s">
        <v>145</v>
      </c>
      <c r="O1635" s="30" t="s">
        <v>145</v>
      </c>
      <c r="P1635" s="30" t="s">
        <v>145</v>
      </c>
      <c r="Q1635" s="30" t="s">
        <v>314</v>
      </c>
    </row>
    <row r="1636" hidden="1">
      <c r="A1636" s="33" t="str">
        <f>hyperlink("https://issues.sierrawireless.com/browse/OEMPRI-7255", "OEMPRI-7255")</f>
        <v>OEMPRI-7255</v>
      </c>
      <c r="B1636" s="30" t="s">
        <v>139</v>
      </c>
      <c r="C1636" s="30" t="s">
        <v>536</v>
      </c>
      <c r="D1636" s="30" t="s">
        <v>536</v>
      </c>
      <c r="E1636" s="35">
        <v>43248.0</v>
      </c>
      <c r="F1636" s="37" t="s">
        <v>143</v>
      </c>
      <c r="G1636" s="30" t="s">
        <v>7364</v>
      </c>
      <c r="H1636" s="30" t="s">
        <v>145</v>
      </c>
      <c r="I1636" s="30" t="s">
        <v>145</v>
      </c>
      <c r="J1636" s="30" t="s">
        <v>145</v>
      </c>
      <c r="K1636" s="30" t="s">
        <v>145</v>
      </c>
      <c r="L1636" s="30" t="s">
        <v>145</v>
      </c>
      <c r="M1636" s="30" t="s">
        <v>145</v>
      </c>
      <c r="N1636" s="30" t="s">
        <v>145</v>
      </c>
      <c r="O1636" s="30" t="s">
        <v>145</v>
      </c>
      <c r="P1636" s="30" t="s">
        <v>145</v>
      </c>
      <c r="Q1636" s="30" t="s">
        <v>7366</v>
      </c>
    </row>
    <row r="1637" hidden="1">
      <c r="A1637" s="33" t="str">
        <f>hyperlink("https://issues.sierrawireless.com/browse/OEMPRI-7250", "OEMPRI-7250")</f>
        <v>OEMPRI-7250</v>
      </c>
      <c r="B1637" s="30" t="s">
        <v>139</v>
      </c>
      <c r="C1637" s="30" t="s">
        <v>170</v>
      </c>
      <c r="D1637" s="30" t="s">
        <v>170</v>
      </c>
      <c r="E1637" s="35">
        <v>43245.0</v>
      </c>
      <c r="F1637" s="37" t="s">
        <v>150</v>
      </c>
      <c r="G1637" s="30" t="s">
        <v>185</v>
      </c>
      <c r="H1637" s="30" t="s">
        <v>146</v>
      </c>
      <c r="I1637" s="30" t="s">
        <v>146</v>
      </c>
      <c r="J1637" s="30" t="s">
        <v>407</v>
      </c>
      <c r="K1637" s="30" t="s">
        <v>152</v>
      </c>
      <c r="L1637" s="30" t="s">
        <v>152</v>
      </c>
      <c r="M1637" s="30" t="s">
        <v>7367</v>
      </c>
      <c r="N1637" s="30" t="s">
        <v>145</v>
      </c>
      <c r="O1637" s="30" t="s">
        <v>145</v>
      </c>
      <c r="P1637" s="30" t="s">
        <v>145</v>
      </c>
      <c r="Q1637" s="30" t="s">
        <v>4040</v>
      </c>
    </row>
    <row r="1638" hidden="1">
      <c r="A1638" s="33" t="str">
        <f>hyperlink("https://issues.sierrawireless.com/browse/OEMPRI-6593", "OEMPRI-6593")</f>
        <v>OEMPRI-6593</v>
      </c>
      <c r="B1638" s="30" t="s">
        <v>139</v>
      </c>
      <c r="C1638" s="30" t="s">
        <v>148</v>
      </c>
      <c r="D1638" s="30" t="s">
        <v>337</v>
      </c>
      <c r="E1638" s="35">
        <v>43182.0</v>
      </c>
      <c r="F1638" s="37" t="s">
        <v>150</v>
      </c>
      <c r="G1638" s="30" t="s">
        <v>503</v>
      </c>
      <c r="H1638" s="30" t="s">
        <v>146</v>
      </c>
      <c r="I1638" s="30" t="s">
        <v>144</v>
      </c>
      <c r="J1638" s="30" t="s">
        <v>3185</v>
      </c>
      <c r="K1638" s="30" t="s">
        <v>152</v>
      </c>
      <c r="L1638" s="30" t="s">
        <v>152</v>
      </c>
      <c r="M1638" s="30" t="s">
        <v>7368</v>
      </c>
      <c r="N1638" s="30" t="s">
        <v>145</v>
      </c>
      <c r="O1638" s="30" t="s">
        <v>145</v>
      </c>
      <c r="P1638" s="30" t="s">
        <v>145</v>
      </c>
      <c r="Q1638" s="30" t="s">
        <v>213</v>
      </c>
    </row>
    <row r="1639">
      <c r="A1639" s="33" t="str">
        <f>hyperlink("https://issues.sierrawireless.com/browse/OEMPRI-8119", "OEMPRI-8119")</f>
        <v>OEMPRI-8119</v>
      </c>
      <c r="B1639" s="30" t="s">
        <v>86</v>
      </c>
      <c r="C1639" s="30" t="s">
        <v>140</v>
      </c>
      <c r="D1639" s="30" t="s">
        <v>153</v>
      </c>
      <c r="E1639" s="35">
        <v>43326.0</v>
      </c>
      <c r="F1639" s="37" t="s">
        <v>269</v>
      </c>
      <c r="G1639" s="30" t="s">
        <v>7009</v>
      </c>
      <c r="H1639" s="30" t="s">
        <v>145</v>
      </c>
      <c r="I1639" s="30" t="s">
        <v>145</v>
      </c>
      <c r="J1639" s="30" t="s">
        <v>145</v>
      </c>
      <c r="K1639" s="30" t="s">
        <v>145</v>
      </c>
      <c r="L1639" s="30" t="s">
        <v>145</v>
      </c>
      <c r="M1639" s="30" t="s">
        <v>145</v>
      </c>
      <c r="N1639" s="30" t="s">
        <v>145</v>
      </c>
      <c r="O1639" s="30" t="s">
        <v>145</v>
      </c>
      <c r="P1639" s="30" t="s">
        <v>145</v>
      </c>
      <c r="Q1639" s="30" t="s">
        <v>166</v>
      </c>
    </row>
    <row r="1640" hidden="1">
      <c r="A1640" s="33" t="str">
        <f>hyperlink("https://issues.sierrawireless.com/browse/OEMPRI-6312", "OEMPRI-6312")</f>
        <v>OEMPRI-6312</v>
      </c>
      <c r="B1640" s="30" t="s">
        <v>139</v>
      </c>
      <c r="C1640" s="30" t="s">
        <v>120</v>
      </c>
      <c r="D1640" s="30" t="s">
        <v>726</v>
      </c>
      <c r="E1640" s="35">
        <v>43159.0</v>
      </c>
      <c r="F1640" s="37" t="s">
        <v>150</v>
      </c>
      <c r="G1640" s="30" t="s">
        <v>120</v>
      </c>
      <c r="H1640" s="30" t="s">
        <v>7369</v>
      </c>
      <c r="I1640" s="30" t="s">
        <v>212</v>
      </c>
      <c r="J1640" s="30" t="s">
        <v>212</v>
      </c>
      <c r="K1640" s="30" t="s">
        <v>7370</v>
      </c>
      <c r="L1640" s="30" t="s">
        <v>152</v>
      </c>
      <c r="M1640" s="30" t="s">
        <v>7371</v>
      </c>
      <c r="N1640" s="30" t="s">
        <v>1291</v>
      </c>
      <c r="O1640" s="30" t="s">
        <v>145</v>
      </c>
      <c r="P1640" s="30" t="s">
        <v>145</v>
      </c>
      <c r="Q1640" s="30" t="s">
        <v>212</v>
      </c>
    </row>
    <row r="1641" hidden="1">
      <c r="A1641" s="33" t="str">
        <f>hyperlink("https://issues.sierrawireless.com/browse/OEMPRI-5954", "OEMPRI-5954")</f>
        <v>OEMPRI-5954</v>
      </c>
      <c r="B1641" s="30" t="s">
        <v>139</v>
      </c>
      <c r="C1641" s="30" t="s">
        <v>148</v>
      </c>
      <c r="D1641" s="30" t="s">
        <v>216</v>
      </c>
      <c r="E1641" s="35">
        <v>43122.0</v>
      </c>
      <c r="F1641" s="37" t="s">
        <v>150</v>
      </c>
      <c r="G1641" s="30" t="s">
        <v>1441</v>
      </c>
      <c r="H1641" s="30" t="s">
        <v>146</v>
      </c>
      <c r="I1641" s="30" t="s">
        <v>146</v>
      </c>
      <c r="J1641" s="30" t="s">
        <v>146</v>
      </c>
      <c r="K1641" s="30" t="s">
        <v>7372</v>
      </c>
      <c r="L1641" s="30" t="s">
        <v>145</v>
      </c>
      <c r="M1641" s="30" t="s">
        <v>145</v>
      </c>
      <c r="N1641" s="30" t="s">
        <v>145</v>
      </c>
      <c r="O1641" s="30" t="s">
        <v>145</v>
      </c>
      <c r="P1641" s="30" t="s">
        <v>145</v>
      </c>
      <c r="Q1641" s="30" t="s">
        <v>152</v>
      </c>
    </row>
    <row r="1642" hidden="1">
      <c r="A1642" s="33" t="str">
        <f>hyperlink("https://issues.sierrawireless.com/browse/OEMPRI-6301", "OEMPRI-6301")</f>
        <v>OEMPRI-6301</v>
      </c>
      <c r="B1642" s="30" t="s">
        <v>139</v>
      </c>
      <c r="C1642" s="30" t="s">
        <v>148</v>
      </c>
      <c r="D1642" s="30" t="s">
        <v>609</v>
      </c>
      <c r="E1642" s="35">
        <v>43157.0</v>
      </c>
      <c r="F1642" s="37" t="s">
        <v>150</v>
      </c>
      <c r="G1642" s="30" t="s">
        <v>3303</v>
      </c>
      <c r="H1642" s="30" t="s">
        <v>223</v>
      </c>
      <c r="I1642" s="30" t="s">
        <v>146</v>
      </c>
      <c r="J1642" s="30" t="s">
        <v>189</v>
      </c>
      <c r="K1642" s="30" t="s">
        <v>152</v>
      </c>
      <c r="L1642" s="30" t="s">
        <v>152</v>
      </c>
      <c r="M1642" s="30" t="s">
        <v>882</v>
      </c>
      <c r="N1642" s="30" t="s">
        <v>152</v>
      </c>
      <c r="O1642" s="30" t="s">
        <v>152</v>
      </c>
      <c r="P1642" s="30" t="s">
        <v>152</v>
      </c>
      <c r="Q1642" s="30" t="s">
        <v>152</v>
      </c>
    </row>
    <row r="1643" hidden="1">
      <c r="A1643" s="33" t="str">
        <f>hyperlink("https://issues.sierrawireless.com/browse/OEMPRI-5927", "OEMPRI-5927")</f>
        <v>OEMPRI-5927</v>
      </c>
      <c r="B1643" s="30" t="s">
        <v>139</v>
      </c>
      <c r="C1643" s="30" t="s">
        <v>148</v>
      </c>
      <c r="D1643" s="30" t="s">
        <v>177</v>
      </c>
      <c r="E1643" s="35">
        <v>43119.0</v>
      </c>
      <c r="F1643" s="37" t="s">
        <v>150</v>
      </c>
      <c r="G1643" s="30" t="s">
        <v>654</v>
      </c>
      <c r="H1643" s="30" t="s">
        <v>145</v>
      </c>
      <c r="I1643" s="30" t="s">
        <v>146</v>
      </c>
      <c r="J1643" s="30" t="s">
        <v>152</v>
      </c>
      <c r="K1643" s="30" t="s">
        <v>152</v>
      </c>
      <c r="L1643" s="30" t="s">
        <v>152</v>
      </c>
      <c r="M1643" s="30" t="s">
        <v>7373</v>
      </c>
      <c r="N1643" s="30" t="s">
        <v>213</v>
      </c>
      <c r="O1643" s="30" t="s">
        <v>152</v>
      </c>
      <c r="P1643" s="30" t="s">
        <v>152</v>
      </c>
      <c r="Q1643" s="30" t="s">
        <v>152</v>
      </c>
    </row>
    <row r="1644" hidden="1">
      <c r="A1644" s="33" t="str">
        <f>hyperlink("https://issues.sierrawireless.com/browse/OEMPRI-6610", "OEMPRI-6610")</f>
        <v>OEMPRI-6610</v>
      </c>
      <c r="B1644" s="30" t="s">
        <v>139</v>
      </c>
      <c r="C1644" s="30" t="s">
        <v>1196</v>
      </c>
      <c r="D1644" s="30" t="s">
        <v>122</v>
      </c>
      <c r="E1644" s="35">
        <v>43182.0</v>
      </c>
      <c r="F1644" s="37" t="s">
        <v>150</v>
      </c>
      <c r="G1644" s="30" t="s">
        <v>210</v>
      </c>
      <c r="H1644" s="30" t="s">
        <v>212</v>
      </c>
      <c r="I1644" s="30" t="s">
        <v>212</v>
      </c>
      <c r="J1644" s="30" t="s">
        <v>212</v>
      </c>
      <c r="K1644" s="30" t="s">
        <v>212</v>
      </c>
      <c r="L1644" s="30" t="s">
        <v>212</v>
      </c>
      <c r="M1644" s="30" t="s">
        <v>7374</v>
      </c>
      <c r="N1644" s="30" t="s">
        <v>145</v>
      </c>
      <c r="O1644" s="30" t="s">
        <v>145</v>
      </c>
      <c r="P1644" s="30" t="s">
        <v>145</v>
      </c>
      <c r="Q1644" s="30" t="s">
        <v>3142</v>
      </c>
    </row>
    <row r="1645" hidden="1">
      <c r="A1645" s="33" t="str">
        <f>hyperlink("https://issues.sierrawireless.com/browse/OEMPRI-6210", "OEMPRI-6210")</f>
        <v>OEMPRI-6210</v>
      </c>
      <c r="B1645" s="30" t="s">
        <v>139</v>
      </c>
      <c r="C1645" s="30" t="s">
        <v>122</v>
      </c>
      <c r="D1645" s="30" t="s">
        <v>122</v>
      </c>
      <c r="E1645" s="35">
        <v>43144.0</v>
      </c>
      <c r="F1645" s="37" t="s">
        <v>150</v>
      </c>
      <c r="G1645" s="30" t="s">
        <v>1774</v>
      </c>
      <c r="H1645" s="30" t="s">
        <v>145</v>
      </c>
      <c r="I1645" s="30" t="s">
        <v>152</v>
      </c>
      <c r="J1645" s="30" t="s">
        <v>264</v>
      </c>
      <c r="K1645" s="30" t="s">
        <v>146</v>
      </c>
      <c r="L1645" s="30" t="s">
        <v>146</v>
      </c>
      <c r="M1645" s="30" t="s">
        <v>7361</v>
      </c>
      <c r="N1645" s="30" t="s">
        <v>145</v>
      </c>
      <c r="O1645" s="30" t="s">
        <v>145</v>
      </c>
      <c r="P1645" s="30" t="s">
        <v>145</v>
      </c>
      <c r="Q1645" s="30" t="s">
        <v>7375</v>
      </c>
    </row>
    <row r="1646" hidden="1">
      <c r="A1646" s="33" t="str">
        <f>hyperlink("https://issues.sierrawireless.com/browse/OEMPRI-6605", "OEMPRI-6605")</f>
        <v>OEMPRI-6605</v>
      </c>
      <c r="B1646" s="30" t="s">
        <v>139</v>
      </c>
      <c r="C1646" s="30" t="s">
        <v>148</v>
      </c>
      <c r="D1646" s="30" t="s">
        <v>141</v>
      </c>
      <c r="E1646" s="35">
        <v>43182.0</v>
      </c>
      <c r="F1646" s="37" t="s">
        <v>150</v>
      </c>
      <c r="G1646" s="30" t="s">
        <v>7377</v>
      </c>
      <c r="H1646" s="30" t="s">
        <v>223</v>
      </c>
      <c r="I1646" s="30" t="s">
        <v>144</v>
      </c>
      <c r="J1646" s="30" t="s">
        <v>189</v>
      </c>
      <c r="K1646" s="30" t="s">
        <v>152</v>
      </c>
      <c r="L1646" s="30" t="s">
        <v>152</v>
      </c>
      <c r="M1646" s="30" t="s">
        <v>7378</v>
      </c>
      <c r="N1646" s="30" t="s">
        <v>145</v>
      </c>
      <c r="O1646" s="30" t="s">
        <v>145</v>
      </c>
      <c r="P1646" s="30" t="s">
        <v>145</v>
      </c>
      <c r="Q1646" s="30" t="s">
        <v>213</v>
      </c>
    </row>
    <row r="1647" hidden="1">
      <c r="A1647" s="33" t="str">
        <f>hyperlink("https://issues.sierrawireless.com/browse/OEMPRI-7248", "OEMPRI-7248")</f>
        <v>OEMPRI-7248</v>
      </c>
      <c r="B1647" s="30" t="s">
        <v>139</v>
      </c>
      <c r="C1647" s="30" t="s">
        <v>148</v>
      </c>
      <c r="D1647" s="30" t="s">
        <v>490</v>
      </c>
      <c r="E1647" s="35">
        <v>43244.0</v>
      </c>
      <c r="F1647" s="37" t="s">
        <v>143</v>
      </c>
      <c r="G1647" s="30" t="s">
        <v>2587</v>
      </c>
      <c r="H1647" s="30" t="s">
        <v>492</v>
      </c>
      <c r="I1647" s="30" t="s">
        <v>145</v>
      </c>
      <c r="J1647" s="30" t="s">
        <v>145</v>
      </c>
      <c r="K1647" s="30" t="s">
        <v>145</v>
      </c>
      <c r="L1647" s="30" t="s">
        <v>145</v>
      </c>
      <c r="M1647" s="30" t="s">
        <v>145</v>
      </c>
      <c r="N1647" s="30" t="s">
        <v>145</v>
      </c>
      <c r="O1647" s="30" t="s">
        <v>145</v>
      </c>
      <c r="P1647" s="30" t="s">
        <v>145</v>
      </c>
      <c r="Q1647" s="30" t="s">
        <v>166</v>
      </c>
    </row>
    <row r="1648" hidden="1">
      <c r="A1648" s="33" t="str">
        <f>hyperlink("https://issues.sierrawireless.com/browse/OEMPRI-7769", "OEMPRI-7769")</f>
        <v>OEMPRI-7769</v>
      </c>
      <c r="B1648" s="30" t="s">
        <v>139</v>
      </c>
      <c r="C1648" s="30" t="s">
        <v>141</v>
      </c>
      <c r="D1648" s="30" t="s">
        <v>141</v>
      </c>
      <c r="E1648" s="35">
        <v>43299.0</v>
      </c>
      <c r="F1648" s="37" t="s">
        <v>150</v>
      </c>
      <c r="G1648" s="30" t="s">
        <v>540</v>
      </c>
      <c r="H1648" s="30" t="s">
        <v>146</v>
      </c>
      <c r="I1648" s="30" t="s">
        <v>146</v>
      </c>
      <c r="J1648" s="30" t="s">
        <v>531</v>
      </c>
      <c r="K1648" s="30" t="s">
        <v>213</v>
      </c>
      <c r="L1648" s="30" t="s">
        <v>152</v>
      </c>
      <c r="M1648" s="30" t="s">
        <v>180</v>
      </c>
      <c r="N1648" s="30" t="s">
        <v>145</v>
      </c>
      <c r="O1648" s="30" t="s">
        <v>145</v>
      </c>
      <c r="P1648" s="30" t="s">
        <v>145</v>
      </c>
      <c r="Q1648" s="30" t="s">
        <v>180</v>
      </c>
    </row>
    <row r="1649" hidden="1">
      <c r="A1649" s="33" t="str">
        <f>hyperlink("https://issues.sierrawireless.com/browse/OEMPRI-6612", "OEMPRI-6612")</f>
        <v>OEMPRI-6612</v>
      </c>
      <c r="B1649" s="30" t="s">
        <v>139</v>
      </c>
      <c r="C1649" s="30" t="s">
        <v>170</v>
      </c>
      <c r="D1649" s="30" t="s">
        <v>337</v>
      </c>
      <c r="E1649" s="35">
        <v>43182.0</v>
      </c>
      <c r="F1649" s="37" t="s">
        <v>150</v>
      </c>
      <c r="G1649" s="30" t="s">
        <v>144</v>
      </c>
      <c r="H1649" s="30" t="s">
        <v>146</v>
      </c>
      <c r="I1649" s="30" t="s">
        <v>146</v>
      </c>
      <c r="J1649" s="30" t="s">
        <v>7380</v>
      </c>
      <c r="K1649" s="30" t="s">
        <v>152</v>
      </c>
      <c r="L1649" s="30" t="s">
        <v>152</v>
      </c>
      <c r="M1649" s="30" t="s">
        <v>7381</v>
      </c>
      <c r="N1649" s="30" t="s">
        <v>145</v>
      </c>
      <c r="O1649" s="30" t="s">
        <v>145</v>
      </c>
      <c r="P1649" s="30" t="s">
        <v>145</v>
      </c>
      <c r="Q1649" s="30" t="s">
        <v>743</v>
      </c>
    </row>
    <row r="1650" hidden="1">
      <c r="A1650" s="33" t="str">
        <f>hyperlink("https://issues.sierrawireless.com/browse/OEMPRI-8005", "OEMPRI-8005")</f>
        <v>OEMPRI-8005</v>
      </c>
      <c r="B1650" s="30" t="s">
        <v>139</v>
      </c>
      <c r="C1650" s="30" t="s">
        <v>141</v>
      </c>
      <c r="D1650" s="30" t="s">
        <v>141</v>
      </c>
      <c r="E1650" s="35">
        <v>43319.0</v>
      </c>
      <c r="F1650" s="37" t="s">
        <v>150</v>
      </c>
      <c r="G1650" s="30" t="s">
        <v>146</v>
      </c>
      <c r="H1650" s="30" t="s">
        <v>145</v>
      </c>
      <c r="I1650" s="30" t="s">
        <v>146</v>
      </c>
      <c r="J1650" s="30" t="s">
        <v>407</v>
      </c>
      <c r="K1650" s="30" t="s">
        <v>152</v>
      </c>
      <c r="L1650" s="30" t="s">
        <v>152</v>
      </c>
      <c r="M1650" s="30" t="s">
        <v>229</v>
      </c>
      <c r="N1650" s="30" t="s">
        <v>145</v>
      </c>
      <c r="O1650" s="30" t="s">
        <v>145</v>
      </c>
      <c r="P1650" s="30" t="s">
        <v>145</v>
      </c>
      <c r="Q1650" s="30" t="s">
        <v>180</v>
      </c>
    </row>
    <row r="1651" hidden="1">
      <c r="A1651" s="33" t="str">
        <f>hyperlink("https://issues.sierrawireless.com/browse/OEMPRI-7204", "OEMPRI-7204")</f>
        <v>OEMPRI-7204</v>
      </c>
      <c r="B1651" s="30" t="s">
        <v>139</v>
      </c>
      <c r="C1651" s="30" t="s">
        <v>148</v>
      </c>
      <c r="D1651" s="30" t="s">
        <v>177</v>
      </c>
      <c r="E1651" s="35">
        <v>43242.0</v>
      </c>
      <c r="F1651" s="37" t="s">
        <v>150</v>
      </c>
      <c r="G1651" s="30" t="s">
        <v>152</v>
      </c>
      <c r="H1651" s="30" t="s">
        <v>152</v>
      </c>
      <c r="I1651" s="30" t="s">
        <v>152</v>
      </c>
      <c r="J1651" s="30" t="s">
        <v>407</v>
      </c>
      <c r="K1651" s="30" t="s">
        <v>152</v>
      </c>
      <c r="L1651" s="30" t="s">
        <v>152</v>
      </c>
      <c r="M1651" s="30" t="s">
        <v>7367</v>
      </c>
      <c r="N1651" s="30" t="s">
        <v>152</v>
      </c>
      <c r="O1651" s="30" t="s">
        <v>152</v>
      </c>
      <c r="P1651" s="30" t="s">
        <v>152</v>
      </c>
      <c r="Q1651" s="30" t="s">
        <v>152</v>
      </c>
    </row>
    <row r="1652" hidden="1">
      <c r="A1652" s="33" t="s">
        <v>2702</v>
      </c>
      <c r="B1652" s="30" t="s">
        <v>139</v>
      </c>
      <c r="C1652" s="30" t="s">
        <v>148</v>
      </c>
      <c r="D1652" s="30" t="s">
        <v>216</v>
      </c>
      <c r="E1652" s="43">
        <v>43039.0</v>
      </c>
      <c r="F1652" s="44" t="s">
        <v>150</v>
      </c>
      <c r="G1652" s="30" t="s">
        <v>438</v>
      </c>
      <c r="H1652" s="30" t="s">
        <v>146</v>
      </c>
      <c r="I1652" s="30" t="s">
        <v>171</v>
      </c>
      <c r="J1652" s="30" t="s">
        <v>146</v>
      </c>
      <c r="K1652" s="2" t="s">
        <v>1950</v>
      </c>
      <c r="L1652" s="30" t="s">
        <v>152</v>
      </c>
      <c r="M1652" s="30" t="s">
        <v>1453</v>
      </c>
      <c r="N1652" s="30" t="s">
        <v>213</v>
      </c>
      <c r="O1652" s="30" t="s">
        <v>213</v>
      </c>
      <c r="P1652" s="30" t="s">
        <v>7383</v>
      </c>
      <c r="Q1652" s="30" t="s">
        <v>152</v>
      </c>
    </row>
    <row r="1653" hidden="1">
      <c r="A1653" s="33" t="s">
        <v>2725</v>
      </c>
      <c r="B1653" s="30" t="s">
        <v>139</v>
      </c>
      <c r="C1653" s="30" t="s">
        <v>148</v>
      </c>
      <c r="D1653" s="30" t="s">
        <v>122</v>
      </c>
      <c r="E1653" s="43">
        <v>43038.0</v>
      </c>
      <c r="F1653" s="44" t="s">
        <v>150</v>
      </c>
      <c r="G1653" s="30" t="s">
        <v>2682</v>
      </c>
      <c r="H1653" s="30" t="s">
        <v>223</v>
      </c>
      <c r="I1653" s="30" t="s">
        <v>146</v>
      </c>
      <c r="J1653" s="30" t="s">
        <v>146</v>
      </c>
      <c r="K1653" s="30" t="s">
        <v>146</v>
      </c>
      <c r="L1653" s="30" t="s">
        <v>146</v>
      </c>
      <c r="M1653" s="30" t="s">
        <v>7384</v>
      </c>
      <c r="N1653" s="30" t="s">
        <v>340</v>
      </c>
      <c r="O1653" s="2" t="s">
        <v>7385</v>
      </c>
      <c r="P1653" s="2" t="s">
        <v>7385</v>
      </c>
      <c r="Q1653" s="30" t="s">
        <v>152</v>
      </c>
    </row>
    <row r="1654" hidden="1">
      <c r="A1654" s="104" t="s">
        <v>2730</v>
      </c>
      <c r="B1654" s="30" t="s">
        <v>139</v>
      </c>
      <c r="C1654" s="30" t="s">
        <v>148</v>
      </c>
      <c r="D1654" s="30" t="s">
        <v>122</v>
      </c>
      <c r="E1654" s="43">
        <v>43038.0</v>
      </c>
      <c r="F1654" s="44" t="s">
        <v>150</v>
      </c>
      <c r="G1654" s="30" t="s">
        <v>3050</v>
      </c>
      <c r="H1654" s="30" t="s">
        <v>152</v>
      </c>
      <c r="I1654" s="30" t="s">
        <v>1536</v>
      </c>
      <c r="J1654" s="30" t="s">
        <v>146</v>
      </c>
      <c r="K1654" s="30" t="s">
        <v>7386</v>
      </c>
      <c r="L1654" s="30" t="s">
        <v>687</v>
      </c>
      <c r="M1654" s="30" t="s">
        <v>687</v>
      </c>
      <c r="N1654" s="30" t="s">
        <v>152</v>
      </c>
      <c r="O1654" s="2" t="s">
        <v>152</v>
      </c>
      <c r="P1654" s="2" t="s">
        <v>152</v>
      </c>
      <c r="Q1654" s="30" t="s">
        <v>152</v>
      </c>
    </row>
    <row r="1655" hidden="1">
      <c r="A1655" s="33" t="str">
        <f>hyperlink("https://issues.sierrawireless.com/browse/OEMPRI-7210", "OEMPRI-7210")</f>
        <v>OEMPRI-7210</v>
      </c>
      <c r="B1655" s="30" t="s">
        <v>139</v>
      </c>
      <c r="C1655" s="30" t="s">
        <v>177</v>
      </c>
      <c r="D1655" s="30" t="s">
        <v>177</v>
      </c>
      <c r="E1655" s="35">
        <v>43242.0</v>
      </c>
      <c r="F1655" s="37" t="s">
        <v>150</v>
      </c>
      <c r="G1655" s="30" t="s">
        <v>152</v>
      </c>
      <c r="H1655" s="30" t="s">
        <v>152</v>
      </c>
      <c r="I1655" s="30" t="s">
        <v>152</v>
      </c>
      <c r="J1655" s="30" t="s">
        <v>407</v>
      </c>
      <c r="K1655" s="30" t="s">
        <v>152</v>
      </c>
      <c r="L1655" s="30" t="s">
        <v>3666</v>
      </c>
      <c r="M1655" s="30" t="s">
        <v>7387</v>
      </c>
      <c r="N1655" s="30" t="s">
        <v>1471</v>
      </c>
      <c r="O1655" s="30" t="s">
        <v>145</v>
      </c>
      <c r="P1655" s="30" t="s">
        <v>145</v>
      </c>
      <c r="Q1655" s="30" t="s">
        <v>1471</v>
      </c>
    </row>
    <row r="1656" hidden="1">
      <c r="A1656" s="33" t="str">
        <f>hyperlink("https://issues.sierrawireless.com/browse/OEMPRI-6854", "OEMPRI-6854")</f>
        <v>OEMPRI-6854</v>
      </c>
      <c r="B1656" s="30" t="s">
        <v>139</v>
      </c>
      <c r="C1656" s="30" t="s">
        <v>148</v>
      </c>
      <c r="D1656" s="30" t="s">
        <v>141</v>
      </c>
      <c r="E1656" s="35">
        <v>43213.0</v>
      </c>
      <c r="F1656" s="37" t="s">
        <v>150</v>
      </c>
      <c r="G1656" s="30" t="s">
        <v>163</v>
      </c>
      <c r="H1656" s="30" t="s">
        <v>146</v>
      </c>
      <c r="I1656" s="30" t="s">
        <v>146</v>
      </c>
      <c r="J1656" s="30" t="s">
        <v>189</v>
      </c>
      <c r="K1656" s="30" t="s">
        <v>152</v>
      </c>
      <c r="L1656" s="30" t="s">
        <v>152</v>
      </c>
      <c r="M1656" s="30" t="s">
        <v>7388</v>
      </c>
      <c r="N1656" s="30" t="s">
        <v>145</v>
      </c>
      <c r="O1656" s="30" t="s">
        <v>145</v>
      </c>
      <c r="P1656" s="30" t="s">
        <v>145</v>
      </c>
      <c r="Q1656" s="30" t="s">
        <v>213</v>
      </c>
    </row>
    <row r="1657" hidden="1">
      <c r="A1657" s="33" t="str">
        <f>hyperlink("https://issues.sierrawireless.com/browse/OEMPRI-6440", "OEMPRI-6440")</f>
        <v>OEMPRI-6440</v>
      </c>
      <c r="B1657" s="30" t="s">
        <v>139</v>
      </c>
      <c r="C1657" s="30" t="s">
        <v>148</v>
      </c>
      <c r="D1657" s="30" t="s">
        <v>337</v>
      </c>
      <c r="E1657" s="35">
        <v>43172.0</v>
      </c>
      <c r="F1657" s="37" t="s">
        <v>150</v>
      </c>
      <c r="G1657" s="30" t="s">
        <v>223</v>
      </c>
      <c r="H1657" s="30" t="s">
        <v>223</v>
      </c>
      <c r="I1657" s="30" t="s">
        <v>223</v>
      </c>
      <c r="J1657" s="30" t="s">
        <v>407</v>
      </c>
      <c r="K1657" s="30" t="s">
        <v>152</v>
      </c>
      <c r="L1657" s="30" t="s">
        <v>152</v>
      </c>
      <c r="M1657" s="30" t="s">
        <v>7389</v>
      </c>
      <c r="N1657" s="30" t="s">
        <v>145</v>
      </c>
      <c r="O1657" s="30" t="s">
        <v>145</v>
      </c>
      <c r="P1657" s="30" t="s">
        <v>145</v>
      </c>
      <c r="Q1657" s="30" t="s">
        <v>213</v>
      </c>
    </row>
    <row r="1658" hidden="1">
      <c r="A1658" s="33" t="s">
        <v>2758</v>
      </c>
      <c r="B1658" s="30" t="s">
        <v>139</v>
      </c>
      <c r="C1658" s="30" t="s">
        <v>148</v>
      </c>
      <c r="D1658" s="30" t="s">
        <v>122</v>
      </c>
      <c r="E1658" s="43">
        <v>43038.0</v>
      </c>
      <c r="F1658" s="44" t="s">
        <v>150</v>
      </c>
      <c r="G1658" s="30" t="s">
        <v>1441</v>
      </c>
      <c r="H1658" s="30" t="s">
        <v>166</v>
      </c>
      <c r="I1658" s="30" t="s">
        <v>166</v>
      </c>
      <c r="J1658" s="30" t="s">
        <v>166</v>
      </c>
      <c r="K1658" s="30" t="s">
        <v>166</v>
      </c>
      <c r="L1658" s="30" t="s">
        <v>166</v>
      </c>
      <c r="M1658" s="30" t="s">
        <v>166</v>
      </c>
      <c r="N1658" s="30" t="s">
        <v>166</v>
      </c>
      <c r="O1658" s="2" t="s">
        <v>166</v>
      </c>
      <c r="P1658" s="2" t="s">
        <v>166</v>
      </c>
      <c r="Q1658" s="30" t="s">
        <v>166</v>
      </c>
    </row>
    <row r="1659" hidden="1">
      <c r="A1659" s="33" t="s">
        <v>2766</v>
      </c>
      <c r="B1659" s="30" t="s">
        <v>139</v>
      </c>
      <c r="C1659" s="30" t="s">
        <v>148</v>
      </c>
      <c r="D1659" s="30" t="s">
        <v>122</v>
      </c>
      <c r="E1659" s="43">
        <v>43038.0</v>
      </c>
      <c r="F1659" s="44" t="s">
        <v>150</v>
      </c>
      <c r="G1659" s="30" t="s">
        <v>1441</v>
      </c>
      <c r="H1659" s="30" t="s">
        <v>166</v>
      </c>
      <c r="I1659" s="30" t="s">
        <v>166</v>
      </c>
      <c r="J1659" s="30" t="s">
        <v>166</v>
      </c>
      <c r="K1659" s="30" t="s">
        <v>166</v>
      </c>
      <c r="L1659" s="30" t="s">
        <v>166</v>
      </c>
      <c r="M1659" s="30" t="s">
        <v>166</v>
      </c>
      <c r="N1659" s="30" t="s">
        <v>166</v>
      </c>
      <c r="O1659" s="30" t="s">
        <v>166</v>
      </c>
      <c r="P1659" s="2" t="s">
        <v>166</v>
      </c>
      <c r="Q1659" s="30" t="s">
        <v>166</v>
      </c>
    </row>
    <row r="1660" hidden="1">
      <c r="A1660" s="33" t="str">
        <f>hyperlink("https://issues.sierrawireless.com/browse/OEMPRI-7216", "OEMPRI-7216")</f>
        <v>OEMPRI-7216</v>
      </c>
      <c r="B1660" s="30" t="s">
        <v>139</v>
      </c>
      <c r="C1660" s="30" t="s">
        <v>148</v>
      </c>
      <c r="D1660" s="30" t="s">
        <v>177</v>
      </c>
      <c r="E1660" s="35">
        <v>43242.0</v>
      </c>
      <c r="F1660" s="37" t="s">
        <v>150</v>
      </c>
      <c r="G1660" s="30" t="s">
        <v>213</v>
      </c>
      <c r="H1660" s="30" t="s">
        <v>152</v>
      </c>
      <c r="I1660" s="30" t="s">
        <v>152</v>
      </c>
      <c r="J1660" s="30" t="s">
        <v>4374</v>
      </c>
      <c r="K1660" s="30" t="s">
        <v>152</v>
      </c>
      <c r="L1660" s="30" t="s">
        <v>152</v>
      </c>
      <c r="M1660" s="30" t="s">
        <v>7391</v>
      </c>
      <c r="N1660" s="30" t="s">
        <v>152</v>
      </c>
      <c r="O1660" s="30" t="s">
        <v>152</v>
      </c>
      <c r="P1660" s="30" t="s">
        <v>152</v>
      </c>
      <c r="Q1660" s="30" t="s">
        <v>152</v>
      </c>
    </row>
    <row r="1661" hidden="1">
      <c r="A1661" s="33" t="str">
        <f>hyperlink("https://issues.sierrawireless.com/browse/OEMPRI-6843", "OEMPRI-6843")</f>
        <v>OEMPRI-6843</v>
      </c>
      <c r="B1661" s="30" t="s">
        <v>139</v>
      </c>
      <c r="C1661" s="30" t="s">
        <v>148</v>
      </c>
      <c r="D1661" s="30" t="s">
        <v>337</v>
      </c>
      <c r="E1661" s="35">
        <v>43210.0</v>
      </c>
      <c r="F1661" s="37" t="s">
        <v>150</v>
      </c>
      <c r="G1661" s="30" t="s">
        <v>503</v>
      </c>
      <c r="H1661" s="30" t="s">
        <v>146</v>
      </c>
      <c r="I1661" s="30" t="s">
        <v>146</v>
      </c>
      <c r="J1661" s="30" t="s">
        <v>407</v>
      </c>
      <c r="K1661" s="30" t="s">
        <v>407</v>
      </c>
      <c r="L1661" s="30" t="s">
        <v>407</v>
      </c>
      <c r="M1661" s="30" t="s">
        <v>7392</v>
      </c>
      <c r="N1661" s="30" t="s">
        <v>145</v>
      </c>
      <c r="O1661" s="30" t="s">
        <v>145</v>
      </c>
      <c r="P1661" s="30" t="s">
        <v>145</v>
      </c>
      <c r="Q1661" s="30" t="s">
        <v>213</v>
      </c>
    </row>
    <row r="1662" hidden="1">
      <c r="A1662" s="33" t="str">
        <f>hyperlink("https://issues.sierrawireless.com/browse/OEMPRI-6792", "OEMPRI-6792")</f>
        <v>OEMPRI-6792</v>
      </c>
      <c r="B1662" s="30" t="s">
        <v>139</v>
      </c>
      <c r="C1662" s="30" t="s">
        <v>148</v>
      </c>
      <c r="D1662" s="30" t="s">
        <v>149</v>
      </c>
      <c r="E1662" s="35">
        <v>43206.0</v>
      </c>
      <c r="F1662" s="37" t="s">
        <v>150</v>
      </c>
      <c r="G1662" s="30" t="s">
        <v>1168</v>
      </c>
      <c r="H1662" s="30" t="s">
        <v>212</v>
      </c>
      <c r="I1662" s="30" t="s">
        <v>212</v>
      </c>
      <c r="J1662" s="30" t="s">
        <v>212</v>
      </c>
      <c r="K1662" s="30" t="s">
        <v>7394</v>
      </c>
      <c r="L1662" s="30" t="s">
        <v>212</v>
      </c>
      <c r="M1662" s="30" t="s">
        <v>1774</v>
      </c>
      <c r="N1662" s="30" t="s">
        <v>152</v>
      </c>
      <c r="O1662" s="30" t="s">
        <v>213</v>
      </c>
      <c r="P1662" s="30" t="s">
        <v>152</v>
      </c>
      <c r="Q1662" s="30" t="s">
        <v>152</v>
      </c>
    </row>
    <row r="1663">
      <c r="A1663" s="33" t="str">
        <f>hyperlink("https://issues.sierrawireless.com/browse/OEMPRI-8103", "OEMPRI-8103")</f>
        <v>OEMPRI-8103</v>
      </c>
      <c r="B1663" s="30" t="s">
        <v>225</v>
      </c>
      <c r="C1663" s="30" t="s">
        <v>155</v>
      </c>
      <c r="D1663" s="30" t="s">
        <v>155</v>
      </c>
      <c r="E1663" s="35">
        <v>43325.0</v>
      </c>
      <c r="F1663" s="37" t="s">
        <v>150</v>
      </c>
      <c r="G1663" s="30" t="s">
        <v>171</v>
      </c>
      <c r="H1663" s="30" t="s">
        <v>145</v>
      </c>
      <c r="I1663" s="30" t="s">
        <v>146</v>
      </c>
      <c r="J1663" s="30" t="s">
        <v>2405</v>
      </c>
      <c r="K1663" s="30" t="s">
        <v>166</v>
      </c>
      <c r="L1663" s="30" t="s">
        <v>166</v>
      </c>
      <c r="M1663" s="30" t="s">
        <v>166</v>
      </c>
      <c r="N1663" s="30" t="s">
        <v>145</v>
      </c>
      <c r="O1663" s="30" t="s">
        <v>145</v>
      </c>
      <c r="P1663" s="30" t="s">
        <v>145</v>
      </c>
      <c r="Q1663" s="30" t="s">
        <v>166</v>
      </c>
    </row>
    <row r="1664">
      <c r="A1664" s="33" t="str">
        <f>hyperlink("https://issues.sierrawireless.com/browse/OEMPRI-8104", "OEMPRI-8104")</f>
        <v>OEMPRI-8104</v>
      </c>
      <c r="B1664" s="30" t="s">
        <v>86</v>
      </c>
      <c r="C1664" s="30" t="s">
        <v>148</v>
      </c>
      <c r="D1664" s="30" t="s">
        <v>609</v>
      </c>
      <c r="E1664" s="35">
        <v>43325.0</v>
      </c>
      <c r="F1664" s="37" t="s">
        <v>150</v>
      </c>
      <c r="G1664" s="30" t="s">
        <v>7395</v>
      </c>
      <c r="H1664" s="30" t="s">
        <v>166</v>
      </c>
      <c r="I1664" s="30" t="s">
        <v>166</v>
      </c>
      <c r="J1664" s="30" t="s">
        <v>166</v>
      </c>
      <c r="K1664" s="30" t="s">
        <v>166</v>
      </c>
      <c r="L1664" s="30" t="s">
        <v>166</v>
      </c>
      <c r="M1664" s="30" t="s">
        <v>166</v>
      </c>
      <c r="N1664" s="30" t="s">
        <v>145</v>
      </c>
      <c r="O1664" s="30" t="s">
        <v>145</v>
      </c>
      <c r="P1664" s="30" t="s">
        <v>145</v>
      </c>
      <c r="Q1664" s="30" t="s">
        <v>166</v>
      </c>
    </row>
    <row r="1665" hidden="1">
      <c r="A1665" s="33" t="str">
        <f>hyperlink("https://issues.sierrawireless.com/browse/OEMPRI-6332", "OEMPRI-6332")</f>
        <v>OEMPRI-6332</v>
      </c>
      <c r="B1665" s="30" t="s">
        <v>139</v>
      </c>
      <c r="C1665" s="30" t="s">
        <v>148</v>
      </c>
      <c r="D1665" s="30" t="s">
        <v>337</v>
      </c>
      <c r="E1665" s="35">
        <v>43161.0</v>
      </c>
      <c r="F1665" s="37" t="s">
        <v>150</v>
      </c>
      <c r="G1665" s="30" t="s">
        <v>397</v>
      </c>
      <c r="H1665" s="30" t="s">
        <v>223</v>
      </c>
      <c r="I1665" s="30" t="s">
        <v>223</v>
      </c>
      <c r="J1665" s="30" t="s">
        <v>407</v>
      </c>
      <c r="K1665" s="30" t="s">
        <v>152</v>
      </c>
      <c r="L1665" s="30" t="s">
        <v>152</v>
      </c>
      <c r="M1665" s="30" t="s">
        <v>7397</v>
      </c>
      <c r="N1665" s="30" t="s">
        <v>145</v>
      </c>
      <c r="O1665" s="30" t="s">
        <v>145</v>
      </c>
      <c r="P1665" s="30" t="s">
        <v>145</v>
      </c>
      <c r="Q1665" s="30" t="s">
        <v>152</v>
      </c>
    </row>
    <row r="1666" hidden="1">
      <c r="A1666" s="33" t="str">
        <f>hyperlink("https://issues.sierrawireless.com/browse/OEMPRI-7183", "OEMPRI-7183")</f>
        <v>OEMPRI-7183</v>
      </c>
      <c r="B1666" s="30" t="s">
        <v>139</v>
      </c>
      <c r="C1666" s="30" t="s">
        <v>148</v>
      </c>
      <c r="D1666" s="30" t="s">
        <v>149</v>
      </c>
      <c r="E1666" s="35">
        <v>43238.0</v>
      </c>
      <c r="F1666" s="37" t="s">
        <v>150</v>
      </c>
      <c r="G1666" s="30" t="s">
        <v>156</v>
      </c>
      <c r="H1666" s="30" t="s">
        <v>152</v>
      </c>
      <c r="I1666" s="30" t="s">
        <v>7398</v>
      </c>
      <c r="J1666" s="30" t="s">
        <v>212</v>
      </c>
      <c r="K1666" s="30" t="s">
        <v>556</v>
      </c>
      <c r="L1666" s="30" t="s">
        <v>152</v>
      </c>
      <c r="M1666" s="30" t="s">
        <v>152</v>
      </c>
      <c r="N1666" s="30" t="s">
        <v>152</v>
      </c>
      <c r="O1666" s="30" t="s">
        <v>152</v>
      </c>
      <c r="P1666" s="30" t="s">
        <v>152</v>
      </c>
      <c r="Q1666" s="30" t="s">
        <v>152</v>
      </c>
    </row>
    <row r="1667" hidden="1">
      <c r="A1667" s="33" t="str">
        <f>hyperlink("https://issues.sierrawireless.com/browse/OEMPRI-7724", "OEMPRI-7724")</f>
        <v>OEMPRI-7724</v>
      </c>
      <c r="B1667" s="30" t="s">
        <v>139</v>
      </c>
      <c r="C1667" s="30" t="s">
        <v>170</v>
      </c>
      <c r="D1667" s="30" t="s">
        <v>170</v>
      </c>
      <c r="E1667" s="35">
        <v>43297.0</v>
      </c>
      <c r="F1667" s="37" t="s">
        <v>150</v>
      </c>
      <c r="G1667" s="30" t="s">
        <v>163</v>
      </c>
      <c r="H1667" s="30" t="s">
        <v>146</v>
      </c>
      <c r="I1667" s="30" t="s">
        <v>146</v>
      </c>
      <c r="J1667" s="30" t="s">
        <v>1737</v>
      </c>
      <c r="K1667" s="30" t="s">
        <v>152</v>
      </c>
      <c r="L1667" s="30" t="s">
        <v>152</v>
      </c>
      <c r="M1667" s="30" t="s">
        <v>7371</v>
      </c>
      <c r="N1667" s="30" t="s">
        <v>145</v>
      </c>
      <c r="O1667" s="30" t="s">
        <v>145</v>
      </c>
      <c r="P1667" s="30" t="s">
        <v>145</v>
      </c>
      <c r="Q1667" s="30" t="s">
        <v>743</v>
      </c>
    </row>
    <row r="1668" hidden="1">
      <c r="A1668" s="33" t="str">
        <f>hyperlink("https://issues.sierrawireless.com/browse/OEMPRI-6739", "OEMPRI-6739")</f>
        <v>OEMPRI-6739</v>
      </c>
      <c r="B1668" s="30" t="s">
        <v>139</v>
      </c>
      <c r="C1668" s="30" t="s">
        <v>148</v>
      </c>
      <c r="D1668" s="30" t="s">
        <v>216</v>
      </c>
      <c r="E1668" s="35">
        <v>43200.0</v>
      </c>
      <c r="F1668" s="37" t="s">
        <v>150</v>
      </c>
      <c r="G1668" s="30" t="s">
        <v>7401</v>
      </c>
      <c r="H1668" s="30" t="s">
        <v>212</v>
      </c>
      <c r="I1668" s="30" t="s">
        <v>212</v>
      </c>
      <c r="J1668" s="30" t="s">
        <v>212</v>
      </c>
      <c r="K1668" s="30" t="s">
        <v>1044</v>
      </c>
      <c r="L1668" s="30" t="s">
        <v>152</v>
      </c>
      <c r="M1668" s="30" t="s">
        <v>152</v>
      </c>
      <c r="N1668" s="30" t="s">
        <v>152</v>
      </c>
      <c r="O1668" s="30" t="s">
        <v>152</v>
      </c>
      <c r="P1668" s="30" t="s">
        <v>152</v>
      </c>
      <c r="Q1668" s="30" t="s">
        <v>152</v>
      </c>
    </row>
    <row r="1669" hidden="1">
      <c r="A1669" s="33" t="str">
        <f>hyperlink("https://issues.sierrawireless.com/browse/OEMPRI-6724", "OEMPRI-6724")</f>
        <v>OEMPRI-6724</v>
      </c>
      <c r="B1669" s="30" t="s">
        <v>139</v>
      </c>
      <c r="C1669" s="30" t="s">
        <v>148</v>
      </c>
      <c r="D1669" s="30" t="s">
        <v>170</v>
      </c>
      <c r="E1669" s="35">
        <v>43199.0</v>
      </c>
      <c r="F1669" s="37" t="s">
        <v>150</v>
      </c>
      <c r="G1669" s="30" t="s">
        <v>171</v>
      </c>
      <c r="H1669" s="30" t="s">
        <v>146</v>
      </c>
      <c r="I1669" s="30" t="s">
        <v>146</v>
      </c>
      <c r="J1669" s="30" t="s">
        <v>618</v>
      </c>
      <c r="K1669" s="30" t="s">
        <v>743</v>
      </c>
      <c r="L1669" s="30" t="s">
        <v>743</v>
      </c>
      <c r="M1669" s="30" t="s">
        <v>7403</v>
      </c>
      <c r="N1669" s="30" t="s">
        <v>145</v>
      </c>
      <c r="O1669" s="30" t="s">
        <v>145</v>
      </c>
      <c r="P1669" s="30" t="s">
        <v>145</v>
      </c>
      <c r="Q1669" s="30" t="s">
        <v>213</v>
      </c>
    </row>
    <row r="1670" hidden="1">
      <c r="A1670" s="33" t="str">
        <f>hyperlink("https://issues.sierrawireless.com/browse/OEMPRI-6726", "OEMPRI-6726")</f>
        <v>OEMPRI-6726</v>
      </c>
      <c r="B1670" s="30" t="s">
        <v>139</v>
      </c>
      <c r="C1670" s="30" t="s">
        <v>148</v>
      </c>
      <c r="D1670" s="30" t="s">
        <v>122</v>
      </c>
      <c r="E1670" s="35">
        <v>43199.0</v>
      </c>
      <c r="F1670" s="37" t="s">
        <v>150</v>
      </c>
      <c r="G1670" s="30" t="s">
        <v>7404</v>
      </c>
      <c r="H1670" s="30" t="s">
        <v>212</v>
      </c>
      <c r="I1670" s="30" t="s">
        <v>212</v>
      </c>
      <c r="J1670" s="30" t="s">
        <v>212</v>
      </c>
      <c r="K1670" s="30" t="s">
        <v>7407</v>
      </c>
      <c r="L1670" s="30" t="s">
        <v>212</v>
      </c>
      <c r="M1670" s="30" t="s">
        <v>2938</v>
      </c>
      <c r="N1670" s="30" t="s">
        <v>145</v>
      </c>
      <c r="O1670" s="30" t="s">
        <v>145</v>
      </c>
      <c r="P1670" s="30" t="s">
        <v>145</v>
      </c>
      <c r="Q1670" s="30" t="s">
        <v>727</v>
      </c>
    </row>
    <row r="1671" hidden="1">
      <c r="A1671" s="33" t="str">
        <f>hyperlink("https://issues.sierrawireless.com/browse/OEMPRI-7725", "OEMPRI-7725")</f>
        <v>OEMPRI-7725</v>
      </c>
      <c r="B1671" s="30" t="s">
        <v>139</v>
      </c>
      <c r="C1671" s="30" t="s">
        <v>170</v>
      </c>
      <c r="D1671" s="30" t="s">
        <v>170</v>
      </c>
      <c r="E1671" s="35">
        <v>43297.0</v>
      </c>
      <c r="F1671" s="37" t="s">
        <v>150</v>
      </c>
      <c r="G1671" s="30" t="s">
        <v>163</v>
      </c>
      <c r="H1671" s="30" t="s">
        <v>146</v>
      </c>
      <c r="I1671" s="30" t="s">
        <v>264</v>
      </c>
      <c r="J1671" s="30" t="s">
        <v>407</v>
      </c>
      <c r="K1671" s="30" t="s">
        <v>152</v>
      </c>
      <c r="L1671" s="30" t="s">
        <v>152</v>
      </c>
      <c r="M1671" s="30" t="s">
        <v>3268</v>
      </c>
      <c r="N1671" s="30" t="s">
        <v>145</v>
      </c>
      <c r="O1671" s="30" t="s">
        <v>145</v>
      </c>
      <c r="P1671" s="30" t="s">
        <v>145</v>
      </c>
      <c r="Q1671" s="30" t="s">
        <v>743</v>
      </c>
    </row>
    <row r="1672">
      <c r="A1672" s="33" t="str">
        <f>hyperlink("https://issues.sierrawireless.com/browse/OEMPRI-8062", "OEMPRI-8062")</f>
        <v>OEMPRI-8062</v>
      </c>
      <c r="B1672" s="30" t="s">
        <v>225</v>
      </c>
      <c r="C1672" s="30" t="s">
        <v>148</v>
      </c>
      <c r="D1672" s="30" t="s">
        <v>155</v>
      </c>
      <c r="E1672" s="35">
        <v>43322.0</v>
      </c>
      <c r="F1672" s="37" t="s">
        <v>150</v>
      </c>
      <c r="G1672" s="30" t="s">
        <v>368</v>
      </c>
      <c r="H1672" s="30" t="s">
        <v>152</v>
      </c>
      <c r="I1672" s="30" t="s">
        <v>1611</v>
      </c>
      <c r="J1672" s="30" t="s">
        <v>492</v>
      </c>
      <c r="K1672" s="30" t="s">
        <v>166</v>
      </c>
      <c r="L1672" s="30" t="s">
        <v>166</v>
      </c>
      <c r="M1672" s="30" t="s">
        <v>166</v>
      </c>
      <c r="N1672" s="30" t="s">
        <v>145</v>
      </c>
      <c r="O1672" s="30" t="s">
        <v>145</v>
      </c>
      <c r="P1672" s="30" t="s">
        <v>145</v>
      </c>
      <c r="Q1672" s="30" t="s">
        <v>166</v>
      </c>
    </row>
    <row r="1673">
      <c r="A1673" s="33" t="str">
        <f>hyperlink("https://issues.sierrawireless.com/browse/OEMPRI-8063", "OEMPRI-8063")</f>
        <v>OEMPRI-8063</v>
      </c>
      <c r="B1673" s="30" t="s">
        <v>469</v>
      </c>
      <c r="C1673" s="30" t="s">
        <v>329</v>
      </c>
      <c r="D1673" s="30" t="s">
        <v>141</v>
      </c>
      <c r="E1673" s="35">
        <v>43322.0</v>
      </c>
      <c r="F1673" s="37" t="s">
        <v>150</v>
      </c>
      <c r="G1673" s="30" t="s">
        <v>1510</v>
      </c>
      <c r="H1673" s="30" t="s">
        <v>223</v>
      </c>
      <c r="I1673" s="30" t="s">
        <v>146</v>
      </c>
      <c r="J1673" s="30" t="s">
        <v>189</v>
      </c>
      <c r="K1673" s="30" t="s">
        <v>152</v>
      </c>
      <c r="L1673" s="30" t="s">
        <v>152</v>
      </c>
      <c r="M1673" s="30" t="s">
        <v>7409</v>
      </c>
      <c r="N1673" s="30" t="s">
        <v>145</v>
      </c>
      <c r="O1673" s="30" t="s">
        <v>145</v>
      </c>
      <c r="P1673" s="30" t="s">
        <v>145</v>
      </c>
      <c r="Q1673" s="30" t="s">
        <v>166</v>
      </c>
    </row>
    <row r="1674" hidden="1">
      <c r="A1674" s="33" t="str">
        <f>hyperlink("https://issues.sierrawireless.com/browse/OEMPRI-6897", "OEMPRI-6897")</f>
        <v>OEMPRI-6897</v>
      </c>
      <c r="B1674" s="30" t="s">
        <v>139</v>
      </c>
      <c r="C1674" s="30" t="s">
        <v>140</v>
      </c>
      <c r="D1674" s="30" t="s">
        <v>141</v>
      </c>
      <c r="E1674" s="35">
        <v>43215.0</v>
      </c>
      <c r="F1674" s="37" t="s">
        <v>150</v>
      </c>
      <c r="G1674" s="30" t="s">
        <v>163</v>
      </c>
      <c r="H1674" s="30" t="s">
        <v>146</v>
      </c>
      <c r="I1674" s="30" t="s">
        <v>163</v>
      </c>
      <c r="J1674" s="30" t="s">
        <v>145</v>
      </c>
      <c r="K1674" s="30" t="s">
        <v>145</v>
      </c>
      <c r="L1674" s="30" t="s">
        <v>145</v>
      </c>
      <c r="M1674" s="30" t="s">
        <v>145</v>
      </c>
      <c r="N1674" s="30" t="s">
        <v>145</v>
      </c>
      <c r="O1674" s="30" t="s">
        <v>145</v>
      </c>
      <c r="P1674" s="30" t="s">
        <v>145</v>
      </c>
      <c r="Q1674" s="30" t="s">
        <v>146</v>
      </c>
    </row>
    <row r="1675" hidden="1">
      <c r="A1675" s="33" t="str">
        <f>hyperlink("https://issues.sierrawireless.com/browse/OEMPRI-7529", "OEMPRI-7529")</f>
        <v>OEMPRI-7529</v>
      </c>
      <c r="B1675" s="30" t="s">
        <v>139</v>
      </c>
      <c r="C1675" s="30" t="s">
        <v>140</v>
      </c>
      <c r="D1675" s="30" t="s">
        <v>153</v>
      </c>
      <c r="E1675" s="35">
        <v>43277.0</v>
      </c>
      <c r="F1675" s="37" t="s">
        <v>269</v>
      </c>
      <c r="G1675" s="30" t="s">
        <v>970</v>
      </c>
      <c r="H1675" s="30" t="s">
        <v>145</v>
      </c>
      <c r="I1675" s="30" t="s">
        <v>145</v>
      </c>
      <c r="J1675" s="30" t="s">
        <v>145</v>
      </c>
      <c r="K1675" s="30" t="s">
        <v>145</v>
      </c>
      <c r="L1675" s="30" t="s">
        <v>145</v>
      </c>
      <c r="M1675" s="30" t="s">
        <v>145</v>
      </c>
      <c r="N1675" s="30" t="s">
        <v>145</v>
      </c>
      <c r="O1675" s="30" t="s">
        <v>145</v>
      </c>
      <c r="P1675" s="30" t="s">
        <v>145</v>
      </c>
      <c r="Q1675" s="30" t="s">
        <v>146</v>
      </c>
    </row>
    <row r="1676" hidden="1">
      <c r="A1676" s="33" t="str">
        <f>hyperlink("https://issues.sierrawireless.com/browse/OEMPRI-5431", "OEMPRI-5431")</f>
        <v>OEMPRI-5431</v>
      </c>
      <c r="B1676" s="30" t="s">
        <v>139</v>
      </c>
      <c r="C1676" s="30" t="s">
        <v>122</v>
      </c>
      <c r="D1676" s="30" t="s">
        <v>2325</v>
      </c>
      <c r="E1676" s="35">
        <v>43067.0</v>
      </c>
      <c r="F1676" s="37" t="s">
        <v>150</v>
      </c>
      <c r="G1676" s="30" t="s">
        <v>687</v>
      </c>
      <c r="H1676" s="30" t="s">
        <v>687</v>
      </c>
      <c r="I1676" s="30" t="s">
        <v>7412</v>
      </c>
      <c r="J1676" s="30" t="s">
        <v>4880</v>
      </c>
      <c r="K1676" s="30" t="s">
        <v>679</v>
      </c>
      <c r="L1676" s="30" t="s">
        <v>687</v>
      </c>
      <c r="M1676" s="30" t="s">
        <v>2885</v>
      </c>
      <c r="N1676" s="30" t="s">
        <v>145</v>
      </c>
      <c r="O1676" s="30" t="s">
        <v>145</v>
      </c>
      <c r="P1676" s="30" t="s">
        <v>145</v>
      </c>
      <c r="Q1676" s="30" t="s">
        <v>687</v>
      </c>
    </row>
    <row r="1677" hidden="1">
      <c r="A1677" s="33" t="str">
        <f>hyperlink("https://issues.sierrawireless.com/browse/OEMPRI-7523", "OEMPRI-7523")</f>
        <v>OEMPRI-7523</v>
      </c>
      <c r="B1677" s="30" t="s">
        <v>139</v>
      </c>
      <c r="C1677" s="30" t="s">
        <v>170</v>
      </c>
      <c r="D1677" s="30" t="s">
        <v>170</v>
      </c>
      <c r="E1677" s="35">
        <v>43276.0</v>
      </c>
      <c r="F1677" s="37" t="s">
        <v>150</v>
      </c>
      <c r="G1677" s="30" t="s">
        <v>222</v>
      </c>
      <c r="H1677" s="30" t="s">
        <v>223</v>
      </c>
      <c r="I1677" s="30" t="s">
        <v>146</v>
      </c>
      <c r="J1677" s="30" t="s">
        <v>407</v>
      </c>
      <c r="K1677" s="30" t="s">
        <v>152</v>
      </c>
      <c r="L1677" s="30" t="s">
        <v>152</v>
      </c>
      <c r="M1677" s="30" t="s">
        <v>7414</v>
      </c>
      <c r="N1677" s="30" t="s">
        <v>145</v>
      </c>
      <c r="O1677" s="30" t="s">
        <v>145</v>
      </c>
      <c r="P1677" s="30" t="s">
        <v>145</v>
      </c>
      <c r="Q1677" s="30" t="s">
        <v>743</v>
      </c>
    </row>
    <row r="1678" hidden="1">
      <c r="A1678" s="33" t="str">
        <f>hyperlink("https://issues.sierrawireless.com/browse/OEMPRI-7119", "OEMPRI-7119")</f>
        <v>OEMPRI-7119</v>
      </c>
      <c r="B1678" s="30" t="s">
        <v>139</v>
      </c>
      <c r="C1678" s="30" t="s">
        <v>148</v>
      </c>
      <c r="D1678" s="30" t="s">
        <v>141</v>
      </c>
      <c r="E1678" s="35">
        <v>43231.0</v>
      </c>
      <c r="F1678" s="37" t="s">
        <v>150</v>
      </c>
      <c r="G1678" s="30" t="s">
        <v>668</v>
      </c>
      <c r="H1678" s="30" t="s">
        <v>223</v>
      </c>
      <c r="I1678" s="30" t="s">
        <v>146</v>
      </c>
      <c r="J1678" s="30" t="s">
        <v>189</v>
      </c>
      <c r="K1678" s="30" t="s">
        <v>152</v>
      </c>
      <c r="L1678" s="30" t="s">
        <v>152</v>
      </c>
      <c r="M1678" s="30" t="s">
        <v>7416</v>
      </c>
      <c r="N1678" s="30" t="s">
        <v>145</v>
      </c>
      <c r="O1678" s="30" t="s">
        <v>145</v>
      </c>
      <c r="P1678" s="30" t="s">
        <v>145</v>
      </c>
      <c r="Q1678" s="30" t="s">
        <v>556</v>
      </c>
    </row>
    <row r="1679" hidden="1">
      <c r="A1679" s="33" t="str">
        <f>hyperlink("https://issues.sierrawireless.com/browse/OEMPRI-7120", "OEMPRI-7120")</f>
        <v>OEMPRI-7120</v>
      </c>
      <c r="B1679" s="30" t="s">
        <v>139</v>
      </c>
      <c r="C1679" s="30" t="s">
        <v>329</v>
      </c>
      <c r="D1679" s="30" t="s">
        <v>141</v>
      </c>
      <c r="E1679" s="35">
        <v>43231.0</v>
      </c>
      <c r="F1679" s="37" t="s">
        <v>150</v>
      </c>
      <c r="G1679" s="30" t="s">
        <v>1441</v>
      </c>
      <c r="H1679" s="30" t="s">
        <v>146</v>
      </c>
      <c r="I1679" s="30" t="s">
        <v>146</v>
      </c>
      <c r="J1679" s="30" t="s">
        <v>189</v>
      </c>
      <c r="K1679" s="30" t="s">
        <v>152</v>
      </c>
      <c r="L1679" s="30" t="s">
        <v>152</v>
      </c>
      <c r="M1679" s="30" t="s">
        <v>1541</v>
      </c>
      <c r="N1679" s="30" t="s">
        <v>145</v>
      </c>
      <c r="O1679" s="30" t="s">
        <v>145</v>
      </c>
      <c r="P1679" s="30" t="s">
        <v>145</v>
      </c>
      <c r="Q1679" s="30" t="s">
        <v>506</v>
      </c>
    </row>
    <row r="1680" hidden="1">
      <c r="A1680" s="33" t="str">
        <f>hyperlink("https://issues.sierrawireless.com/browse/OEMPRI-7121", "OEMPRI-7121")</f>
        <v>OEMPRI-7121</v>
      </c>
      <c r="B1680" s="30" t="s">
        <v>139</v>
      </c>
      <c r="C1680" s="30" t="s">
        <v>141</v>
      </c>
      <c r="D1680" s="30" t="s">
        <v>141</v>
      </c>
      <c r="E1680" s="35">
        <v>43231.0</v>
      </c>
      <c r="F1680" s="37" t="s">
        <v>150</v>
      </c>
      <c r="G1680" s="30" t="s">
        <v>1441</v>
      </c>
      <c r="H1680" s="30" t="s">
        <v>146</v>
      </c>
      <c r="I1680" s="30" t="s">
        <v>185</v>
      </c>
      <c r="J1680" s="30" t="s">
        <v>189</v>
      </c>
      <c r="K1680" s="30" t="s">
        <v>152</v>
      </c>
      <c r="L1680" s="30" t="s">
        <v>152</v>
      </c>
      <c r="M1680" s="30" t="s">
        <v>4249</v>
      </c>
      <c r="N1680" s="30" t="s">
        <v>145</v>
      </c>
      <c r="O1680" s="30" t="s">
        <v>145</v>
      </c>
      <c r="P1680" s="30" t="s">
        <v>145</v>
      </c>
      <c r="Q1680" s="30" t="s">
        <v>180</v>
      </c>
    </row>
    <row r="1681" hidden="1">
      <c r="A1681" s="33" t="str">
        <f>hyperlink("https://issues.sierrawireless.com/browse/OEMPRI-7981", "OEMPRI-7981")</f>
        <v>OEMPRI-7981</v>
      </c>
      <c r="B1681" s="30" t="s">
        <v>139</v>
      </c>
      <c r="C1681" s="30" t="s">
        <v>141</v>
      </c>
      <c r="D1681" s="30" t="s">
        <v>141</v>
      </c>
      <c r="E1681" s="35">
        <v>43315.0</v>
      </c>
      <c r="F1681" s="37" t="s">
        <v>150</v>
      </c>
      <c r="G1681" s="30" t="s">
        <v>141</v>
      </c>
      <c r="H1681" s="30" t="s">
        <v>146</v>
      </c>
      <c r="I1681" s="30" t="s">
        <v>146</v>
      </c>
      <c r="J1681" s="30" t="s">
        <v>278</v>
      </c>
      <c r="K1681" s="30" t="s">
        <v>145</v>
      </c>
      <c r="L1681" s="30" t="s">
        <v>145</v>
      </c>
      <c r="M1681" s="30" t="s">
        <v>145</v>
      </c>
      <c r="N1681" s="30" t="s">
        <v>145</v>
      </c>
      <c r="O1681" s="30" t="s">
        <v>145</v>
      </c>
      <c r="P1681" s="30" t="s">
        <v>145</v>
      </c>
      <c r="Q1681" s="30" t="s">
        <v>180</v>
      </c>
    </row>
    <row r="1682" hidden="1">
      <c r="A1682" s="33" t="str">
        <f>hyperlink("https://issues.sierrawireless.com/browse/OEMPRI-7063", "OEMPRI-7063")</f>
        <v>OEMPRI-7063</v>
      </c>
      <c r="B1682" s="30" t="s">
        <v>139</v>
      </c>
      <c r="C1682" s="30" t="s">
        <v>140</v>
      </c>
      <c r="D1682" s="30" t="s">
        <v>140</v>
      </c>
      <c r="E1682" s="35">
        <v>43229.0</v>
      </c>
      <c r="F1682" s="37" t="s">
        <v>150</v>
      </c>
      <c r="G1682" s="30" t="s">
        <v>146</v>
      </c>
      <c r="H1682" s="30" t="s">
        <v>145</v>
      </c>
      <c r="I1682" s="30" t="s">
        <v>146</v>
      </c>
      <c r="J1682" s="30" t="s">
        <v>146</v>
      </c>
      <c r="K1682" s="30" t="s">
        <v>152</v>
      </c>
      <c r="L1682" s="30" t="s">
        <v>152</v>
      </c>
      <c r="M1682" s="30" t="s">
        <v>7357</v>
      </c>
      <c r="N1682" s="30" t="s">
        <v>145</v>
      </c>
      <c r="O1682" s="30" t="s">
        <v>145</v>
      </c>
      <c r="P1682" s="30" t="s">
        <v>145</v>
      </c>
      <c r="Q1682" s="30" t="s">
        <v>503</v>
      </c>
    </row>
    <row r="1683">
      <c r="A1683" s="33" t="str">
        <f>hyperlink("https://issues.sierrawireless.com/browse/OEMPRI-8079", "OEMPRI-8079")</f>
        <v>OEMPRI-8079</v>
      </c>
      <c r="B1683" s="30" t="s">
        <v>175</v>
      </c>
      <c r="C1683" s="30" t="s">
        <v>148</v>
      </c>
      <c r="D1683" s="30" t="s">
        <v>609</v>
      </c>
      <c r="E1683" s="35">
        <v>43322.0</v>
      </c>
      <c r="F1683" s="37" t="s">
        <v>150</v>
      </c>
      <c r="G1683" s="30" t="s">
        <v>556</v>
      </c>
      <c r="H1683" s="30" t="s">
        <v>152</v>
      </c>
      <c r="I1683" s="30" t="s">
        <v>152</v>
      </c>
      <c r="J1683" s="30" t="s">
        <v>152</v>
      </c>
      <c r="K1683" s="30" t="s">
        <v>152</v>
      </c>
      <c r="L1683" s="30" t="s">
        <v>152</v>
      </c>
      <c r="M1683" s="30" t="s">
        <v>686</v>
      </c>
      <c r="N1683" s="30" t="s">
        <v>213</v>
      </c>
      <c r="O1683" s="30" t="s">
        <v>7419</v>
      </c>
      <c r="P1683" s="30" t="s">
        <v>7419</v>
      </c>
      <c r="Q1683" s="30" t="s">
        <v>166</v>
      </c>
    </row>
    <row r="1684">
      <c r="A1684" s="33" t="str">
        <f>hyperlink("https://issues.sierrawireless.com/browse/OEMPRI-8046", "OEMPRI-8046")</f>
        <v>OEMPRI-8046</v>
      </c>
      <c r="B1684" s="30" t="s">
        <v>175</v>
      </c>
      <c r="C1684" s="30" t="s">
        <v>148</v>
      </c>
      <c r="D1684" s="30" t="s">
        <v>148</v>
      </c>
      <c r="E1684" s="35">
        <v>43321.0</v>
      </c>
      <c r="F1684" s="37" t="s">
        <v>150</v>
      </c>
      <c r="G1684" s="30" t="s">
        <v>152</v>
      </c>
      <c r="H1684" s="30" t="s">
        <v>152</v>
      </c>
      <c r="I1684" s="30" t="s">
        <v>152</v>
      </c>
      <c r="J1684" s="30" t="s">
        <v>152</v>
      </c>
      <c r="K1684" s="30" t="s">
        <v>152</v>
      </c>
      <c r="L1684" s="30" t="s">
        <v>152</v>
      </c>
      <c r="M1684" s="30" t="s">
        <v>678</v>
      </c>
      <c r="N1684" s="30" t="s">
        <v>152</v>
      </c>
      <c r="O1684" s="30" t="s">
        <v>152</v>
      </c>
      <c r="P1684" s="30" t="s">
        <v>152</v>
      </c>
      <c r="Q1684" s="30" t="s">
        <v>166</v>
      </c>
    </row>
    <row r="1685">
      <c r="A1685" s="33" t="str">
        <f>hyperlink("https://issues.sierrawireless.com/browse/OEMPRI-8023", "OEMPRI-8023")</f>
        <v>OEMPRI-8023</v>
      </c>
      <c r="B1685" s="30" t="s">
        <v>277</v>
      </c>
      <c r="C1685" s="30" t="s">
        <v>120</v>
      </c>
      <c r="D1685" s="30" t="s">
        <v>155</v>
      </c>
      <c r="E1685" s="35">
        <v>43320.0</v>
      </c>
      <c r="F1685" s="37" t="s">
        <v>150</v>
      </c>
      <c r="G1685" s="30" t="s">
        <v>1040</v>
      </c>
      <c r="H1685" s="30" t="s">
        <v>212</v>
      </c>
      <c r="I1685" s="30" t="s">
        <v>2342</v>
      </c>
      <c r="J1685" s="30" t="s">
        <v>166</v>
      </c>
      <c r="K1685" s="30" t="s">
        <v>166</v>
      </c>
      <c r="L1685" s="30" t="s">
        <v>166</v>
      </c>
      <c r="M1685" s="30" t="s">
        <v>166</v>
      </c>
      <c r="N1685" s="30" t="s">
        <v>166</v>
      </c>
      <c r="O1685" s="30" t="s">
        <v>166</v>
      </c>
      <c r="P1685" s="30" t="s">
        <v>166</v>
      </c>
      <c r="Q1685" s="30" t="s">
        <v>166</v>
      </c>
    </row>
    <row r="1686" hidden="1">
      <c r="A1686" s="33" t="str">
        <f>hyperlink("https://issues.sierrawireless.com/browse/OEMPRI-7658", "OEMPRI-7658")</f>
        <v>OEMPRI-7658</v>
      </c>
      <c r="B1686" s="30" t="s">
        <v>139</v>
      </c>
      <c r="C1686" s="30" t="s">
        <v>140</v>
      </c>
      <c r="D1686" s="30" t="s">
        <v>141</v>
      </c>
      <c r="E1686" s="35">
        <v>43291.0</v>
      </c>
      <c r="F1686" s="37" t="s">
        <v>150</v>
      </c>
      <c r="G1686" s="30" t="s">
        <v>223</v>
      </c>
      <c r="H1686" s="30" t="s">
        <v>223</v>
      </c>
      <c r="I1686" s="30" t="s">
        <v>438</v>
      </c>
      <c r="J1686" s="30" t="s">
        <v>145</v>
      </c>
      <c r="K1686" s="30" t="s">
        <v>145</v>
      </c>
      <c r="L1686" s="30" t="s">
        <v>145</v>
      </c>
      <c r="M1686" s="30" t="s">
        <v>145</v>
      </c>
      <c r="N1686" s="30" t="s">
        <v>145</v>
      </c>
      <c r="O1686" s="30" t="s">
        <v>145</v>
      </c>
      <c r="P1686" s="30" t="s">
        <v>145</v>
      </c>
      <c r="Q1686" s="30" t="s">
        <v>146</v>
      </c>
    </row>
    <row r="1687" hidden="1">
      <c r="A1687" s="33" t="str">
        <f>hyperlink("https://issues.sierrawireless.com/browse/OEMPRI-6971", "OEMPRI-6971")</f>
        <v>OEMPRI-6971</v>
      </c>
      <c r="B1687" s="30" t="s">
        <v>139</v>
      </c>
      <c r="C1687" s="30" t="s">
        <v>148</v>
      </c>
      <c r="D1687" s="30" t="s">
        <v>244</v>
      </c>
      <c r="E1687" s="35">
        <v>43223.0</v>
      </c>
      <c r="F1687" s="37" t="s">
        <v>150</v>
      </c>
      <c r="G1687" s="30" t="s">
        <v>197</v>
      </c>
      <c r="H1687" s="30" t="s">
        <v>145</v>
      </c>
      <c r="I1687" s="30" t="s">
        <v>152</v>
      </c>
      <c r="J1687" s="30" t="s">
        <v>189</v>
      </c>
      <c r="K1687" s="30" t="s">
        <v>152</v>
      </c>
      <c r="L1687" s="30" t="s">
        <v>152</v>
      </c>
      <c r="M1687" s="30" t="s">
        <v>2205</v>
      </c>
      <c r="N1687" s="30" t="s">
        <v>152</v>
      </c>
      <c r="O1687" s="30" t="s">
        <v>152</v>
      </c>
      <c r="P1687" s="30" t="s">
        <v>152</v>
      </c>
      <c r="Q1687" s="30" t="s">
        <v>152</v>
      </c>
    </row>
    <row r="1688">
      <c r="A1688" s="33" t="str">
        <f>hyperlink("https://issues.sierrawireless.com/browse/OEMPRI-8029", "OEMPRI-8029")</f>
        <v>OEMPRI-8029</v>
      </c>
      <c r="B1688" s="30" t="s">
        <v>277</v>
      </c>
      <c r="C1688" s="30" t="s">
        <v>120</v>
      </c>
      <c r="D1688" s="30" t="s">
        <v>177</v>
      </c>
      <c r="E1688" s="35">
        <v>43320.0</v>
      </c>
      <c r="F1688" s="37" t="s">
        <v>150</v>
      </c>
      <c r="G1688" s="30" t="s">
        <v>1040</v>
      </c>
      <c r="H1688" s="30" t="s">
        <v>212</v>
      </c>
      <c r="I1688" s="30" t="s">
        <v>7423</v>
      </c>
      <c r="J1688" s="30" t="s">
        <v>166</v>
      </c>
      <c r="K1688" s="30" t="s">
        <v>166</v>
      </c>
      <c r="L1688" s="30" t="s">
        <v>166</v>
      </c>
      <c r="M1688" s="30" t="s">
        <v>166</v>
      </c>
      <c r="N1688" s="30" t="s">
        <v>166</v>
      </c>
      <c r="O1688" s="30" t="s">
        <v>166</v>
      </c>
      <c r="P1688" s="30" t="s">
        <v>166</v>
      </c>
      <c r="Q1688" s="30" t="s">
        <v>166</v>
      </c>
    </row>
    <row r="1689" hidden="1">
      <c r="A1689" s="33" t="str">
        <f>hyperlink("https://issues.sierrawireless.com/browse/OEMPRI-7660", "OEMPRI-7660")</f>
        <v>OEMPRI-7660</v>
      </c>
      <c r="B1689" s="30" t="s">
        <v>139</v>
      </c>
      <c r="C1689" s="30" t="s">
        <v>148</v>
      </c>
      <c r="D1689" s="30" t="s">
        <v>140</v>
      </c>
      <c r="E1689" s="35">
        <v>43291.0</v>
      </c>
      <c r="F1689" s="37" t="s">
        <v>150</v>
      </c>
      <c r="G1689" s="30" t="s">
        <v>264</v>
      </c>
      <c r="H1689" s="30" t="s">
        <v>145</v>
      </c>
      <c r="I1689" s="30" t="s">
        <v>146</v>
      </c>
      <c r="J1689" s="30" t="s">
        <v>146</v>
      </c>
      <c r="K1689" s="30" t="s">
        <v>152</v>
      </c>
      <c r="L1689" s="30" t="s">
        <v>152</v>
      </c>
      <c r="M1689" s="30" t="s">
        <v>556</v>
      </c>
      <c r="N1689" s="30" t="s">
        <v>145</v>
      </c>
      <c r="O1689" s="30" t="s">
        <v>145</v>
      </c>
      <c r="P1689" s="30" t="s">
        <v>145</v>
      </c>
      <c r="Q1689" s="30" t="s">
        <v>152</v>
      </c>
    </row>
    <row r="1690" hidden="1">
      <c r="A1690" s="33" t="str">
        <f>hyperlink("https://issues.sierrawireless.com/browse/OEMPRI-7047", "OEMPRI-7047")</f>
        <v>OEMPRI-7047</v>
      </c>
      <c r="B1690" s="30" t="s">
        <v>139</v>
      </c>
      <c r="C1690" s="30" t="s">
        <v>148</v>
      </c>
      <c r="D1690" s="30" t="s">
        <v>122</v>
      </c>
      <c r="E1690" s="35">
        <v>43229.0</v>
      </c>
      <c r="F1690" s="37" t="s">
        <v>150</v>
      </c>
      <c r="G1690" s="30" t="s">
        <v>152</v>
      </c>
      <c r="H1690" s="30" t="s">
        <v>145</v>
      </c>
      <c r="I1690" s="30" t="s">
        <v>145</v>
      </c>
      <c r="J1690" s="30" t="s">
        <v>145</v>
      </c>
      <c r="K1690" s="30" t="s">
        <v>145</v>
      </c>
      <c r="L1690" s="30" t="s">
        <v>145</v>
      </c>
      <c r="M1690" s="30" t="s">
        <v>145</v>
      </c>
      <c r="N1690" s="30" t="s">
        <v>145</v>
      </c>
      <c r="O1690" s="30" t="s">
        <v>145</v>
      </c>
      <c r="P1690" s="30" t="s">
        <v>145</v>
      </c>
      <c r="Q1690" s="30" t="s">
        <v>152</v>
      </c>
    </row>
    <row r="1691" hidden="1">
      <c r="A1691" s="33" t="str">
        <f>hyperlink("https://issues.sierrawireless.com/browse/OEMPRI-6898", "OEMPRI-6898")</f>
        <v>OEMPRI-6898</v>
      </c>
      <c r="B1691" s="30" t="s">
        <v>139</v>
      </c>
      <c r="C1691" s="30" t="s">
        <v>140</v>
      </c>
      <c r="D1691" s="30" t="s">
        <v>141</v>
      </c>
      <c r="E1691" s="35">
        <v>43215.0</v>
      </c>
      <c r="F1691" s="37" t="s">
        <v>150</v>
      </c>
      <c r="G1691" s="30" t="s">
        <v>163</v>
      </c>
      <c r="H1691" s="30" t="s">
        <v>146</v>
      </c>
      <c r="I1691" s="30" t="s">
        <v>7424</v>
      </c>
      <c r="J1691" s="30" t="s">
        <v>145</v>
      </c>
      <c r="K1691" s="30" t="s">
        <v>145</v>
      </c>
      <c r="L1691" s="30" t="s">
        <v>145</v>
      </c>
      <c r="M1691" s="30" t="s">
        <v>145</v>
      </c>
      <c r="N1691" s="30" t="s">
        <v>145</v>
      </c>
      <c r="O1691" s="30" t="s">
        <v>145</v>
      </c>
      <c r="P1691" s="30" t="s">
        <v>145</v>
      </c>
      <c r="Q1691" s="30" t="s">
        <v>146</v>
      </c>
    </row>
    <row r="1692">
      <c r="A1692" s="33" t="str">
        <f>hyperlink("https://issues.sierrawireless.com/browse/OEMPRI-8024", "OEMPRI-8024")</f>
        <v>OEMPRI-8024</v>
      </c>
      <c r="B1692" s="30" t="s">
        <v>225</v>
      </c>
      <c r="C1692" s="30" t="s">
        <v>120</v>
      </c>
      <c r="D1692" s="30" t="s">
        <v>177</v>
      </c>
      <c r="E1692" s="35">
        <v>43320.0</v>
      </c>
      <c r="F1692" s="37" t="s">
        <v>150</v>
      </c>
      <c r="G1692" s="30" t="s">
        <v>1040</v>
      </c>
      <c r="H1692" s="30" t="s">
        <v>212</v>
      </c>
      <c r="I1692" s="30" t="s">
        <v>7425</v>
      </c>
      <c r="J1692" s="30" t="s">
        <v>2342</v>
      </c>
      <c r="K1692" s="30" t="s">
        <v>166</v>
      </c>
      <c r="L1692" s="30" t="s">
        <v>166</v>
      </c>
      <c r="M1692" s="30" t="s">
        <v>166</v>
      </c>
      <c r="N1692" s="30" t="s">
        <v>166</v>
      </c>
      <c r="O1692" s="30" t="s">
        <v>166</v>
      </c>
      <c r="P1692" s="30" t="s">
        <v>166</v>
      </c>
      <c r="Q1692" s="30" t="s">
        <v>166</v>
      </c>
    </row>
    <row r="1693" hidden="1">
      <c r="A1693" s="33" t="str">
        <f>hyperlink("https://issues.sierrawireless.com/browse/OEMPRI-6842", "OEMPRI-6842")</f>
        <v>OEMPRI-6842</v>
      </c>
      <c r="B1693" s="30" t="s">
        <v>139</v>
      </c>
      <c r="C1693" s="30" t="s">
        <v>141</v>
      </c>
      <c r="D1693" s="30" t="s">
        <v>141</v>
      </c>
      <c r="E1693" s="35">
        <v>43210.0</v>
      </c>
      <c r="F1693" s="37" t="s">
        <v>150</v>
      </c>
      <c r="G1693" s="30" t="s">
        <v>152</v>
      </c>
      <c r="H1693" s="30" t="s">
        <v>152</v>
      </c>
      <c r="I1693" s="30" t="s">
        <v>152</v>
      </c>
      <c r="J1693" s="30" t="s">
        <v>189</v>
      </c>
      <c r="K1693" s="30" t="s">
        <v>152</v>
      </c>
      <c r="L1693" s="30" t="s">
        <v>152</v>
      </c>
      <c r="M1693" s="30" t="s">
        <v>7426</v>
      </c>
      <c r="N1693" s="30" t="s">
        <v>145</v>
      </c>
      <c r="O1693" s="30" t="s">
        <v>145</v>
      </c>
      <c r="P1693" s="30" t="s">
        <v>145</v>
      </c>
      <c r="Q1693" s="30" t="s">
        <v>180</v>
      </c>
    </row>
    <row r="1694" hidden="1">
      <c r="A1694" s="33" t="str">
        <f>hyperlink("https://issues.sierrawireless.com/browse/OEMPRI-7435", "OEMPRI-7435")</f>
        <v>OEMPRI-7435</v>
      </c>
      <c r="B1694" s="30" t="s">
        <v>139</v>
      </c>
      <c r="C1694" s="30" t="s">
        <v>148</v>
      </c>
      <c r="D1694" s="30" t="s">
        <v>141</v>
      </c>
      <c r="E1694" s="35">
        <v>43264.0</v>
      </c>
      <c r="F1694" s="37" t="s">
        <v>150</v>
      </c>
      <c r="G1694" s="30" t="s">
        <v>163</v>
      </c>
      <c r="H1694" s="30" t="s">
        <v>146</v>
      </c>
      <c r="I1694" s="30" t="s">
        <v>264</v>
      </c>
      <c r="J1694" s="30" t="s">
        <v>278</v>
      </c>
      <c r="K1694" s="30" t="s">
        <v>152</v>
      </c>
      <c r="L1694" s="30" t="s">
        <v>152</v>
      </c>
      <c r="M1694" s="30" t="s">
        <v>2434</v>
      </c>
      <c r="N1694" s="30" t="s">
        <v>145</v>
      </c>
      <c r="O1694" s="30" t="s">
        <v>145</v>
      </c>
      <c r="P1694" s="30" t="s">
        <v>145</v>
      </c>
      <c r="Q1694" s="30" t="s">
        <v>152</v>
      </c>
    </row>
    <row r="1695" hidden="1">
      <c r="A1695" s="33" t="str">
        <f>hyperlink("https://issues.sierrawireless.com/browse/OEMPRI-6799", "OEMPRI-6799")</f>
        <v>OEMPRI-6799</v>
      </c>
      <c r="B1695" s="30" t="s">
        <v>139</v>
      </c>
      <c r="C1695" s="30" t="s">
        <v>141</v>
      </c>
      <c r="D1695" s="30" t="s">
        <v>141</v>
      </c>
      <c r="E1695" s="35">
        <v>43206.0</v>
      </c>
      <c r="F1695" s="37" t="s">
        <v>150</v>
      </c>
      <c r="G1695" s="30" t="s">
        <v>2587</v>
      </c>
      <c r="H1695" s="30" t="s">
        <v>180</v>
      </c>
      <c r="I1695" s="30" t="s">
        <v>146</v>
      </c>
      <c r="J1695" s="30" t="s">
        <v>189</v>
      </c>
      <c r="K1695" s="30" t="s">
        <v>152</v>
      </c>
      <c r="L1695" s="30" t="s">
        <v>152</v>
      </c>
      <c r="M1695" s="30" t="s">
        <v>7426</v>
      </c>
      <c r="N1695" s="30" t="s">
        <v>145</v>
      </c>
      <c r="O1695" s="30" t="s">
        <v>145</v>
      </c>
      <c r="P1695" s="30" t="s">
        <v>145</v>
      </c>
      <c r="Q1695" s="30" t="s">
        <v>180</v>
      </c>
    </row>
    <row r="1696" hidden="1">
      <c r="A1696" s="33" t="str">
        <f>hyperlink("https://issues.sierrawireless.com/browse/OEMPRI-7898", "OEMPRI-7898")</f>
        <v>OEMPRI-7898</v>
      </c>
      <c r="B1696" s="30" t="s">
        <v>139</v>
      </c>
      <c r="C1696" s="30" t="s">
        <v>170</v>
      </c>
      <c r="D1696" s="30" t="s">
        <v>170</v>
      </c>
      <c r="E1696" s="35">
        <v>43308.0</v>
      </c>
      <c r="F1696" s="37" t="s">
        <v>150</v>
      </c>
      <c r="G1696" s="30" t="s">
        <v>660</v>
      </c>
      <c r="H1696" s="30" t="s">
        <v>223</v>
      </c>
      <c r="I1696" s="30" t="s">
        <v>146</v>
      </c>
      <c r="J1696" s="30" t="s">
        <v>407</v>
      </c>
      <c r="K1696" s="30" t="s">
        <v>152</v>
      </c>
      <c r="L1696" s="30" t="s">
        <v>152</v>
      </c>
      <c r="M1696" s="30" t="s">
        <v>7391</v>
      </c>
      <c r="N1696" s="30" t="s">
        <v>145</v>
      </c>
      <c r="O1696" s="30" t="s">
        <v>145</v>
      </c>
      <c r="P1696" s="30" t="s">
        <v>145</v>
      </c>
      <c r="Q1696" s="30" t="s">
        <v>743</v>
      </c>
    </row>
    <row r="1697" hidden="1">
      <c r="A1697" s="33" t="str">
        <f>hyperlink("https://issues.sierrawireless.com/browse/OEMPRI-7869", "OEMPRI-7869")</f>
        <v>OEMPRI-7869</v>
      </c>
      <c r="B1697" s="30" t="s">
        <v>139</v>
      </c>
      <c r="C1697" s="30" t="s">
        <v>155</v>
      </c>
      <c r="D1697" s="30" t="s">
        <v>170</v>
      </c>
      <c r="E1697" s="35">
        <v>43307.0</v>
      </c>
      <c r="F1697" s="37" t="s">
        <v>150</v>
      </c>
      <c r="G1697" s="30" t="s">
        <v>264</v>
      </c>
      <c r="H1697" s="30" t="s">
        <v>146</v>
      </c>
      <c r="I1697" s="30" t="s">
        <v>540</v>
      </c>
      <c r="J1697" s="30" t="s">
        <v>2578</v>
      </c>
      <c r="K1697" s="30" t="s">
        <v>145</v>
      </c>
      <c r="L1697" s="30" t="s">
        <v>145</v>
      </c>
      <c r="M1697" s="30" t="s">
        <v>145</v>
      </c>
      <c r="N1697" s="30" t="s">
        <v>145</v>
      </c>
      <c r="O1697" s="30" t="s">
        <v>145</v>
      </c>
      <c r="P1697" s="30" t="s">
        <v>145</v>
      </c>
      <c r="Q1697" s="30" t="s">
        <v>158</v>
      </c>
    </row>
    <row r="1698" hidden="1">
      <c r="A1698" s="33" t="str">
        <f>hyperlink("https://issues.sierrawireless.com/browse/OEMPRI-6695", "OEMPRI-6695")</f>
        <v>OEMPRI-6695</v>
      </c>
      <c r="B1698" s="30" t="s">
        <v>139</v>
      </c>
      <c r="C1698" s="30" t="s">
        <v>140</v>
      </c>
      <c r="D1698" s="30" t="s">
        <v>140</v>
      </c>
      <c r="E1698" s="35">
        <v>43194.0</v>
      </c>
      <c r="F1698" s="37" t="s">
        <v>143</v>
      </c>
      <c r="G1698" s="30" t="s">
        <v>7427</v>
      </c>
      <c r="H1698" s="30" t="s">
        <v>145</v>
      </c>
      <c r="I1698" s="30" t="s">
        <v>145</v>
      </c>
      <c r="J1698" s="30" t="s">
        <v>145</v>
      </c>
      <c r="K1698" s="30" t="s">
        <v>145</v>
      </c>
      <c r="L1698" s="30" t="s">
        <v>145</v>
      </c>
      <c r="M1698" s="30" t="s">
        <v>145</v>
      </c>
      <c r="N1698" s="30" t="s">
        <v>145</v>
      </c>
      <c r="O1698" s="30" t="s">
        <v>145</v>
      </c>
      <c r="P1698" s="30" t="s">
        <v>145</v>
      </c>
      <c r="Q1698" s="30" t="s">
        <v>146</v>
      </c>
    </row>
    <row r="1699">
      <c r="A1699" s="33" t="str">
        <f>hyperlink("https://issues.sierrawireless.com/browse/OEMPRI-8009", "OEMPRI-8009")</f>
        <v>OEMPRI-8009</v>
      </c>
      <c r="B1699" s="30" t="s">
        <v>86</v>
      </c>
      <c r="C1699" s="30" t="s">
        <v>140</v>
      </c>
      <c r="D1699" s="30" t="s">
        <v>140</v>
      </c>
      <c r="E1699" s="35">
        <v>43319.0</v>
      </c>
      <c r="F1699" s="37" t="s">
        <v>269</v>
      </c>
      <c r="G1699" s="30" t="s">
        <v>611</v>
      </c>
      <c r="H1699" s="30" t="s">
        <v>145</v>
      </c>
      <c r="I1699" s="30" t="s">
        <v>145</v>
      </c>
      <c r="J1699" s="30" t="s">
        <v>145</v>
      </c>
      <c r="K1699" s="30" t="s">
        <v>145</v>
      </c>
      <c r="L1699" s="30" t="s">
        <v>145</v>
      </c>
      <c r="M1699" s="30" t="s">
        <v>145</v>
      </c>
      <c r="N1699" s="30" t="s">
        <v>145</v>
      </c>
      <c r="O1699" s="30" t="s">
        <v>145</v>
      </c>
      <c r="P1699" s="30" t="s">
        <v>145</v>
      </c>
      <c r="Q1699" s="30" t="s">
        <v>166</v>
      </c>
    </row>
    <row r="1700" hidden="1">
      <c r="A1700" s="33" t="s">
        <v>2752</v>
      </c>
      <c r="B1700" s="30" t="s">
        <v>139</v>
      </c>
      <c r="C1700" s="30" t="s">
        <v>148</v>
      </c>
      <c r="D1700" s="30" t="s">
        <v>122</v>
      </c>
      <c r="E1700" s="43">
        <v>43038.0</v>
      </c>
      <c r="F1700" s="44" t="s">
        <v>150</v>
      </c>
      <c r="G1700" s="30" t="s">
        <v>438</v>
      </c>
      <c r="H1700" s="30" t="s">
        <v>146</v>
      </c>
      <c r="I1700" s="30" t="s">
        <v>1441</v>
      </c>
      <c r="J1700" s="30" t="s">
        <v>7428</v>
      </c>
      <c r="K1700" s="30" t="s">
        <v>7384</v>
      </c>
      <c r="L1700" s="30" t="s">
        <v>687</v>
      </c>
      <c r="M1700" s="30" t="s">
        <v>687</v>
      </c>
      <c r="N1700" s="30" t="s">
        <v>152</v>
      </c>
      <c r="O1700" s="30" t="s">
        <v>152</v>
      </c>
      <c r="P1700" s="2" t="s">
        <v>152</v>
      </c>
      <c r="Q1700" s="30" t="s">
        <v>152</v>
      </c>
    </row>
    <row r="1701" hidden="1">
      <c r="A1701" s="33" t="s">
        <v>4041</v>
      </c>
      <c r="B1701" s="30" t="s">
        <v>139</v>
      </c>
      <c r="C1701" s="30" t="s">
        <v>1587</v>
      </c>
      <c r="D1701" s="30" t="s">
        <v>155</v>
      </c>
      <c r="E1701" s="35">
        <v>42926.0</v>
      </c>
      <c r="F1701" s="37" t="s">
        <v>184</v>
      </c>
      <c r="G1701" s="30" t="s">
        <v>1587</v>
      </c>
      <c r="H1701" s="30" t="s">
        <v>146</v>
      </c>
      <c r="I1701" s="30" t="s">
        <v>185</v>
      </c>
      <c r="J1701" s="2" t="s">
        <v>7429</v>
      </c>
      <c r="K1701" s="30" t="s">
        <v>145</v>
      </c>
      <c r="L1701" s="30" t="s">
        <v>145</v>
      </c>
      <c r="M1701" s="30" t="s">
        <v>145</v>
      </c>
      <c r="N1701" s="30" t="s">
        <v>145</v>
      </c>
      <c r="O1701" s="30" t="s">
        <v>145</v>
      </c>
      <c r="P1701" s="30" t="s">
        <v>145</v>
      </c>
      <c r="Q1701" s="30" t="s">
        <v>2527</v>
      </c>
    </row>
    <row r="1702" hidden="1">
      <c r="A1702" s="33" t="str">
        <f>hyperlink("https://issues.sierrawireless.com/browse/OEMPRI-7726", "OEMPRI-7726")</f>
        <v>OEMPRI-7726</v>
      </c>
      <c r="B1702" s="30" t="s">
        <v>139</v>
      </c>
      <c r="C1702" s="30" t="s">
        <v>170</v>
      </c>
      <c r="D1702" s="30" t="s">
        <v>170</v>
      </c>
      <c r="E1702" s="35">
        <v>43297.0</v>
      </c>
      <c r="F1702" s="37" t="s">
        <v>150</v>
      </c>
      <c r="G1702" s="30" t="s">
        <v>283</v>
      </c>
      <c r="H1702" s="30" t="s">
        <v>146</v>
      </c>
      <c r="I1702" s="30" t="s">
        <v>228</v>
      </c>
      <c r="J1702" s="30" t="s">
        <v>1737</v>
      </c>
      <c r="K1702" s="30" t="s">
        <v>152</v>
      </c>
      <c r="L1702" s="30" t="s">
        <v>152</v>
      </c>
      <c r="M1702" s="30" t="s">
        <v>172</v>
      </c>
      <c r="N1702" s="30" t="s">
        <v>145</v>
      </c>
      <c r="O1702" s="30" t="s">
        <v>145</v>
      </c>
      <c r="P1702" s="30" t="s">
        <v>145</v>
      </c>
      <c r="Q1702" s="30" t="s">
        <v>743</v>
      </c>
    </row>
    <row r="1703" hidden="1">
      <c r="A1703" s="33" t="str">
        <f>hyperlink("https://issues.sierrawireless.com/browse/OEMPRI-6646", "OEMPRI-6646")</f>
        <v>OEMPRI-6646</v>
      </c>
      <c r="B1703" s="30" t="s">
        <v>139</v>
      </c>
      <c r="C1703" s="30" t="s">
        <v>141</v>
      </c>
      <c r="D1703" s="30" t="s">
        <v>141</v>
      </c>
      <c r="E1703" s="35">
        <v>43187.0</v>
      </c>
      <c r="F1703" s="37" t="s">
        <v>150</v>
      </c>
      <c r="G1703" s="30" t="s">
        <v>146</v>
      </c>
      <c r="H1703" s="30" t="s">
        <v>146</v>
      </c>
      <c r="I1703" s="30" t="s">
        <v>146</v>
      </c>
      <c r="J1703" s="30" t="s">
        <v>189</v>
      </c>
      <c r="K1703" s="30" t="s">
        <v>152</v>
      </c>
      <c r="L1703" s="30" t="s">
        <v>152</v>
      </c>
      <c r="M1703" s="30" t="s">
        <v>7430</v>
      </c>
      <c r="N1703" s="30" t="s">
        <v>145</v>
      </c>
      <c r="O1703" s="30" t="s">
        <v>145</v>
      </c>
      <c r="P1703" s="30" t="s">
        <v>145</v>
      </c>
      <c r="Q1703" s="30" t="s">
        <v>180</v>
      </c>
    </row>
    <row r="1704" hidden="1">
      <c r="A1704" s="33" t="str">
        <f>hyperlink("https://issues.sierrawireless.com/browse/OEMPRI-6598", "OEMPRI-6598")</f>
        <v>OEMPRI-6598</v>
      </c>
      <c r="B1704" s="30" t="s">
        <v>139</v>
      </c>
      <c r="C1704" s="30" t="s">
        <v>141</v>
      </c>
      <c r="D1704" s="30" t="s">
        <v>141</v>
      </c>
      <c r="E1704" s="35">
        <v>43182.0</v>
      </c>
      <c r="F1704" s="37" t="s">
        <v>150</v>
      </c>
      <c r="G1704" s="30" t="s">
        <v>4856</v>
      </c>
      <c r="H1704" s="30" t="s">
        <v>223</v>
      </c>
      <c r="I1704" s="30" t="s">
        <v>146</v>
      </c>
      <c r="J1704" s="30" t="s">
        <v>278</v>
      </c>
      <c r="K1704" s="30" t="s">
        <v>7433</v>
      </c>
      <c r="L1704" s="30" t="s">
        <v>180</v>
      </c>
      <c r="M1704" s="30" t="s">
        <v>2142</v>
      </c>
      <c r="N1704" s="30" t="s">
        <v>145</v>
      </c>
      <c r="O1704" s="30" t="s">
        <v>145</v>
      </c>
      <c r="P1704" s="30" t="s">
        <v>145</v>
      </c>
      <c r="Q1704" s="30" t="s">
        <v>180</v>
      </c>
    </row>
    <row r="1705">
      <c r="A1705" s="33" t="str">
        <f>hyperlink("https://issues.sierrawireless.com/browse/OEMPRI-8002", "OEMPRI-8002")</f>
        <v>OEMPRI-8002</v>
      </c>
      <c r="B1705" s="30" t="s">
        <v>469</v>
      </c>
      <c r="C1705" s="30" t="s">
        <v>155</v>
      </c>
      <c r="D1705" s="30" t="s">
        <v>155</v>
      </c>
      <c r="E1705" s="35">
        <v>43318.0</v>
      </c>
      <c r="F1705" s="37" t="s">
        <v>150</v>
      </c>
      <c r="G1705" s="30" t="s">
        <v>540</v>
      </c>
      <c r="H1705" s="30" t="s">
        <v>145</v>
      </c>
      <c r="I1705" s="30" t="s">
        <v>146</v>
      </c>
      <c r="J1705" s="30" t="s">
        <v>158</v>
      </c>
      <c r="K1705" s="30" t="s">
        <v>158</v>
      </c>
      <c r="L1705" s="30" t="s">
        <v>158</v>
      </c>
      <c r="M1705" s="30" t="s">
        <v>2405</v>
      </c>
      <c r="N1705" s="30" t="s">
        <v>145</v>
      </c>
      <c r="O1705" s="30" t="s">
        <v>145</v>
      </c>
      <c r="P1705" s="30" t="s">
        <v>145</v>
      </c>
      <c r="Q1705" s="30" t="s">
        <v>166</v>
      </c>
    </row>
    <row r="1706" hidden="1">
      <c r="A1706" s="33" t="str">
        <f>hyperlink("https://issues.sierrawireless.com/browse/OEMPRI-7149", "OEMPRI-7149")</f>
        <v>OEMPRI-7149</v>
      </c>
      <c r="B1706" s="30" t="s">
        <v>139</v>
      </c>
      <c r="C1706" s="30" t="s">
        <v>140</v>
      </c>
      <c r="D1706" s="30" t="s">
        <v>140</v>
      </c>
      <c r="E1706" s="35">
        <v>43235.0</v>
      </c>
      <c r="F1706" s="37" t="s">
        <v>269</v>
      </c>
      <c r="G1706" s="30" t="s">
        <v>540</v>
      </c>
      <c r="H1706" s="30" t="s">
        <v>145</v>
      </c>
      <c r="I1706" s="30" t="s">
        <v>145</v>
      </c>
      <c r="J1706" s="30" t="s">
        <v>145</v>
      </c>
      <c r="K1706" s="30" t="s">
        <v>145</v>
      </c>
      <c r="L1706" s="30" t="s">
        <v>145</v>
      </c>
      <c r="M1706" s="30" t="s">
        <v>145</v>
      </c>
      <c r="N1706" s="30" t="s">
        <v>145</v>
      </c>
      <c r="O1706" s="30" t="s">
        <v>145</v>
      </c>
      <c r="P1706" s="30" t="s">
        <v>145</v>
      </c>
      <c r="Q1706" s="30" t="s">
        <v>146</v>
      </c>
    </row>
    <row r="1707" hidden="1">
      <c r="A1707" s="33" t="str">
        <f>hyperlink("https://issues.sierrawireless.com/browse/OEMPRI-6611", "OEMPRI-6611")</f>
        <v>OEMPRI-6611</v>
      </c>
      <c r="B1707" s="30" t="s">
        <v>139</v>
      </c>
      <c r="C1707" s="30" t="s">
        <v>141</v>
      </c>
      <c r="D1707" s="30" t="s">
        <v>141</v>
      </c>
      <c r="E1707" s="35">
        <v>43182.0</v>
      </c>
      <c r="F1707" s="37" t="s">
        <v>150</v>
      </c>
      <c r="G1707" s="30" t="s">
        <v>660</v>
      </c>
      <c r="H1707" s="30" t="s">
        <v>223</v>
      </c>
      <c r="I1707" s="30" t="s">
        <v>521</v>
      </c>
      <c r="J1707" s="30" t="s">
        <v>189</v>
      </c>
      <c r="K1707" s="30" t="s">
        <v>152</v>
      </c>
      <c r="L1707" s="30" t="s">
        <v>152</v>
      </c>
      <c r="M1707" s="30" t="s">
        <v>7435</v>
      </c>
      <c r="N1707" s="30" t="s">
        <v>145</v>
      </c>
      <c r="O1707" s="30" t="s">
        <v>145</v>
      </c>
      <c r="P1707" s="30" t="s">
        <v>145</v>
      </c>
      <c r="Q1707" s="30" t="s">
        <v>180</v>
      </c>
    </row>
    <row r="1708">
      <c r="A1708" s="33" t="str">
        <f>hyperlink("https://issues.sierrawireless.com/browse/OEMPRI-8000", "OEMPRI-8000")</f>
        <v>OEMPRI-8000</v>
      </c>
      <c r="B1708" s="30" t="s">
        <v>175</v>
      </c>
      <c r="C1708" s="30" t="s">
        <v>148</v>
      </c>
      <c r="D1708" s="30" t="s">
        <v>149</v>
      </c>
      <c r="E1708" s="35">
        <v>43318.0</v>
      </c>
      <c r="F1708" s="37" t="s">
        <v>150</v>
      </c>
      <c r="G1708" s="30" t="s">
        <v>212</v>
      </c>
      <c r="H1708" s="30" t="s">
        <v>212</v>
      </c>
      <c r="I1708" s="30" t="s">
        <v>212</v>
      </c>
      <c r="J1708" s="30" t="s">
        <v>212</v>
      </c>
      <c r="K1708" s="30" t="s">
        <v>210</v>
      </c>
      <c r="L1708" s="30" t="s">
        <v>212</v>
      </c>
      <c r="M1708" s="30" t="s">
        <v>212</v>
      </c>
      <c r="N1708" s="30" t="s">
        <v>152</v>
      </c>
      <c r="O1708" s="30" t="s">
        <v>152</v>
      </c>
      <c r="P1708" s="30" t="s">
        <v>152</v>
      </c>
      <c r="Q1708" s="30" t="s">
        <v>166</v>
      </c>
    </row>
    <row r="1709">
      <c r="A1709" s="33" t="str">
        <f>hyperlink("https://issues.sierrawireless.com/browse/OEMPRI-8004", "OEMPRI-8004")</f>
        <v>OEMPRI-8004</v>
      </c>
      <c r="B1709" s="30" t="s">
        <v>139</v>
      </c>
      <c r="C1709" s="30" t="s">
        <v>1380</v>
      </c>
      <c r="D1709" s="30" t="s">
        <v>141</v>
      </c>
      <c r="E1709" s="35">
        <v>43318.0</v>
      </c>
      <c r="F1709" s="37" t="s">
        <v>150</v>
      </c>
      <c r="G1709" s="30" t="s">
        <v>163</v>
      </c>
      <c r="H1709" s="30" t="s">
        <v>145</v>
      </c>
      <c r="I1709" s="30" t="s">
        <v>146</v>
      </c>
      <c r="J1709" s="30" t="s">
        <v>407</v>
      </c>
      <c r="K1709" s="30" t="s">
        <v>152</v>
      </c>
      <c r="L1709" s="30" t="s">
        <v>152</v>
      </c>
      <c r="M1709" s="30" t="s">
        <v>7436</v>
      </c>
      <c r="N1709" s="30" t="s">
        <v>145</v>
      </c>
      <c r="O1709" s="30" t="s">
        <v>145</v>
      </c>
      <c r="P1709" s="30" t="s">
        <v>145</v>
      </c>
      <c r="Q1709" s="30" t="s">
        <v>189</v>
      </c>
    </row>
    <row r="1710" hidden="1">
      <c r="A1710" s="33" t="str">
        <f>hyperlink("https://issues.sierrawireless.com/browse/OEMPRI-7556", "OEMPRI-7556")</f>
        <v>OEMPRI-7556</v>
      </c>
      <c r="B1710" s="30" t="s">
        <v>139</v>
      </c>
      <c r="C1710" s="30" t="s">
        <v>148</v>
      </c>
      <c r="D1710" s="30" t="s">
        <v>609</v>
      </c>
      <c r="E1710" s="35">
        <v>43279.0</v>
      </c>
      <c r="F1710" s="37" t="s">
        <v>150</v>
      </c>
      <c r="G1710" s="30" t="s">
        <v>199</v>
      </c>
      <c r="H1710" s="30" t="s">
        <v>152</v>
      </c>
      <c r="I1710" s="30" t="s">
        <v>146</v>
      </c>
      <c r="J1710" s="30" t="s">
        <v>2130</v>
      </c>
      <c r="K1710" s="30" t="s">
        <v>152</v>
      </c>
      <c r="L1710" s="30" t="s">
        <v>152</v>
      </c>
      <c r="M1710" s="30" t="s">
        <v>506</v>
      </c>
      <c r="N1710" s="30" t="s">
        <v>152</v>
      </c>
      <c r="O1710" s="30" t="s">
        <v>152</v>
      </c>
      <c r="P1710" s="30" t="s">
        <v>152</v>
      </c>
      <c r="Q1710" s="30" t="s">
        <v>152</v>
      </c>
    </row>
    <row r="1711" hidden="1">
      <c r="A1711" s="33" t="str">
        <f>hyperlink("https://issues.sierrawireless.com/browse/OEMPRI-7826", "OEMPRI-7826")</f>
        <v>OEMPRI-7826</v>
      </c>
      <c r="B1711" s="30" t="s">
        <v>139</v>
      </c>
      <c r="C1711" s="30" t="s">
        <v>155</v>
      </c>
      <c r="D1711" s="30" t="s">
        <v>155</v>
      </c>
      <c r="E1711" s="35">
        <v>43305.0</v>
      </c>
      <c r="F1711" s="37" t="s">
        <v>150</v>
      </c>
      <c r="G1711" s="30" t="s">
        <v>358</v>
      </c>
      <c r="H1711" s="30" t="s">
        <v>223</v>
      </c>
      <c r="I1711" s="30" t="s">
        <v>146</v>
      </c>
      <c r="J1711" s="30" t="s">
        <v>2578</v>
      </c>
      <c r="K1711" s="30" t="s">
        <v>158</v>
      </c>
      <c r="L1711" s="30" t="s">
        <v>158</v>
      </c>
      <c r="M1711" s="30" t="s">
        <v>7438</v>
      </c>
      <c r="N1711" s="30" t="s">
        <v>145</v>
      </c>
      <c r="O1711" s="30" t="s">
        <v>145</v>
      </c>
      <c r="P1711" s="30" t="s">
        <v>145</v>
      </c>
      <c r="Q1711" s="30" t="s">
        <v>158</v>
      </c>
    </row>
    <row r="1712" hidden="1">
      <c r="A1712" s="33" t="str">
        <f>hyperlink("https://issues.sierrawireless.com/browse/OEMPRI-7716", "OEMPRI-7716")</f>
        <v>OEMPRI-7716</v>
      </c>
      <c r="B1712" s="30" t="s">
        <v>139</v>
      </c>
      <c r="C1712" s="30" t="s">
        <v>170</v>
      </c>
      <c r="D1712" s="30" t="s">
        <v>170</v>
      </c>
      <c r="E1712" s="35">
        <v>43294.0</v>
      </c>
      <c r="F1712" s="37" t="s">
        <v>150</v>
      </c>
      <c r="G1712" s="30" t="s">
        <v>222</v>
      </c>
      <c r="H1712" s="30" t="s">
        <v>145</v>
      </c>
      <c r="I1712" s="30" t="s">
        <v>223</v>
      </c>
      <c r="J1712" s="30" t="s">
        <v>407</v>
      </c>
      <c r="K1712" s="30" t="s">
        <v>152</v>
      </c>
      <c r="L1712" s="30" t="s">
        <v>152</v>
      </c>
      <c r="M1712" s="30" t="s">
        <v>7367</v>
      </c>
      <c r="N1712" s="30" t="s">
        <v>145</v>
      </c>
      <c r="O1712" s="30" t="s">
        <v>145</v>
      </c>
      <c r="P1712" s="30" t="s">
        <v>145</v>
      </c>
      <c r="Q1712" s="30" t="s">
        <v>743</v>
      </c>
    </row>
    <row r="1713">
      <c r="A1713" s="33" t="str">
        <f>hyperlink("https://issues.sierrawireless.com/browse/OEMPRI-7970", "OEMPRI-7970")</f>
        <v>OEMPRI-7970</v>
      </c>
      <c r="B1713" s="30" t="s">
        <v>175</v>
      </c>
      <c r="C1713" s="30" t="s">
        <v>148</v>
      </c>
      <c r="D1713" s="30" t="s">
        <v>177</v>
      </c>
      <c r="E1713" s="35">
        <v>43314.0</v>
      </c>
      <c r="F1713" s="37" t="s">
        <v>150</v>
      </c>
      <c r="G1713" s="30" t="s">
        <v>156</v>
      </c>
      <c r="H1713" s="30" t="s">
        <v>152</v>
      </c>
      <c r="I1713" s="30" t="s">
        <v>152</v>
      </c>
      <c r="J1713" s="30" t="s">
        <v>407</v>
      </c>
      <c r="K1713" s="30" t="s">
        <v>407</v>
      </c>
      <c r="L1713" s="30" t="s">
        <v>407</v>
      </c>
      <c r="M1713" s="30" t="s">
        <v>7441</v>
      </c>
      <c r="N1713" s="30" t="s">
        <v>7419</v>
      </c>
      <c r="O1713" s="30" t="s">
        <v>166</v>
      </c>
      <c r="P1713" s="30" t="s">
        <v>166</v>
      </c>
      <c r="Q1713" s="30" t="s">
        <v>166</v>
      </c>
    </row>
    <row r="1714" hidden="1">
      <c r="A1714" s="33" t="str">
        <f>hyperlink("https://issues.sierrawireless.com/browse/OEMPRI-7678", "OEMPRI-7678")</f>
        <v>OEMPRI-7678</v>
      </c>
      <c r="B1714" s="30" t="s">
        <v>139</v>
      </c>
      <c r="C1714" s="30" t="s">
        <v>170</v>
      </c>
      <c r="D1714" s="30" t="s">
        <v>170</v>
      </c>
      <c r="E1714" s="35">
        <v>43292.0</v>
      </c>
      <c r="F1714" s="37" t="s">
        <v>150</v>
      </c>
      <c r="G1714" s="30" t="s">
        <v>185</v>
      </c>
      <c r="H1714" s="30" t="s">
        <v>145</v>
      </c>
      <c r="I1714" s="30" t="s">
        <v>146</v>
      </c>
      <c r="J1714" s="30" t="s">
        <v>1737</v>
      </c>
      <c r="K1714" s="30" t="s">
        <v>152</v>
      </c>
      <c r="L1714" s="30" t="s">
        <v>152</v>
      </c>
      <c r="M1714" s="30" t="s">
        <v>7442</v>
      </c>
      <c r="N1714" s="30" t="s">
        <v>145</v>
      </c>
      <c r="O1714" s="30" t="s">
        <v>145</v>
      </c>
      <c r="P1714" s="30" t="s">
        <v>145</v>
      </c>
      <c r="Q1714" s="30" t="s">
        <v>743</v>
      </c>
    </row>
    <row r="1715">
      <c r="A1715" s="33" t="str">
        <f>hyperlink("https://issues.sierrawireless.com/browse/OEMPRI-7965", "OEMPRI-7965")</f>
        <v>OEMPRI-7965</v>
      </c>
      <c r="B1715" s="30" t="s">
        <v>175</v>
      </c>
      <c r="C1715" s="30" t="s">
        <v>148</v>
      </c>
      <c r="D1715" s="30" t="s">
        <v>177</v>
      </c>
      <c r="E1715" s="35">
        <v>43314.0</v>
      </c>
      <c r="F1715" s="37" t="s">
        <v>150</v>
      </c>
      <c r="G1715" s="30" t="s">
        <v>156</v>
      </c>
      <c r="H1715" s="30" t="s">
        <v>152</v>
      </c>
      <c r="I1715" s="30" t="s">
        <v>152</v>
      </c>
      <c r="J1715" s="30" t="s">
        <v>407</v>
      </c>
      <c r="K1715" s="30" t="s">
        <v>407</v>
      </c>
      <c r="L1715" s="30" t="s">
        <v>407</v>
      </c>
      <c r="M1715" s="30" t="s">
        <v>7371</v>
      </c>
      <c r="N1715" s="30" t="s">
        <v>7443</v>
      </c>
      <c r="O1715" s="30" t="s">
        <v>166</v>
      </c>
      <c r="P1715" s="30" t="s">
        <v>166</v>
      </c>
      <c r="Q1715" s="30" t="s">
        <v>166</v>
      </c>
    </row>
    <row r="1716" hidden="1">
      <c r="A1716" s="33" t="str">
        <f>hyperlink("https://issues.sierrawireless.com/browse/OEMPRI-7811", "OEMPRI-7811")</f>
        <v>OEMPRI-7811</v>
      </c>
      <c r="B1716" s="30" t="s">
        <v>139</v>
      </c>
      <c r="C1716" s="30" t="s">
        <v>170</v>
      </c>
      <c r="D1716" s="30" t="s">
        <v>170</v>
      </c>
      <c r="E1716" s="35">
        <v>43304.0</v>
      </c>
      <c r="F1716" s="37" t="s">
        <v>150</v>
      </c>
      <c r="G1716" s="30" t="s">
        <v>7425</v>
      </c>
      <c r="H1716" s="30" t="s">
        <v>212</v>
      </c>
      <c r="I1716" s="30" t="s">
        <v>212</v>
      </c>
      <c r="J1716" s="30" t="s">
        <v>4374</v>
      </c>
      <c r="K1716" s="30" t="s">
        <v>163</v>
      </c>
      <c r="L1716" s="30" t="s">
        <v>146</v>
      </c>
      <c r="M1716" s="30" t="s">
        <v>7441</v>
      </c>
      <c r="N1716" s="30" t="s">
        <v>145</v>
      </c>
      <c r="O1716" s="30" t="s">
        <v>145</v>
      </c>
      <c r="P1716" s="30" t="s">
        <v>145</v>
      </c>
      <c r="Q1716" s="30" t="s">
        <v>173</v>
      </c>
    </row>
    <row r="1717" hidden="1">
      <c r="A1717" s="33" t="str">
        <f>hyperlink("https://issues.sierrawireless.com/browse/OEMPRI-7795", "OEMPRI-7795")</f>
        <v>OEMPRI-7795</v>
      </c>
      <c r="B1717" s="30" t="s">
        <v>139</v>
      </c>
      <c r="C1717" s="30" t="s">
        <v>148</v>
      </c>
      <c r="D1717" s="30" t="s">
        <v>122</v>
      </c>
      <c r="E1717" s="35">
        <v>43301.0</v>
      </c>
      <c r="F1717" s="37" t="s">
        <v>150</v>
      </c>
      <c r="G1717" s="30" t="s">
        <v>171</v>
      </c>
      <c r="H1717" s="30" t="s">
        <v>145</v>
      </c>
      <c r="I1717" s="30" t="s">
        <v>146</v>
      </c>
      <c r="J1717" s="30" t="s">
        <v>687</v>
      </c>
      <c r="K1717" s="30" t="s">
        <v>687</v>
      </c>
      <c r="L1717" s="30" t="s">
        <v>687</v>
      </c>
      <c r="M1717" s="30" t="s">
        <v>686</v>
      </c>
      <c r="N1717" s="30" t="s">
        <v>264</v>
      </c>
      <c r="O1717" s="30" t="s">
        <v>264</v>
      </c>
      <c r="P1717" s="30" t="s">
        <v>152</v>
      </c>
      <c r="Q1717" s="30" t="s">
        <v>152</v>
      </c>
    </row>
    <row r="1718" hidden="1">
      <c r="A1718" s="33" t="str">
        <f>hyperlink("https://issues.sierrawireless.com/browse/OEMPRI-7225", "OEMPRI-7225")</f>
        <v>OEMPRI-7225</v>
      </c>
      <c r="B1718" s="30" t="s">
        <v>139</v>
      </c>
      <c r="C1718" s="30" t="s">
        <v>140</v>
      </c>
      <c r="D1718" s="30" t="s">
        <v>140</v>
      </c>
      <c r="E1718" s="35">
        <v>43243.0</v>
      </c>
      <c r="F1718" s="37" t="s">
        <v>269</v>
      </c>
      <c r="G1718" s="30" t="s">
        <v>264</v>
      </c>
      <c r="H1718" s="30" t="s">
        <v>145</v>
      </c>
      <c r="I1718" s="30" t="s">
        <v>145</v>
      </c>
      <c r="J1718" s="30" t="s">
        <v>145</v>
      </c>
      <c r="K1718" s="30" t="s">
        <v>145</v>
      </c>
      <c r="L1718" s="30" t="s">
        <v>145</v>
      </c>
      <c r="M1718" s="30" t="s">
        <v>145</v>
      </c>
      <c r="N1718" s="30" t="s">
        <v>145</v>
      </c>
      <c r="O1718" s="30" t="s">
        <v>145</v>
      </c>
      <c r="P1718" s="30" t="s">
        <v>145</v>
      </c>
      <c r="Q1718" s="30" t="s">
        <v>146</v>
      </c>
    </row>
    <row r="1719" hidden="1">
      <c r="A1719" s="33" t="str">
        <f>hyperlink("https://issues.sierrawireless.com/browse/OEMPRI-7775", "OEMPRI-7775")</f>
        <v>OEMPRI-7775</v>
      </c>
      <c r="B1719" s="30" t="s">
        <v>139</v>
      </c>
      <c r="C1719" s="30" t="s">
        <v>141</v>
      </c>
      <c r="D1719" s="30" t="s">
        <v>141</v>
      </c>
      <c r="E1719" s="35">
        <v>43300.0</v>
      </c>
      <c r="F1719" s="37" t="s">
        <v>150</v>
      </c>
      <c r="G1719" s="30" t="s">
        <v>668</v>
      </c>
      <c r="H1719" s="30" t="s">
        <v>223</v>
      </c>
      <c r="I1719" s="30" t="s">
        <v>146</v>
      </c>
      <c r="J1719" s="30" t="s">
        <v>531</v>
      </c>
      <c r="K1719" s="30" t="s">
        <v>151</v>
      </c>
      <c r="L1719" s="30" t="s">
        <v>152</v>
      </c>
      <c r="M1719" s="30" t="s">
        <v>7441</v>
      </c>
      <c r="N1719" s="30" t="s">
        <v>145</v>
      </c>
      <c r="O1719" s="30" t="s">
        <v>145</v>
      </c>
      <c r="P1719" s="30" t="s">
        <v>145</v>
      </c>
      <c r="Q1719" s="30" t="s">
        <v>180</v>
      </c>
    </row>
    <row r="1720" hidden="1">
      <c r="A1720" s="33" t="str">
        <f>hyperlink("https://issues.sierrawireless.com/browse/OEMPRI-7757", "OEMPRI-7757")</f>
        <v>OEMPRI-7757</v>
      </c>
      <c r="B1720" s="30" t="s">
        <v>139</v>
      </c>
      <c r="C1720" s="30" t="s">
        <v>170</v>
      </c>
      <c r="D1720" s="30" t="s">
        <v>170</v>
      </c>
      <c r="E1720" s="35">
        <v>43299.0</v>
      </c>
      <c r="F1720" s="37" t="s">
        <v>150</v>
      </c>
      <c r="G1720" s="30" t="s">
        <v>373</v>
      </c>
      <c r="H1720" s="30" t="s">
        <v>223</v>
      </c>
      <c r="I1720" s="30" t="s">
        <v>146</v>
      </c>
      <c r="J1720" s="30" t="s">
        <v>407</v>
      </c>
      <c r="K1720" s="30" t="s">
        <v>171</v>
      </c>
      <c r="L1720" s="30" t="s">
        <v>146</v>
      </c>
      <c r="M1720" s="30" t="s">
        <v>1270</v>
      </c>
      <c r="N1720" s="30" t="s">
        <v>743</v>
      </c>
      <c r="O1720" s="30" t="s">
        <v>145</v>
      </c>
      <c r="P1720" s="30" t="s">
        <v>145</v>
      </c>
      <c r="Q1720" s="30" t="s">
        <v>743</v>
      </c>
    </row>
    <row r="1721" hidden="1">
      <c r="A1721" s="33" t="str">
        <f>hyperlink("https://issues.sierrawireless.com/browse/OEMPRI-7249", "OEMPRI-7249")</f>
        <v>OEMPRI-7249</v>
      </c>
      <c r="B1721" s="30" t="s">
        <v>139</v>
      </c>
      <c r="C1721" s="30" t="s">
        <v>141</v>
      </c>
      <c r="D1721" s="30" t="s">
        <v>141</v>
      </c>
      <c r="E1721" s="35">
        <v>43244.0</v>
      </c>
      <c r="F1721" s="37" t="s">
        <v>143</v>
      </c>
      <c r="G1721" s="30" t="s">
        <v>152</v>
      </c>
      <c r="H1721" s="30" t="s">
        <v>264</v>
      </c>
      <c r="I1721" s="30" t="s">
        <v>145</v>
      </c>
      <c r="J1721" s="30" t="s">
        <v>145</v>
      </c>
      <c r="K1721" s="30" t="s">
        <v>145</v>
      </c>
      <c r="L1721" s="30" t="s">
        <v>145</v>
      </c>
      <c r="M1721" s="30" t="s">
        <v>145</v>
      </c>
      <c r="N1721" s="30" t="s">
        <v>145</v>
      </c>
      <c r="O1721" s="30" t="s">
        <v>145</v>
      </c>
      <c r="P1721" s="30" t="s">
        <v>145</v>
      </c>
      <c r="Q1721" s="30" t="s">
        <v>180</v>
      </c>
    </row>
    <row r="1722">
      <c r="A1722" s="33" t="str">
        <f>hyperlink("https://issues.sierrawireless.com/browse/OEMPRI-7943", "OEMPRI-7943")</f>
        <v>OEMPRI-7943</v>
      </c>
      <c r="B1722" s="30" t="s">
        <v>175</v>
      </c>
      <c r="C1722" s="30" t="s">
        <v>148</v>
      </c>
      <c r="D1722" s="30" t="s">
        <v>177</v>
      </c>
      <c r="E1722" s="35">
        <v>43313.0</v>
      </c>
      <c r="F1722" s="37" t="s">
        <v>150</v>
      </c>
      <c r="G1722" s="30" t="s">
        <v>199</v>
      </c>
      <c r="H1722" s="30" t="s">
        <v>152</v>
      </c>
      <c r="I1722" s="30" t="s">
        <v>152</v>
      </c>
      <c r="J1722" s="30" t="s">
        <v>407</v>
      </c>
      <c r="K1722" s="30" t="s">
        <v>407</v>
      </c>
      <c r="L1722" s="30" t="s">
        <v>407</v>
      </c>
      <c r="M1722" s="30" t="s">
        <v>7371</v>
      </c>
      <c r="N1722" s="30" t="s">
        <v>7443</v>
      </c>
      <c r="O1722" s="30" t="s">
        <v>166</v>
      </c>
      <c r="P1722" s="30" t="s">
        <v>166</v>
      </c>
      <c r="Q1722" s="30" t="s">
        <v>166</v>
      </c>
    </row>
    <row r="1723" hidden="1">
      <c r="A1723" s="33" t="str">
        <f>hyperlink("https://issues.sierrawireless.com/browse/OEMPRI-7460", "OEMPRI-7460")</f>
        <v>OEMPRI-7460</v>
      </c>
      <c r="B1723" s="30" t="s">
        <v>139</v>
      </c>
      <c r="C1723" s="30" t="s">
        <v>148</v>
      </c>
      <c r="D1723" s="30" t="s">
        <v>170</v>
      </c>
      <c r="E1723" s="35">
        <v>43265.0</v>
      </c>
      <c r="F1723" s="37" t="s">
        <v>150</v>
      </c>
      <c r="G1723" s="30" t="s">
        <v>223</v>
      </c>
      <c r="H1723" s="30" t="s">
        <v>223</v>
      </c>
      <c r="I1723" s="30" t="s">
        <v>503</v>
      </c>
      <c r="J1723" s="30" t="s">
        <v>189</v>
      </c>
      <c r="K1723" s="30" t="s">
        <v>152</v>
      </c>
      <c r="L1723" s="30" t="s">
        <v>152</v>
      </c>
      <c r="M1723" s="30" t="s">
        <v>7447</v>
      </c>
      <c r="N1723" s="30" t="s">
        <v>152</v>
      </c>
      <c r="O1723" s="30" t="s">
        <v>152</v>
      </c>
      <c r="P1723" s="30" t="s">
        <v>152</v>
      </c>
      <c r="Q1723" s="30" t="s">
        <v>2019</v>
      </c>
    </row>
    <row r="1724" hidden="1">
      <c r="A1724" s="33" t="str">
        <f>hyperlink("https://issues.sierrawireless.com/browse/OEMPRI-7262", "OEMPRI-7262")</f>
        <v>OEMPRI-7262</v>
      </c>
      <c r="B1724" s="30" t="s">
        <v>139</v>
      </c>
      <c r="C1724" s="30" t="s">
        <v>140</v>
      </c>
      <c r="D1724" s="30" t="s">
        <v>141</v>
      </c>
      <c r="E1724" s="35">
        <v>43249.0</v>
      </c>
      <c r="F1724" s="37" t="s">
        <v>143</v>
      </c>
      <c r="G1724" s="30" t="s">
        <v>146</v>
      </c>
      <c r="H1724" s="30" t="s">
        <v>145</v>
      </c>
      <c r="I1724" s="30" t="s">
        <v>145</v>
      </c>
      <c r="J1724" s="30" t="s">
        <v>145</v>
      </c>
      <c r="K1724" s="30" t="s">
        <v>145</v>
      </c>
      <c r="L1724" s="30" t="s">
        <v>145</v>
      </c>
      <c r="M1724" s="30" t="s">
        <v>145</v>
      </c>
      <c r="N1724" s="30" t="s">
        <v>145</v>
      </c>
      <c r="O1724" s="30" t="s">
        <v>145</v>
      </c>
      <c r="P1724" s="30" t="s">
        <v>145</v>
      </c>
      <c r="Q1724" s="30" t="s">
        <v>146</v>
      </c>
    </row>
    <row r="1725">
      <c r="A1725" s="33" t="str">
        <f>hyperlink("https://issues.sierrawireless.com/browse/OEMPRI-7912", "OEMPRI-7912")</f>
        <v>OEMPRI-7912</v>
      </c>
      <c r="B1725" s="30" t="s">
        <v>175</v>
      </c>
      <c r="C1725" s="30" t="s">
        <v>148</v>
      </c>
      <c r="D1725" s="30" t="s">
        <v>177</v>
      </c>
      <c r="E1725" s="35">
        <v>43311.0</v>
      </c>
      <c r="F1725" s="37" t="s">
        <v>150</v>
      </c>
      <c r="G1725" s="30" t="s">
        <v>368</v>
      </c>
      <c r="H1725" s="30" t="s">
        <v>145</v>
      </c>
      <c r="I1725" s="30" t="s">
        <v>152</v>
      </c>
      <c r="J1725" s="30" t="s">
        <v>152</v>
      </c>
      <c r="K1725" s="30" t="s">
        <v>152</v>
      </c>
      <c r="L1725" s="30" t="s">
        <v>152</v>
      </c>
      <c r="M1725" s="30" t="s">
        <v>7391</v>
      </c>
      <c r="N1725" s="30" t="s">
        <v>152</v>
      </c>
      <c r="O1725" s="30" t="s">
        <v>152</v>
      </c>
      <c r="P1725" s="30" t="s">
        <v>7395</v>
      </c>
      <c r="Q1725" s="30" t="s">
        <v>166</v>
      </c>
    </row>
    <row r="1726" hidden="1">
      <c r="A1726" s="33" t="str">
        <f>hyperlink("https://issues.sierrawireless.com/browse/OEMPRI-7727", "OEMPRI-7727")</f>
        <v>OEMPRI-7727</v>
      </c>
      <c r="B1726" s="30" t="s">
        <v>139</v>
      </c>
      <c r="C1726" s="30" t="s">
        <v>141</v>
      </c>
      <c r="D1726" s="30" t="s">
        <v>141</v>
      </c>
      <c r="E1726" s="35">
        <v>43297.0</v>
      </c>
      <c r="F1726" s="37" t="s">
        <v>150</v>
      </c>
      <c r="G1726" s="30" t="s">
        <v>179</v>
      </c>
      <c r="H1726" s="30" t="s">
        <v>180</v>
      </c>
      <c r="I1726" s="30" t="s">
        <v>358</v>
      </c>
      <c r="J1726" s="30" t="s">
        <v>189</v>
      </c>
      <c r="K1726" s="30" t="s">
        <v>152</v>
      </c>
      <c r="L1726" s="30" t="s">
        <v>152</v>
      </c>
      <c r="M1726" s="30" t="s">
        <v>7367</v>
      </c>
      <c r="N1726" s="30" t="s">
        <v>145</v>
      </c>
      <c r="O1726" s="30" t="s">
        <v>145</v>
      </c>
      <c r="P1726" s="30" t="s">
        <v>145</v>
      </c>
      <c r="Q1726" s="30" t="s">
        <v>2587</v>
      </c>
    </row>
    <row r="1727" hidden="1">
      <c r="A1727" s="33" t="str">
        <f>hyperlink("https://issues.sierrawireless.com/browse/OEMPRI-7265", "OEMPRI-7265")</f>
        <v>OEMPRI-7265</v>
      </c>
      <c r="B1727" s="30" t="s">
        <v>139</v>
      </c>
      <c r="C1727" s="30" t="s">
        <v>141</v>
      </c>
      <c r="D1727" s="30" t="s">
        <v>141</v>
      </c>
      <c r="E1727" s="35">
        <v>43249.0</v>
      </c>
      <c r="F1727" s="37" t="s">
        <v>143</v>
      </c>
      <c r="G1727" s="30" t="s">
        <v>2587</v>
      </c>
      <c r="H1727" s="30" t="s">
        <v>145</v>
      </c>
      <c r="I1727" s="30" t="s">
        <v>145</v>
      </c>
      <c r="J1727" s="30" t="s">
        <v>145</v>
      </c>
      <c r="K1727" s="30" t="s">
        <v>145</v>
      </c>
      <c r="L1727" s="30" t="s">
        <v>145</v>
      </c>
      <c r="M1727" s="30" t="s">
        <v>145</v>
      </c>
      <c r="N1727" s="30" t="s">
        <v>145</v>
      </c>
      <c r="O1727" s="30" t="s">
        <v>145</v>
      </c>
      <c r="P1727" s="30" t="s">
        <v>145</v>
      </c>
      <c r="Q1727" s="30" t="s">
        <v>180</v>
      </c>
    </row>
    <row r="1728" hidden="1">
      <c r="A1728" s="33" t="str">
        <f>hyperlink("https://issues.sierrawireless.com/browse/OEMPRI-7728", "OEMPRI-7728")</f>
        <v>OEMPRI-7728</v>
      </c>
      <c r="B1728" s="30" t="s">
        <v>139</v>
      </c>
      <c r="C1728" s="30" t="s">
        <v>141</v>
      </c>
      <c r="D1728" s="30" t="s">
        <v>141</v>
      </c>
      <c r="E1728" s="35">
        <v>43297.0</v>
      </c>
      <c r="F1728" s="37" t="s">
        <v>150</v>
      </c>
      <c r="G1728" s="30" t="s">
        <v>148</v>
      </c>
      <c r="H1728" s="30" t="s">
        <v>197</v>
      </c>
      <c r="I1728" s="30" t="s">
        <v>152</v>
      </c>
      <c r="J1728" s="30" t="s">
        <v>152</v>
      </c>
      <c r="K1728" s="30" t="s">
        <v>152</v>
      </c>
      <c r="L1728" s="30" t="s">
        <v>152</v>
      </c>
      <c r="M1728" s="30" t="s">
        <v>1270</v>
      </c>
      <c r="N1728" s="30" t="s">
        <v>145</v>
      </c>
      <c r="O1728" s="30" t="s">
        <v>145</v>
      </c>
      <c r="P1728" s="30" t="s">
        <v>145</v>
      </c>
      <c r="Q1728" s="30" t="s">
        <v>179</v>
      </c>
    </row>
    <row r="1729" hidden="1">
      <c r="A1729" s="33" t="str">
        <f>hyperlink("https://issues.sierrawireless.com/browse/OEMPRI-7391", "OEMPRI-7391")</f>
        <v>OEMPRI-7391</v>
      </c>
      <c r="B1729" s="30" t="s">
        <v>139</v>
      </c>
      <c r="C1729" s="30" t="s">
        <v>170</v>
      </c>
      <c r="D1729" s="30" t="s">
        <v>170</v>
      </c>
      <c r="E1729" s="35">
        <v>43262.0</v>
      </c>
      <c r="F1729" s="37" t="s">
        <v>150</v>
      </c>
      <c r="G1729" s="30" t="s">
        <v>223</v>
      </c>
      <c r="H1729" s="30" t="s">
        <v>223</v>
      </c>
      <c r="I1729" s="30" t="s">
        <v>171</v>
      </c>
      <c r="J1729" s="30" t="s">
        <v>239</v>
      </c>
      <c r="K1729" s="30" t="s">
        <v>152</v>
      </c>
      <c r="L1729" s="30" t="s">
        <v>152</v>
      </c>
      <c r="M1729" s="30" t="s">
        <v>7449</v>
      </c>
      <c r="N1729" s="30" t="s">
        <v>145</v>
      </c>
      <c r="O1729" s="30" t="s">
        <v>145</v>
      </c>
      <c r="P1729" s="30" t="s">
        <v>145</v>
      </c>
      <c r="Q1729" s="30" t="s">
        <v>743</v>
      </c>
    </row>
    <row r="1730" hidden="1">
      <c r="A1730" s="33" t="str">
        <f>hyperlink("https://issues.sierrawireless.com/browse/OEMPRI-7561", "OEMPRI-7561")</f>
        <v>OEMPRI-7561</v>
      </c>
      <c r="B1730" s="30" t="s">
        <v>139</v>
      </c>
      <c r="C1730" s="30" t="s">
        <v>148</v>
      </c>
      <c r="D1730" s="30" t="s">
        <v>609</v>
      </c>
      <c r="E1730" s="35">
        <v>43279.0</v>
      </c>
      <c r="F1730" s="37" t="s">
        <v>150</v>
      </c>
      <c r="G1730" s="30" t="s">
        <v>373</v>
      </c>
      <c r="H1730" s="30" t="s">
        <v>223</v>
      </c>
      <c r="I1730" s="30" t="s">
        <v>171</v>
      </c>
      <c r="J1730" s="30" t="s">
        <v>189</v>
      </c>
      <c r="K1730" s="30" t="s">
        <v>152</v>
      </c>
      <c r="L1730" s="30" t="s">
        <v>152</v>
      </c>
      <c r="M1730" s="30" t="s">
        <v>506</v>
      </c>
      <c r="N1730" s="30" t="s">
        <v>152</v>
      </c>
      <c r="O1730" s="30" t="s">
        <v>213</v>
      </c>
      <c r="P1730" s="30" t="s">
        <v>152</v>
      </c>
      <c r="Q1730" s="30" t="s">
        <v>152</v>
      </c>
    </row>
    <row r="1731" hidden="1">
      <c r="A1731" s="33" t="str">
        <f>hyperlink("https://issues.sierrawireless.com/browse/OEMPRI-7563", "OEMPRI-7563")</f>
        <v>OEMPRI-7563</v>
      </c>
      <c r="B1731" s="30" t="s">
        <v>139</v>
      </c>
      <c r="C1731" s="30" t="s">
        <v>148</v>
      </c>
      <c r="D1731" s="30" t="s">
        <v>244</v>
      </c>
      <c r="E1731" s="35">
        <v>43279.0</v>
      </c>
      <c r="F1731" s="37" t="s">
        <v>150</v>
      </c>
      <c r="G1731" s="30" t="s">
        <v>151</v>
      </c>
      <c r="H1731" s="30" t="s">
        <v>145</v>
      </c>
      <c r="I1731" s="30" t="s">
        <v>152</v>
      </c>
      <c r="J1731" s="30" t="s">
        <v>531</v>
      </c>
      <c r="K1731" s="30" t="s">
        <v>152</v>
      </c>
      <c r="L1731" s="30" t="s">
        <v>152</v>
      </c>
      <c r="M1731" s="30" t="s">
        <v>229</v>
      </c>
      <c r="N1731" s="30" t="s">
        <v>145</v>
      </c>
      <c r="O1731" s="30" t="s">
        <v>145</v>
      </c>
      <c r="P1731" s="30" t="s">
        <v>145</v>
      </c>
      <c r="Q1731" s="30" t="s">
        <v>2364</v>
      </c>
    </row>
    <row r="1732" hidden="1">
      <c r="A1732" s="33" t="str">
        <f>hyperlink("https://issues.sierrawireless.com/browse/OEMPRI-7564", "OEMPRI-7564")</f>
        <v>OEMPRI-7564</v>
      </c>
      <c r="B1732" s="30" t="s">
        <v>139</v>
      </c>
      <c r="C1732" s="30" t="s">
        <v>148</v>
      </c>
      <c r="D1732" s="30" t="s">
        <v>244</v>
      </c>
      <c r="E1732" s="35">
        <v>43279.0</v>
      </c>
      <c r="F1732" s="37" t="s">
        <v>150</v>
      </c>
      <c r="G1732" s="30" t="s">
        <v>151</v>
      </c>
      <c r="H1732" s="30" t="s">
        <v>145</v>
      </c>
      <c r="I1732" s="30" t="s">
        <v>152</v>
      </c>
      <c r="J1732" s="30" t="s">
        <v>278</v>
      </c>
      <c r="K1732" s="30" t="s">
        <v>152</v>
      </c>
      <c r="L1732" s="30" t="s">
        <v>152</v>
      </c>
      <c r="M1732" s="30" t="s">
        <v>1270</v>
      </c>
      <c r="N1732" s="30" t="s">
        <v>145</v>
      </c>
      <c r="O1732" s="30" t="s">
        <v>145</v>
      </c>
      <c r="P1732" s="30" t="s">
        <v>145</v>
      </c>
      <c r="Q1732" s="30" t="s">
        <v>1044</v>
      </c>
    </row>
    <row r="1733">
      <c r="A1733" s="33" t="str">
        <f>hyperlink("https://issues.sierrawireless.com/browse/OEMPRI-7925", "OEMPRI-7925")</f>
        <v>OEMPRI-7925</v>
      </c>
      <c r="B1733" s="30" t="s">
        <v>139</v>
      </c>
      <c r="C1733" s="30" t="s">
        <v>170</v>
      </c>
      <c r="D1733" s="30" t="s">
        <v>170</v>
      </c>
      <c r="E1733" s="35">
        <v>43311.0</v>
      </c>
      <c r="F1733" s="37" t="s">
        <v>150</v>
      </c>
      <c r="G1733" s="30" t="s">
        <v>146</v>
      </c>
      <c r="H1733" s="30" t="s">
        <v>146</v>
      </c>
      <c r="I1733" s="30" t="s">
        <v>626</v>
      </c>
      <c r="J1733" s="30" t="s">
        <v>407</v>
      </c>
      <c r="K1733" s="30" t="s">
        <v>152</v>
      </c>
      <c r="L1733" s="30" t="s">
        <v>152</v>
      </c>
      <c r="M1733" s="30" t="s">
        <v>7371</v>
      </c>
      <c r="N1733" s="30" t="s">
        <v>145</v>
      </c>
      <c r="O1733" s="30" t="s">
        <v>145</v>
      </c>
      <c r="P1733" s="30" t="s">
        <v>145</v>
      </c>
      <c r="Q1733" s="30" t="s">
        <v>743</v>
      </c>
    </row>
    <row r="1734">
      <c r="A1734" s="33" t="str">
        <f>hyperlink("https://issues.sierrawireless.com/browse/OEMPRI-7871", "OEMPRI-7871")</f>
        <v>OEMPRI-7871</v>
      </c>
      <c r="B1734" s="30" t="s">
        <v>225</v>
      </c>
      <c r="C1734" s="30" t="s">
        <v>4827</v>
      </c>
      <c r="D1734" s="30" t="s">
        <v>155</v>
      </c>
      <c r="E1734" s="35">
        <v>43307.0</v>
      </c>
      <c r="F1734" s="37" t="s">
        <v>150</v>
      </c>
      <c r="G1734" s="30" t="s">
        <v>7450</v>
      </c>
      <c r="H1734" s="30" t="s">
        <v>145</v>
      </c>
      <c r="I1734" s="30" t="s">
        <v>5837</v>
      </c>
      <c r="J1734" s="30" t="s">
        <v>7451</v>
      </c>
      <c r="K1734" s="30" t="s">
        <v>166</v>
      </c>
      <c r="L1734" s="30" t="s">
        <v>166</v>
      </c>
      <c r="M1734" s="30" t="s">
        <v>166</v>
      </c>
      <c r="N1734" s="30" t="s">
        <v>166</v>
      </c>
      <c r="O1734" s="30" t="s">
        <v>166</v>
      </c>
      <c r="P1734" s="30" t="s">
        <v>166</v>
      </c>
      <c r="Q1734" s="30" t="s">
        <v>166</v>
      </c>
    </row>
    <row r="1735" hidden="1">
      <c r="A1735" s="33" t="str">
        <f>hyperlink("https://issues.sierrawireless.com/browse/OEMPRI-7692", "OEMPRI-7692")</f>
        <v>OEMPRI-7692</v>
      </c>
      <c r="B1735" s="30" t="s">
        <v>139</v>
      </c>
      <c r="C1735" s="30" t="s">
        <v>140</v>
      </c>
      <c r="D1735" s="30" t="s">
        <v>140</v>
      </c>
      <c r="E1735" s="35">
        <v>43293.0</v>
      </c>
      <c r="F1735" s="37" t="s">
        <v>269</v>
      </c>
      <c r="G1735" s="30" t="s">
        <v>2884</v>
      </c>
      <c r="H1735" s="30" t="s">
        <v>145</v>
      </c>
      <c r="I1735" s="30" t="s">
        <v>145</v>
      </c>
      <c r="J1735" s="30" t="s">
        <v>145</v>
      </c>
      <c r="K1735" s="30" t="s">
        <v>145</v>
      </c>
      <c r="L1735" s="30" t="s">
        <v>145</v>
      </c>
      <c r="M1735" s="30" t="s">
        <v>145</v>
      </c>
      <c r="N1735" s="30" t="s">
        <v>145</v>
      </c>
      <c r="O1735" s="30" t="s">
        <v>145</v>
      </c>
      <c r="P1735" s="30" t="s">
        <v>145</v>
      </c>
      <c r="Q1735" s="30" t="s">
        <v>146</v>
      </c>
    </row>
    <row r="1736">
      <c r="A1736" s="33" t="str">
        <f>hyperlink("https://issues.sierrawireless.com/browse/OEMPRI-7873", "OEMPRI-7873")</f>
        <v>OEMPRI-7873</v>
      </c>
      <c r="B1736" s="30" t="s">
        <v>86</v>
      </c>
      <c r="C1736" s="30" t="s">
        <v>349</v>
      </c>
      <c r="D1736" s="30" t="s">
        <v>140</v>
      </c>
      <c r="E1736" s="35">
        <v>43307.0</v>
      </c>
      <c r="F1736" s="37" t="s">
        <v>150</v>
      </c>
      <c r="G1736" s="30" t="s">
        <v>349</v>
      </c>
      <c r="H1736" s="30" t="s">
        <v>145</v>
      </c>
      <c r="I1736" s="30" t="s">
        <v>7453</v>
      </c>
      <c r="J1736" s="30" t="s">
        <v>7454</v>
      </c>
      <c r="K1736" s="30" t="s">
        <v>166</v>
      </c>
      <c r="L1736" s="30" t="s">
        <v>166</v>
      </c>
      <c r="M1736" s="30" t="s">
        <v>166</v>
      </c>
      <c r="N1736" s="30" t="s">
        <v>166</v>
      </c>
      <c r="O1736" s="30" t="s">
        <v>166</v>
      </c>
      <c r="P1736" s="30" t="s">
        <v>166</v>
      </c>
      <c r="Q1736" s="30" t="s">
        <v>166</v>
      </c>
    </row>
    <row r="1737">
      <c r="A1737" s="33" t="str">
        <f>hyperlink("https://issues.sierrawireless.com/browse/OEMPRI-7876", "OEMPRI-7876")</f>
        <v>OEMPRI-7876</v>
      </c>
      <c r="B1737" s="30" t="s">
        <v>139</v>
      </c>
      <c r="C1737" s="30" t="s">
        <v>141</v>
      </c>
      <c r="D1737" s="30" t="s">
        <v>141</v>
      </c>
      <c r="E1737" s="35">
        <v>43307.0</v>
      </c>
      <c r="F1737" s="37" t="s">
        <v>150</v>
      </c>
      <c r="G1737" s="30" t="s">
        <v>146</v>
      </c>
      <c r="H1737" s="30" t="s">
        <v>146</v>
      </c>
      <c r="I1737" s="30" t="s">
        <v>146</v>
      </c>
      <c r="J1737" s="30" t="s">
        <v>166</v>
      </c>
      <c r="K1737" s="30" t="s">
        <v>166</v>
      </c>
      <c r="L1737" s="30" t="s">
        <v>166</v>
      </c>
      <c r="M1737" s="30" t="s">
        <v>166</v>
      </c>
      <c r="N1737" s="30" t="s">
        <v>145</v>
      </c>
      <c r="O1737" s="30" t="s">
        <v>145</v>
      </c>
      <c r="P1737" s="30" t="s">
        <v>145</v>
      </c>
      <c r="Q1737" s="30" t="s">
        <v>166</v>
      </c>
    </row>
    <row r="1738">
      <c r="A1738" s="33" t="str">
        <f>hyperlink("https://issues.sierrawireless.com/browse/OEMPRI-7877", "OEMPRI-7877")</f>
        <v>OEMPRI-7877</v>
      </c>
      <c r="B1738" s="30" t="s">
        <v>277</v>
      </c>
      <c r="C1738" s="30" t="s">
        <v>4827</v>
      </c>
      <c r="D1738" s="30" t="s">
        <v>155</v>
      </c>
      <c r="E1738" s="35">
        <v>43307.0</v>
      </c>
      <c r="F1738" s="37" t="s">
        <v>150</v>
      </c>
      <c r="G1738" s="30" t="s">
        <v>6396</v>
      </c>
      <c r="H1738" s="30" t="s">
        <v>5837</v>
      </c>
      <c r="I1738" s="30" t="s">
        <v>7451</v>
      </c>
      <c r="J1738" s="30" t="s">
        <v>166</v>
      </c>
      <c r="K1738" s="30" t="s">
        <v>166</v>
      </c>
      <c r="L1738" s="30" t="s">
        <v>166</v>
      </c>
      <c r="M1738" s="30" t="s">
        <v>166</v>
      </c>
      <c r="N1738" s="30" t="s">
        <v>145</v>
      </c>
      <c r="O1738" s="30" t="s">
        <v>145</v>
      </c>
      <c r="P1738" s="30" t="s">
        <v>145</v>
      </c>
      <c r="Q1738" s="30" t="s">
        <v>166</v>
      </c>
    </row>
    <row r="1739" hidden="1">
      <c r="A1739" s="33" t="str">
        <f>hyperlink("https://issues.sierrawireless.com/browse/OEMPRI-7620", "OEMPRI-7620")</f>
        <v>OEMPRI-7620</v>
      </c>
      <c r="B1739" s="30" t="s">
        <v>139</v>
      </c>
      <c r="C1739" s="30" t="s">
        <v>148</v>
      </c>
      <c r="D1739" s="30" t="s">
        <v>244</v>
      </c>
      <c r="E1739" s="35">
        <v>43286.0</v>
      </c>
      <c r="F1739" s="37" t="s">
        <v>150</v>
      </c>
      <c r="G1739" s="30" t="s">
        <v>1611</v>
      </c>
      <c r="H1739" s="30" t="s">
        <v>152</v>
      </c>
      <c r="I1739" s="30" t="s">
        <v>151</v>
      </c>
      <c r="J1739" s="30" t="s">
        <v>189</v>
      </c>
      <c r="K1739" s="30" t="s">
        <v>152</v>
      </c>
      <c r="L1739" s="30" t="s">
        <v>152</v>
      </c>
      <c r="M1739" s="30" t="s">
        <v>1798</v>
      </c>
      <c r="N1739" s="30" t="s">
        <v>152</v>
      </c>
      <c r="O1739" s="30" t="s">
        <v>1131</v>
      </c>
      <c r="P1739" s="30" t="s">
        <v>152</v>
      </c>
      <c r="Q1739" s="30" t="s">
        <v>152</v>
      </c>
    </row>
    <row r="1740">
      <c r="A1740" s="33" t="str">
        <f>hyperlink("https://issues.sierrawireless.com/browse/OEMPRI-7834", "OEMPRI-7834")</f>
        <v>OEMPRI-7834</v>
      </c>
      <c r="B1740" s="30" t="s">
        <v>175</v>
      </c>
      <c r="C1740" s="30" t="s">
        <v>148</v>
      </c>
      <c r="D1740" s="30" t="s">
        <v>244</v>
      </c>
      <c r="E1740" s="35">
        <v>43305.0</v>
      </c>
      <c r="F1740" s="37" t="s">
        <v>150</v>
      </c>
      <c r="G1740" s="30" t="s">
        <v>163</v>
      </c>
      <c r="H1740" s="30" t="s">
        <v>146</v>
      </c>
      <c r="I1740" s="30" t="s">
        <v>163</v>
      </c>
      <c r="J1740" s="30" t="s">
        <v>2056</v>
      </c>
      <c r="K1740" s="30" t="s">
        <v>152</v>
      </c>
      <c r="L1740" s="30" t="s">
        <v>152</v>
      </c>
      <c r="M1740" s="30" t="s">
        <v>7371</v>
      </c>
      <c r="N1740" s="30" t="s">
        <v>152</v>
      </c>
      <c r="O1740" s="30" t="s">
        <v>152</v>
      </c>
      <c r="P1740" s="30" t="s">
        <v>152</v>
      </c>
      <c r="Q1740" s="30" t="s">
        <v>166</v>
      </c>
    </row>
    <row r="1741">
      <c r="A1741" s="33" t="str">
        <f>hyperlink("https://issues.sierrawireless.com/browse/OEMPRI-7835", "OEMPRI-7835")</f>
        <v>OEMPRI-7835</v>
      </c>
      <c r="B1741" s="30" t="s">
        <v>175</v>
      </c>
      <c r="C1741" s="30" t="s">
        <v>148</v>
      </c>
      <c r="D1741" s="30" t="s">
        <v>244</v>
      </c>
      <c r="E1741" s="35">
        <v>43305.0</v>
      </c>
      <c r="F1741" s="37" t="s">
        <v>150</v>
      </c>
      <c r="G1741" s="30" t="s">
        <v>163</v>
      </c>
      <c r="H1741" s="30" t="s">
        <v>146</v>
      </c>
      <c r="I1741" s="30" t="s">
        <v>163</v>
      </c>
      <c r="J1741" s="30" t="s">
        <v>531</v>
      </c>
      <c r="K1741" s="30" t="s">
        <v>213</v>
      </c>
      <c r="L1741" s="30" t="s">
        <v>152</v>
      </c>
      <c r="M1741" s="30" t="s">
        <v>686</v>
      </c>
      <c r="N1741" s="30" t="s">
        <v>152</v>
      </c>
      <c r="O1741" s="30" t="s">
        <v>152</v>
      </c>
      <c r="P1741" s="30" t="s">
        <v>152</v>
      </c>
      <c r="Q1741" s="30" t="s">
        <v>166</v>
      </c>
    </row>
    <row r="1742">
      <c r="A1742" s="33" t="str">
        <f>hyperlink("https://issues.sierrawireless.com/browse/OEMPRI-7770", "OEMPRI-7770")</f>
        <v>OEMPRI-7770</v>
      </c>
      <c r="B1742" s="30" t="s">
        <v>175</v>
      </c>
      <c r="C1742" s="30" t="s">
        <v>148</v>
      </c>
      <c r="D1742" s="30" t="s">
        <v>244</v>
      </c>
      <c r="E1742" s="35">
        <v>43299.0</v>
      </c>
      <c r="F1742" s="37" t="s">
        <v>150</v>
      </c>
      <c r="G1742" s="30" t="s">
        <v>668</v>
      </c>
      <c r="H1742" s="30" t="s">
        <v>223</v>
      </c>
      <c r="I1742" s="30" t="s">
        <v>146</v>
      </c>
      <c r="J1742" s="30" t="s">
        <v>531</v>
      </c>
      <c r="K1742" s="30" t="s">
        <v>152</v>
      </c>
      <c r="L1742" s="30" t="s">
        <v>556</v>
      </c>
      <c r="M1742" s="30" t="s">
        <v>882</v>
      </c>
      <c r="N1742" s="30" t="s">
        <v>152</v>
      </c>
      <c r="O1742" s="30" t="s">
        <v>152</v>
      </c>
      <c r="P1742" s="30" t="s">
        <v>232</v>
      </c>
      <c r="Q1742" s="30" t="s">
        <v>166</v>
      </c>
    </row>
    <row r="1743">
      <c r="A1743" s="33" t="str">
        <f>hyperlink("https://issues.sierrawireless.com/browse/OEMPRI-7745", "OEMPRI-7745")</f>
        <v>OEMPRI-7745</v>
      </c>
      <c r="B1743" s="30" t="s">
        <v>469</v>
      </c>
      <c r="C1743" s="30" t="s">
        <v>140</v>
      </c>
      <c r="D1743" s="30" t="s">
        <v>233</v>
      </c>
      <c r="E1743" s="35">
        <v>43298.0</v>
      </c>
      <c r="F1743" s="37" t="s">
        <v>150</v>
      </c>
      <c r="G1743" s="30" t="s">
        <v>358</v>
      </c>
      <c r="H1743" s="30" t="s">
        <v>223</v>
      </c>
      <c r="I1743" s="30" t="s">
        <v>146</v>
      </c>
      <c r="J1743" s="30" t="s">
        <v>1441</v>
      </c>
      <c r="K1743" s="30" t="s">
        <v>146</v>
      </c>
      <c r="L1743" s="30" t="s">
        <v>146</v>
      </c>
      <c r="M1743" s="30" t="s">
        <v>1084</v>
      </c>
      <c r="N1743" s="30" t="s">
        <v>145</v>
      </c>
      <c r="O1743" s="30" t="s">
        <v>145</v>
      </c>
      <c r="P1743" s="30" t="s">
        <v>145</v>
      </c>
      <c r="Q1743" s="30" t="s">
        <v>166</v>
      </c>
    </row>
    <row r="1744">
      <c r="A1744" s="33" t="str">
        <f>hyperlink("https://issues.sierrawireless.com/browse/OEMPRI-7730", "OEMPRI-7730")</f>
        <v>OEMPRI-7730</v>
      </c>
      <c r="B1744" s="30" t="s">
        <v>86</v>
      </c>
      <c r="C1744" s="30" t="s">
        <v>140</v>
      </c>
      <c r="D1744" s="30" t="s">
        <v>140</v>
      </c>
      <c r="E1744" s="35">
        <v>43297.0</v>
      </c>
      <c r="F1744" s="37" t="s">
        <v>269</v>
      </c>
      <c r="G1744" s="30" t="s">
        <v>1886</v>
      </c>
      <c r="H1744" s="30" t="s">
        <v>145</v>
      </c>
      <c r="I1744" s="30" t="s">
        <v>145</v>
      </c>
      <c r="J1744" s="30" t="s">
        <v>145</v>
      </c>
      <c r="K1744" s="30" t="s">
        <v>145</v>
      </c>
      <c r="L1744" s="30" t="s">
        <v>145</v>
      </c>
      <c r="M1744" s="30" t="s">
        <v>145</v>
      </c>
      <c r="N1744" s="30" t="s">
        <v>145</v>
      </c>
      <c r="O1744" s="30" t="s">
        <v>145</v>
      </c>
      <c r="P1744" s="30" t="s">
        <v>145</v>
      </c>
      <c r="Q1744" s="30" t="s">
        <v>166</v>
      </c>
    </row>
    <row r="1745">
      <c r="A1745" s="33" t="str">
        <f>hyperlink("https://issues.sierrawireless.com/browse/OEMPRI-7715", "OEMPRI-7715")</f>
        <v>OEMPRI-7715</v>
      </c>
      <c r="B1745" s="30" t="s">
        <v>86</v>
      </c>
      <c r="C1745" s="30" t="s">
        <v>148</v>
      </c>
      <c r="D1745" s="30" t="s">
        <v>141</v>
      </c>
      <c r="E1745" s="35">
        <v>43294.0</v>
      </c>
      <c r="F1745" s="37" t="s">
        <v>143</v>
      </c>
      <c r="G1745" s="30" t="s">
        <v>7459</v>
      </c>
      <c r="H1745" s="30" t="s">
        <v>145</v>
      </c>
      <c r="I1745" s="30" t="s">
        <v>145</v>
      </c>
      <c r="J1745" s="30" t="s">
        <v>145</v>
      </c>
      <c r="K1745" s="30" t="s">
        <v>145</v>
      </c>
      <c r="L1745" s="30" t="s">
        <v>145</v>
      </c>
      <c r="M1745" s="30" t="s">
        <v>145</v>
      </c>
      <c r="N1745" s="30" t="s">
        <v>145</v>
      </c>
      <c r="O1745" s="30" t="s">
        <v>145</v>
      </c>
      <c r="P1745" s="30" t="s">
        <v>145</v>
      </c>
      <c r="Q1745" s="30" t="s">
        <v>166</v>
      </c>
    </row>
    <row r="1746" hidden="1">
      <c r="A1746" s="33" t="str">
        <f>hyperlink("https://issues.sierrawireless.com/browse/OEMPRI-7083", "OEMPRI-7083")</f>
        <v>OEMPRI-7083</v>
      </c>
      <c r="B1746" s="30" t="s">
        <v>139</v>
      </c>
      <c r="C1746" s="30" t="s">
        <v>155</v>
      </c>
      <c r="D1746" s="30" t="s">
        <v>155</v>
      </c>
      <c r="E1746" s="35">
        <v>43230.0</v>
      </c>
      <c r="F1746" s="37" t="s">
        <v>150</v>
      </c>
      <c r="G1746" s="30" t="s">
        <v>155</v>
      </c>
      <c r="H1746" s="30" t="s">
        <v>158</v>
      </c>
      <c r="I1746" s="30" t="s">
        <v>158</v>
      </c>
      <c r="J1746" s="30" t="s">
        <v>158</v>
      </c>
      <c r="K1746" s="30" t="s">
        <v>158</v>
      </c>
      <c r="L1746" s="30" t="s">
        <v>158</v>
      </c>
      <c r="M1746" s="30" t="s">
        <v>158</v>
      </c>
      <c r="N1746" s="30" t="s">
        <v>145</v>
      </c>
      <c r="O1746" s="30" t="s">
        <v>145</v>
      </c>
      <c r="P1746" s="30" t="s">
        <v>145</v>
      </c>
      <c r="Q1746" s="30" t="s">
        <v>158</v>
      </c>
    </row>
    <row r="1747">
      <c r="A1747" s="33" t="str">
        <f>hyperlink("https://issues.sierrawireless.com/browse/OEMPRI-7659", "OEMPRI-7659")</f>
        <v>OEMPRI-7659</v>
      </c>
      <c r="B1747" s="30" t="s">
        <v>139</v>
      </c>
      <c r="C1747" s="30" t="s">
        <v>141</v>
      </c>
      <c r="D1747" s="30" t="s">
        <v>141</v>
      </c>
      <c r="E1747" s="35">
        <v>43291.0</v>
      </c>
      <c r="F1747" s="37" t="s">
        <v>143</v>
      </c>
      <c r="G1747" s="30" t="s">
        <v>7461</v>
      </c>
      <c r="H1747" s="30" t="s">
        <v>145</v>
      </c>
      <c r="I1747" s="30" t="s">
        <v>145</v>
      </c>
      <c r="J1747" s="30" t="s">
        <v>145</v>
      </c>
      <c r="K1747" s="30" t="s">
        <v>145</v>
      </c>
      <c r="L1747" s="30" t="s">
        <v>145</v>
      </c>
      <c r="M1747" s="30" t="s">
        <v>145</v>
      </c>
      <c r="N1747" s="30" t="s">
        <v>145</v>
      </c>
      <c r="O1747" s="30" t="s">
        <v>145</v>
      </c>
      <c r="P1747" s="30" t="s">
        <v>145</v>
      </c>
      <c r="Q1747" s="30" t="s">
        <v>180</v>
      </c>
    </row>
    <row r="1748">
      <c r="A1748" s="33" t="str">
        <f>hyperlink("https://issues.sierrawireless.com/browse/OEMPRI-7634", "OEMPRI-7634")</f>
        <v>OEMPRI-7634</v>
      </c>
      <c r="B1748" s="30" t="s">
        <v>139</v>
      </c>
      <c r="C1748" s="30" t="s">
        <v>170</v>
      </c>
      <c r="D1748" s="30" t="s">
        <v>170</v>
      </c>
      <c r="E1748" s="35">
        <v>43287.0</v>
      </c>
      <c r="F1748" s="37" t="s">
        <v>150</v>
      </c>
      <c r="G1748" s="30" t="s">
        <v>283</v>
      </c>
      <c r="H1748" s="30" t="s">
        <v>146</v>
      </c>
      <c r="I1748" s="30" t="s">
        <v>2361</v>
      </c>
      <c r="J1748" s="30" t="s">
        <v>407</v>
      </c>
      <c r="K1748" s="30" t="s">
        <v>152</v>
      </c>
      <c r="L1748" s="30" t="s">
        <v>152</v>
      </c>
      <c r="M1748" s="30" t="s">
        <v>7462</v>
      </c>
      <c r="N1748" s="30" t="s">
        <v>145</v>
      </c>
      <c r="O1748" s="30" t="s">
        <v>145</v>
      </c>
      <c r="P1748" s="30" t="s">
        <v>145</v>
      </c>
      <c r="Q1748" s="30" t="s">
        <v>743</v>
      </c>
    </row>
    <row r="1749">
      <c r="A1749" s="33" t="str">
        <f>hyperlink("https://issues.sierrawireless.com/browse/OEMPRI-7635", "OEMPRI-7635")</f>
        <v>OEMPRI-7635</v>
      </c>
      <c r="B1749" s="30" t="s">
        <v>469</v>
      </c>
      <c r="C1749" s="30" t="s">
        <v>233</v>
      </c>
      <c r="D1749" s="30" t="s">
        <v>233</v>
      </c>
      <c r="E1749" s="35">
        <v>43287.0</v>
      </c>
      <c r="F1749" s="37" t="s">
        <v>150</v>
      </c>
      <c r="G1749" s="30" t="s">
        <v>7464</v>
      </c>
      <c r="H1749" s="30" t="s">
        <v>145</v>
      </c>
      <c r="I1749" s="30" t="s">
        <v>3880</v>
      </c>
      <c r="J1749" s="30" t="s">
        <v>618</v>
      </c>
      <c r="K1749" s="30" t="s">
        <v>166</v>
      </c>
      <c r="L1749" s="30" t="s">
        <v>166</v>
      </c>
      <c r="M1749" s="30" t="s">
        <v>166</v>
      </c>
      <c r="N1749" s="30" t="s">
        <v>145</v>
      </c>
      <c r="O1749" s="30" t="s">
        <v>145</v>
      </c>
      <c r="P1749" s="30" t="s">
        <v>145</v>
      </c>
      <c r="Q1749" s="30" t="s">
        <v>166</v>
      </c>
    </row>
    <row r="1750">
      <c r="A1750" s="33" t="str">
        <f>hyperlink("https://issues.sierrawireless.com/browse/OEMPRI-7626", "OEMPRI-7626")</f>
        <v>OEMPRI-7626</v>
      </c>
      <c r="B1750" s="30" t="s">
        <v>86</v>
      </c>
      <c r="C1750" s="30" t="s">
        <v>140</v>
      </c>
      <c r="D1750" s="30" t="s">
        <v>153</v>
      </c>
      <c r="E1750" s="35">
        <v>43286.0</v>
      </c>
      <c r="F1750" s="37" t="s">
        <v>269</v>
      </c>
      <c r="G1750" s="30" t="s">
        <v>7466</v>
      </c>
      <c r="H1750" s="30" t="s">
        <v>145</v>
      </c>
      <c r="I1750" s="30" t="s">
        <v>145</v>
      </c>
      <c r="J1750" s="30" t="s">
        <v>145</v>
      </c>
      <c r="K1750" s="30" t="s">
        <v>145</v>
      </c>
      <c r="L1750" s="30" t="s">
        <v>145</v>
      </c>
      <c r="M1750" s="30" t="s">
        <v>145</v>
      </c>
      <c r="N1750" s="30" t="s">
        <v>145</v>
      </c>
      <c r="O1750" s="30" t="s">
        <v>145</v>
      </c>
      <c r="P1750" s="30" t="s">
        <v>145</v>
      </c>
      <c r="Q1750" s="30" t="s">
        <v>166</v>
      </c>
    </row>
    <row r="1751">
      <c r="A1751" s="33" t="str">
        <f>hyperlink("https://issues.sierrawireless.com/browse/OEMPRI-7588", "OEMPRI-7588")</f>
        <v>OEMPRI-7588</v>
      </c>
      <c r="B1751" s="30" t="s">
        <v>593</v>
      </c>
      <c r="C1751" s="30" t="s">
        <v>216</v>
      </c>
      <c r="D1751" s="30" t="s">
        <v>216</v>
      </c>
      <c r="E1751" s="35">
        <v>43281.0</v>
      </c>
      <c r="F1751" s="37" t="s">
        <v>184</v>
      </c>
      <c r="G1751" s="30" t="s">
        <v>7475</v>
      </c>
      <c r="H1751" s="30" t="s">
        <v>145</v>
      </c>
      <c r="I1751" s="30" t="s">
        <v>1239</v>
      </c>
      <c r="J1751" s="30" t="s">
        <v>1238</v>
      </c>
      <c r="K1751" s="30" t="s">
        <v>166</v>
      </c>
      <c r="L1751" s="30" t="s">
        <v>166</v>
      </c>
      <c r="M1751" s="30" t="s">
        <v>166</v>
      </c>
      <c r="N1751" s="30" t="s">
        <v>145</v>
      </c>
      <c r="O1751" s="30" t="s">
        <v>145</v>
      </c>
      <c r="P1751" s="30" t="s">
        <v>145</v>
      </c>
      <c r="Q1751" s="30" t="s">
        <v>166</v>
      </c>
    </row>
    <row r="1752">
      <c r="A1752" s="33" t="str">
        <f>hyperlink("https://issues.sierrawireless.com/browse/OEMPRI-7583", "OEMPRI-7583")</f>
        <v>OEMPRI-7583</v>
      </c>
      <c r="B1752" s="30" t="s">
        <v>469</v>
      </c>
      <c r="C1752" s="30" t="s">
        <v>233</v>
      </c>
      <c r="D1752" s="30" t="s">
        <v>233</v>
      </c>
      <c r="E1752" s="35">
        <v>43280.0</v>
      </c>
      <c r="F1752" s="37" t="s">
        <v>150</v>
      </c>
      <c r="G1752" s="30" t="s">
        <v>7477</v>
      </c>
      <c r="H1752" s="30" t="s">
        <v>145</v>
      </c>
      <c r="I1752" s="30" t="s">
        <v>3880</v>
      </c>
      <c r="J1752" s="30" t="s">
        <v>7478</v>
      </c>
      <c r="K1752" s="30" t="s">
        <v>166</v>
      </c>
      <c r="L1752" s="30" t="s">
        <v>166</v>
      </c>
      <c r="M1752" s="30" t="s">
        <v>166</v>
      </c>
      <c r="N1752" s="30" t="s">
        <v>145</v>
      </c>
      <c r="O1752" s="30" t="s">
        <v>145</v>
      </c>
      <c r="P1752" s="30" t="s">
        <v>145</v>
      </c>
      <c r="Q1752" s="30" t="s">
        <v>166</v>
      </c>
    </row>
    <row r="1753" hidden="1">
      <c r="A1753" s="33" t="str">
        <f>hyperlink("https://issues.sierrawireless.com/browse/OEMPRI-7430", "OEMPRI-7430")</f>
        <v>OEMPRI-7430</v>
      </c>
      <c r="B1753" s="30" t="s">
        <v>139</v>
      </c>
      <c r="C1753" s="30" t="s">
        <v>140</v>
      </c>
      <c r="D1753" s="30" t="s">
        <v>153</v>
      </c>
      <c r="E1753" s="35">
        <v>43264.0</v>
      </c>
      <c r="F1753" s="37" t="s">
        <v>269</v>
      </c>
      <c r="G1753" s="30" t="s">
        <v>1961</v>
      </c>
      <c r="H1753" s="30" t="s">
        <v>145</v>
      </c>
      <c r="I1753" s="30" t="s">
        <v>145</v>
      </c>
      <c r="J1753" s="30" t="s">
        <v>145</v>
      </c>
      <c r="K1753" s="30" t="s">
        <v>145</v>
      </c>
      <c r="L1753" s="30" t="s">
        <v>145</v>
      </c>
      <c r="M1753" s="30" t="s">
        <v>145</v>
      </c>
      <c r="N1753" s="30" t="s">
        <v>145</v>
      </c>
      <c r="O1753" s="30" t="s">
        <v>145</v>
      </c>
      <c r="P1753" s="30" t="s">
        <v>145</v>
      </c>
      <c r="Q1753" s="30" t="s">
        <v>146</v>
      </c>
    </row>
    <row r="1754" hidden="1">
      <c r="A1754" s="33" t="s">
        <v>5880</v>
      </c>
      <c r="B1754" s="30" t="s">
        <v>139</v>
      </c>
      <c r="C1754" s="30" t="s">
        <v>4838</v>
      </c>
      <c r="D1754" s="30" t="s">
        <v>177</v>
      </c>
      <c r="E1754" s="43">
        <v>42674.0</v>
      </c>
      <c r="F1754" s="44" t="s">
        <v>154</v>
      </c>
      <c r="G1754" s="2" t="s">
        <v>152</v>
      </c>
      <c r="H1754" s="30" t="s">
        <v>145</v>
      </c>
      <c r="I1754" s="30" t="s">
        <v>145</v>
      </c>
      <c r="J1754" s="30" t="s">
        <v>145</v>
      </c>
      <c r="K1754" s="30" t="s">
        <v>145</v>
      </c>
      <c r="L1754" s="30" t="s">
        <v>145</v>
      </c>
      <c r="M1754" s="30" t="s">
        <v>145</v>
      </c>
      <c r="N1754" s="30" t="s">
        <v>145</v>
      </c>
      <c r="O1754" s="30" t="s">
        <v>145</v>
      </c>
      <c r="P1754" s="30" t="s">
        <v>145</v>
      </c>
      <c r="Q1754" s="30" t="s">
        <v>152</v>
      </c>
    </row>
    <row r="1755">
      <c r="A1755" s="33" t="str">
        <f>hyperlink("https://issues.sierrawireless.com/browse/OEMPRI-7587", "OEMPRI-7587")</f>
        <v>OEMPRI-7587</v>
      </c>
      <c r="B1755" s="30" t="s">
        <v>86</v>
      </c>
      <c r="C1755" s="30" t="s">
        <v>148</v>
      </c>
      <c r="D1755" s="30" t="s">
        <v>1128</v>
      </c>
      <c r="E1755" s="35">
        <v>43280.0</v>
      </c>
      <c r="F1755" s="37" t="s">
        <v>150</v>
      </c>
      <c r="G1755" s="30" t="s">
        <v>7485</v>
      </c>
      <c r="H1755" s="30" t="s">
        <v>166</v>
      </c>
      <c r="I1755" s="30" t="s">
        <v>166</v>
      </c>
      <c r="J1755" s="30" t="s">
        <v>166</v>
      </c>
      <c r="K1755" s="30" t="s">
        <v>166</v>
      </c>
      <c r="L1755" s="30" t="s">
        <v>166</v>
      </c>
      <c r="M1755" s="30" t="s">
        <v>166</v>
      </c>
      <c r="N1755" s="30" t="s">
        <v>145</v>
      </c>
      <c r="O1755" s="30" t="s">
        <v>145</v>
      </c>
      <c r="P1755" s="30" t="s">
        <v>145</v>
      </c>
      <c r="Q1755" s="30" t="s">
        <v>166</v>
      </c>
    </row>
    <row r="1756" hidden="1">
      <c r="A1756" s="33" t="str">
        <f>hyperlink("https://issues.sierrawireless.com/browse/OEMPRI-7411", "OEMPRI-7411")</f>
        <v>OEMPRI-7411</v>
      </c>
      <c r="B1756" s="30" t="s">
        <v>139</v>
      </c>
      <c r="C1756" s="30" t="s">
        <v>148</v>
      </c>
      <c r="D1756" s="30" t="s">
        <v>170</v>
      </c>
      <c r="E1756" s="35">
        <v>43263.0</v>
      </c>
      <c r="F1756" s="37" t="s">
        <v>150</v>
      </c>
      <c r="G1756" s="30" t="s">
        <v>146</v>
      </c>
      <c r="H1756" s="30" t="s">
        <v>146</v>
      </c>
      <c r="I1756" s="30" t="s">
        <v>146</v>
      </c>
      <c r="J1756" s="30" t="s">
        <v>189</v>
      </c>
      <c r="K1756" s="30" t="s">
        <v>152</v>
      </c>
      <c r="L1756" s="30" t="s">
        <v>152</v>
      </c>
      <c r="M1756" s="30" t="s">
        <v>7447</v>
      </c>
      <c r="N1756" s="30" t="s">
        <v>145</v>
      </c>
      <c r="O1756" s="30" t="s">
        <v>145</v>
      </c>
      <c r="P1756" s="30" t="s">
        <v>145</v>
      </c>
      <c r="Q1756" s="30" t="s">
        <v>340</v>
      </c>
    </row>
    <row r="1757">
      <c r="A1757" s="33" t="str">
        <f>hyperlink("https://issues.sierrawireless.com/browse/OEMPRI-7559", "OEMPRI-7559")</f>
        <v>OEMPRI-7559</v>
      </c>
      <c r="B1757" s="30" t="s">
        <v>175</v>
      </c>
      <c r="C1757" s="30" t="s">
        <v>148</v>
      </c>
      <c r="D1757" s="30" t="s">
        <v>609</v>
      </c>
      <c r="E1757" s="35">
        <v>43279.0</v>
      </c>
      <c r="F1757" s="37" t="s">
        <v>150</v>
      </c>
      <c r="G1757" s="30" t="s">
        <v>199</v>
      </c>
      <c r="H1757" s="30" t="s">
        <v>152</v>
      </c>
      <c r="I1757" s="30" t="s">
        <v>146</v>
      </c>
      <c r="J1757" s="30" t="s">
        <v>189</v>
      </c>
      <c r="K1757" s="30" t="s">
        <v>152</v>
      </c>
      <c r="L1757" s="30" t="s">
        <v>152</v>
      </c>
      <c r="M1757" s="30" t="s">
        <v>504</v>
      </c>
      <c r="N1757" s="30" t="s">
        <v>213</v>
      </c>
      <c r="O1757" s="30" t="s">
        <v>213</v>
      </c>
      <c r="P1757" s="30" t="s">
        <v>7486</v>
      </c>
      <c r="Q1757" s="30" t="s">
        <v>166</v>
      </c>
    </row>
    <row r="1758">
      <c r="A1758" s="33" t="str">
        <f>hyperlink("https://issues.sierrawireless.com/browse/OEMPRI-7541", "OEMPRI-7541")</f>
        <v>OEMPRI-7541</v>
      </c>
      <c r="B1758" s="30" t="s">
        <v>469</v>
      </c>
      <c r="C1758" s="30" t="s">
        <v>140</v>
      </c>
      <c r="D1758" s="30" t="s">
        <v>233</v>
      </c>
      <c r="E1758" s="35">
        <v>43278.0</v>
      </c>
      <c r="F1758" s="37" t="s">
        <v>150</v>
      </c>
      <c r="G1758" s="30" t="s">
        <v>185</v>
      </c>
      <c r="H1758" s="30" t="s">
        <v>145</v>
      </c>
      <c r="I1758" s="30" t="s">
        <v>146</v>
      </c>
      <c r="J1758" s="30" t="s">
        <v>4256</v>
      </c>
      <c r="K1758" s="30" t="s">
        <v>432</v>
      </c>
      <c r="L1758" s="30" t="s">
        <v>146</v>
      </c>
      <c r="M1758" s="30" t="s">
        <v>1342</v>
      </c>
      <c r="N1758" s="30" t="s">
        <v>145</v>
      </c>
      <c r="O1758" s="30" t="s">
        <v>145</v>
      </c>
      <c r="P1758" s="30" t="s">
        <v>145</v>
      </c>
      <c r="Q1758" s="30" t="s">
        <v>166</v>
      </c>
    </row>
    <row r="1759">
      <c r="A1759" s="33" t="str">
        <f>hyperlink("https://issues.sierrawireless.com/browse/OEMPRI-7497", "OEMPRI-7497")</f>
        <v>OEMPRI-7497</v>
      </c>
      <c r="B1759" s="30" t="s">
        <v>175</v>
      </c>
      <c r="C1759" s="30" t="s">
        <v>148</v>
      </c>
      <c r="D1759" s="30" t="s">
        <v>177</v>
      </c>
      <c r="E1759" s="35">
        <v>43273.0</v>
      </c>
      <c r="F1759" s="37" t="s">
        <v>150</v>
      </c>
      <c r="G1759" s="30" t="s">
        <v>368</v>
      </c>
      <c r="H1759" s="30" t="s">
        <v>145</v>
      </c>
      <c r="I1759" s="30" t="s">
        <v>152</v>
      </c>
      <c r="J1759" s="30" t="s">
        <v>3185</v>
      </c>
      <c r="K1759" s="30" t="s">
        <v>152</v>
      </c>
      <c r="L1759" s="30" t="s">
        <v>152</v>
      </c>
      <c r="M1759" s="30" t="s">
        <v>7489</v>
      </c>
      <c r="N1759" s="30" t="s">
        <v>152</v>
      </c>
      <c r="O1759" s="30" t="s">
        <v>152</v>
      </c>
      <c r="P1759" s="30" t="s">
        <v>152</v>
      </c>
      <c r="Q1759" s="30" t="s">
        <v>166</v>
      </c>
    </row>
    <row r="1760" hidden="1">
      <c r="A1760" s="33" t="str">
        <f>hyperlink("https://issues.sierrawireless.com/browse/OEMPRI-7453", "OEMPRI-7453")</f>
        <v>OEMPRI-7453</v>
      </c>
      <c r="B1760" s="30" t="s">
        <v>139</v>
      </c>
      <c r="C1760" s="30" t="s">
        <v>148</v>
      </c>
      <c r="D1760" s="30" t="s">
        <v>244</v>
      </c>
      <c r="E1760" s="35">
        <v>43265.0</v>
      </c>
      <c r="F1760" s="37" t="s">
        <v>150</v>
      </c>
      <c r="G1760" s="30" t="s">
        <v>156</v>
      </c>
      <c r="H1760" s="30" t="s">
        <v>145</v>
      </c>
      <c r="I1760" s="30" t="s">
        <v>152</v>
      </c>
      <c r="J1760" s="30" t="s">
        <v>189</v>
      </c>
      <c r="K1760" s="30" t="s">
        <v>152</v>
      </c>
      <c r="L1760" s="30" t="s">
        <v>152</v>
      </c>
      <c r="M1760" s="30" t="s">
        <v>367</v>
      </c>
      <c r="N1760" s="30" t="s">
        <v>152</v>
      </c>
      <c r="O1760" s="30" t="s">
        <v>152</v>
      </c>
      <c r="P1760" s="30" t="s">
        <v>152</v>
      </c>
      <c r="Q1760" s="30" t="s">
        <v>152</v>
      </c>
    </row>
    <row r="1761" hidden="1">
      <c r="A1761" s="33" t="str">
        <f>hyperlink("https://issues.sierrawireless.com/browse/OEMPRI-7458", "OEMPRI-7458")</f>
        <v>OEMPRI-7458</v>
      </c>
      <c r="B1761" s="30" t="s">
        <v>139</v>
      </c>
      <c r="C1761" s="30" t="s">
        <v>148</v>
      </c>
      <c r="D1761" s="30" t="s">
        <v>170</v>
      </c>
      <c r="E1761" s="35">
        <v>43265.0</v>
      </c>
      <c r="F1761" s="37" t="s">
        <v>150</v>
      </c>
      <c r="G1761" s="30" t="s">
        <v>223</v>
      </c>
      <c r="H1761" s="30" t="s">
        <v>223</v>
      </c>
      <c r="I1761" s="30" t="s">
        <v>264</v>
      </c>
      <c r="J1761" s="30" t="s">
        <v>189</v>
      </c>
      <c r="K1761" s="30" t="s">
        <v>152</v>
      </c>
      <c r="L1761" s="30" t="s">
        <v>152</v>
      </c>
      <c r="M1761" s="30" t="s">
        <v>1541</v>
      </c>
      <c r="N1761" s="30" t="s">
        <v>145</v>
      </c>
      <c r="O1761" s="30" t="s">
        <v>145</v>
      </c>
      <c r="P1761" s="30" t="s">
        <v>145</v>
      </c>
      <c r="Q1761" s="30" t="s">
        <v>156</v>
      </c>
    </row>
    <row r="1762" hidden="1">
      <c r="A1762" s="33" t="str">
        <f>hyperlink("https://issues.sierrawireless.com/browse/OEMPRI-7459", "OEMPRI-7459")</f>
        <v>OEMPRI-7459</v>
      </c>
      <c r="B1762" s="30" t="s">
        <v>139</v>
      </c>
      <c r="C1762" s="30" t="s">
        <v>148</v>
      </c>
      <c r="D1762" s="30" t="s">
        <v>170</v>
      </c>
      <c r="E1762" s="35">
        <v>43265.0</v>
      </c>
      <c r="F1762" s="37" t="s">
        <v>150</v>
      </c>
      <c r="G1762" s="30" t="s">
        <v>146</v>
      </c>
      <c r="H1762" s="30" t="s">
        <v>146</v>
      </c>
      <c r="I1762" s="30" t="s">
        <v>264</v>
      </c>
      <c r="J1762" s="30" t="s">
        <v>189</v>
      </c>
      <c r="K1762" s="30" t="s">
        <v>152</v>
      </c>
      <c r="L1762" s="30" t="s">
        <v>152</v>
      </c>
      <c r="M1762" s="30" t="s">
        <v>7497</v>
      </c>
      <c r="N1762" s="30" t="s">
        <v>145</v>
      </c>
      <c r="O1762" s="30" t="s">
        <v>145</v>
      </c>
      <c r="P1762" s="30" t="s">
        <v>145</v>
      </c>
      <c r="Q1762" s="30" t="s">
        <v>152</v>
      </c>
    </row>
    <row r="1763">
      <c r="A1763" s="33" t="str">
        <f>hyperlink("https://issues.sierrawireless.com/browse/OEMPRI-7514", "OEMPRI-7514")</f>
        <v>OEMPRI-7514</v>
      </c>
      <c r="B1763" s="30" t="s">
        <v>175</v>
      </c>
      <c r="C1763" s="30" t="s">
        <v>148</v>
      </c>
      <c r="D1763" s="30" t="s">
        <v>177</v>
      </c>
      <c r="E1763" s="35">
        <v>43273.0</v>
      </c>
      <c r="F1763" s="37" t="s">
        <v>150</v>
      </c>
      <c r="G1763" s="30" t="s">
        <v>340</v>
      </c>
      <c r="H1763" s="30" t="s">
        <v>145</v>
      </c>
      <c r="I1763" s="30" t="s">
        <v>152</v>
      </c>
      <c r="J1763" s="30" t="s">
        <v>1737</v>
      </c>
      <c r="K1763" s="30" t="s">
        <v>152</v>
      </c>
      <c r="L1763" s="30" t="s">
        <v>152</v>
      </c>
      <c r="M1763" s="30" t="s">
        <v>7371</v>
      </c>
      <c r="N1763" s="30" t="s">
        <v>152</v>
      </c>
      <c r="O1763" s="30" t="s">
        <v>152</v>
      </c>
      <c r="P1763" s="30" t="s">
        <v>152</v>
      </c>
      <c r="Q1763" s="30" t="s">
        <v>166</v>
      </c>
    </row>
    <row r="1764">
      <c r="A1764" s="33" t="str">
        <f>hyperlink("https://issues.sierrawireless.com/browse/OEMPRI-7508", "OEMPRI-7508")</f>
        <v>OEMPRI-7508</v>
      </c>
      <c r="B1764" s="30" t="s">
        <v>175</v>
      </c>
      <c r="C1764" s="30" t="s">
        <v>148</v>
      </c>
      <c r="D1764" s="30" t="s">
        <v>177</v>
      </c>
      <c r="E1764" s="35">
        <v>43273.0</v>
      </c>
      <c r="F1764" s="37" t="s">
        <v>150</v>
      </c>
      <c r="G1764" s="30" t="s">
        <v>340</v>
      </c>
      <c r="H1764" s="30" t="s">
        <v>145</v>
      </c>
      <c r="I1764" s="30" t="s">
        <v>152</v>
      </c>
      <c r="J1764" s="30" t="s">
        <v>1737</v>
      </c>
      <c r="K1764" s="30" t="s">
        <v>152</v>
      </c>
      <c r="L1764" s="30" t="s">
        <v>152</v>
      </c>
      <c r="M1764" s="30" t="s">
        <v>7387</v>
      </c>
      <c r="N1764" s="30" t="s">
        <v>152</v>
      </c>
      <c r="O1764" s="30" t="s">
        <v>152</v>
      </c>
      <c r="P1764" s="30" t="s">
        <v>152</v>
      </c>
      <c r="Q1764" s="30" t="s">
        <v>166</v>
      </c>
    </row>
    <row r="1765" hidden="1">
      <c r="A1765" s="33" t="str">
        <f>hyperlink("https://issues.sierrawireless.com/browse/OEMPRI-7471", "OEMPRI-7471")</f>
        <v>OEMPRI-7471</v>
      </c>
      <c r="B1765" s="30" t="s">
        <v>139</v>
      </c>
      <c r="C1765" s="30" t="s">
        <v>148</v>
      </c>
      <c r="D1765" s="30" t="s">
        <v>216</v>
      </c>
      <c r="E1765" s="35">
        <v>43270.0</v>
      </c>
      <c r="F1765" s="37" t="s">
        <v>184</v>
      </c>
      <c r="G1765" s="30" t="s">
        <v>556</v>
      </c>
      <c r="H1765" s="30" t="s">
        <v>145</v>
      </c>
      <c r="I1765" s="30" t="s">
        <v>152</v>
      </c>
      <c r="J1765" s="30" t="s">
        <v>152</v>
      </c>
      <c r="K1765" s="30" t="s">
        <v>213</v>
      </c>
      <c r="L1765" s="30" t="s">
        <v>197</v>
      </c>
      <c r="M1765" s="30" t="s">
        <v>145</v>
      </c>
      <c r="N1765" s="30" t="s">
        <v>145</v>
      </c>
      <c r="O1765" s="30" t="s">
        <v>145</v>
      </c>
      <c r="P1765" s="30" t="s">
        <v>145</v>
      </c>
      <c r="Q1765" s="30" t="s">
        <v>152</v>
      </c>
    </row>
    <row r="1766">
      <c r="A1766" s="33" t="str">
        <f>hyperlink("https://issues.sierrawireless.com/browse/OEMPRI-7503", "OEMPRI-7503")</f>
        <v>OEMPRI-7503</v>
      </c>
      <c r="B1766" s="30" t="s">
        <v>175</v>
      </c>
      <c r="C1766" s="30" t="s">
        <v>148</v>
      </c>
      <c r="D1766" s="30" t="s">
        <v>177</v>
      </c>
      <c r="E1766" s="35">
        <v>43273.0</v>
      </c>
      <c r="F1766" s="37" t="s">
        <v>150</v>
      </c>
      <c r="G1766" s="30" t="s">
        <v>368</v>
      </c>
      <c r="H1766" s="30" t="s">
        <v>145</v>
      </c>
      <c r="I1766" s="30" t="s">
        <v>152</v>
      </c>
      <c r="J1766" s="30" t="s">
        <v>3185</v>
      </c>
      <c r="K1766" s="30" t="s">
        <v>152</v>
      </c>
      <c r="L1766" s="30" t="s">
        <v>152</v>
      </c>
      <c r="M1766" s="30" t="s">
        <v>172</v>
      </c>
      <c r="N1766" s="30" t="s">
        <v>152</v>
      </c>
      <c r="O1766" s="30" t="s">
        <v>152</v>
      </c>
      <c r="P1766" s="30" t="s">
        <v>152</v>
      </c>
      <c r="Q1766" s="30" t="s">
        <v>166</v>
      </c>
    </row>
    <row r="1767" hidden="1">
      <c r="A1767" s="33" t="str">
        <f>hyperlink("https://issues.sierrawireless.com/browse/OEMPRI-7484", "OEMPRI-7484")</f>
        <v>OEMPRI-7484</v>
      </c>
      <c r="B1767" s="30" t="s">
        <v>139</v>
      </c>
      <c r="C1767" s="30" t="s">
        <v>141</v>
      </c>
      <c r="D1767" s="30" t="s">
        <v>141</v>
      </c>
      <c r="E1767" s="35">
        <v>43271.0</v>
      </c>
      <c r="F1767" s="37" t="s">
        <v>150</v>
      </c>
      <c r="G1767" s="30" t="s">
        <v>358</v>
      </c>
      <c r="H1767" s="30" t="s">
        <v>145</v>
      </c>
      <c r="I1767" s="30" t="s">
        <v>223</v>
      </c>
      <c r="J1767" s="30" t="s">
        <v>189</v>
      </c>
      <c r="K1767" s="30" t="s">
        <v>152</v>
      </c>
      <c r="L1767" s="30" t="s">
        <v>152</v>
      </c>
      <c r="M1767" s="30" t="s">
        <v>2140</v>
      </c>
      <c r="N1767" s="30" t="s">
        <v>145</v>
      </c>
      <c r="O1767" s="30" t="s">
        <v>145</v>
      </c>
      <c r="P1767" s="30" t="s">
        <v>145</v>
      </c>
      <c r="Q1767" s="30" t="s">
        <v>180</v>
      </c>
    </row>
    <row r="1768" hidden="1">
      <c r="A1768" s="33" t="str">
        <f>hyperlink("https://issues.sierrawireless.com/browse/OEMPRI-7485", "OEMPRI-7485")</f>
        <v>OEMPRI-7485</v>
      </c>
      <c r="B1768" s="30" t="s">
        <v>139</v>
      </c>
      <c r="C1768" s="30" t="s">
        <v>141</v>
      </c>
      <c r="D1768" s="30" t="s">
        <v>141</v>
      </c>
      <c r="E1768" s="35">
        <v>43271.0</v>
      </c>
      <c r="F1768" s="37" t="s">
        <v>150</v>
      </c>
      <c r="G1768" s="30" t="s">
        <v>223</v>
      </c>
      <c r="H1768" s="30" t="s">
        <v>223</v>
      </c>
      <c r="I1768" s="30" t="s">
        <v>146</v>
      </c>
      <c r="J1768" s="30" t="s">
        <v>151</v>
      </c>
      <c r="K1768" s="30" t="s">
        <v>152</v>
      </c>
      <c r="L1768" s="30" t="s">
        <v>152</v>
      </c>
      <c r="M1768" s="30" t="s">
        <v>7502</v>
      </c>
      <c r="N1768" s="30" t="s">
        <v>145</v>
      </c>
      <c r="O1768" s="30" t="s">
        <v>145</v>
      </c>
      <c r="P1768" s="30" t="s">
        <v>145</v>
      </c>
      <c r="Q1768" s="30" t="s">
        <v>7503</v>
      </c>
    </row>
    <row r="1769">
      <c r="A1769" s="33" t="str">
        <f>hyperlink("https://issues.sierrawireless.com/browse/OEMPRI-7472", "OEMPRI-7472")</f>
        <v>OEMPRI-7472</v>
      </c>
      <c r="B1769" s="30" t="s">
        <v>225</v>
      </c>
      <c r="C1769" s="30" t="s">
        <v>140</v>
      </c>
      <c r="D1769" s="30" t="s">
        <v>233</v>
      </c>
      <c r="E1769" s="35">
        <v>43270.0</v>
      </c>
      <c r="F1769" s="37" t="s">
        <v>150</v>
      </c>
      <c r="G1769" s="30" t="s">
        <v>146</v>
      </c>
      <c r="H1769" s="30" t="s">
        <v>145</v>
      </c>
      <c r="I1769" s="30" t="s">
        <v>146</v>
      </c>
      <c r="J1769" s="30" t="s">
        <v>7506</v>
      </c>
      <c r="K1769" s="30" t="s">
        <v>166</v>
      </c>
      <c r="L1769" s="30" t="s">
        <v>166</v>
      </c>
      <c r="M1769" s="30" t="s">
        <v>166</v>
      </c>
      <c r="N1769" s="30" t="s">
        <v>145</v>
      </c>
      <c r="O1769" s="30" t="s">
        <v>145</v>
      </c>
      <c r="P1769" s="30" t="s">
        <v>145</v>
      </c>
      <c r="Q1769" s="30" t="s">
        <v>166</v>
      </c>
    </row>
    <row r="1770">
      <c r="A1770" s="33" t="str">
        <f>hyperlink("https://issues.sierrawireless.com/browse/OEMPRI-7463", "OEMPRI-7463")</f>
        <v>OEMPRI-7463</v>
      </c>
      <c r="B1770" s="30" t="s">
        <v>86</v>
      </c>
      <c r="C1770" s="30" t="s">
        <v>168</v>
      </c>
      <c r="D1770" s="30" t="s">
        <v>169</v>
      </c>
      <c r="E1770" s="35">
        <v>43265.0</v>
      </c>
      <c r="F1770" s="37" t="s">
        <v>143</v>
      </c>
      <c r="G1770" s="30" t="s">
        <v>7509</v>
      </c>
      <c r="H1770" s="30" t="s">
        <v>145</v>
      </c>
      <c r="I1770" s="30" t="s">
        <v>145</v>
      </c>
      <c r="J1770" s="30" t="s">
        <v>145</v>
      </c>
      <c r="K1770" s="30" t="s">
        <v>145</v>
      </c>
      <c r="L1770" s="30" t="s">
        <v>145</v>
      </c>
      <c r="M1770" s="30" t="s">
        <v>145</v>
      </c>
      <c r="N1770" s="30" t="s">
        <v>145</v>
      </c>
      <c r="O1770" s="30" t="s">
        <v>145</v>
      </c>
      <c r="P1770" s="30" t="s">
        <v>145</v>
      </c>
      <c r="Q1770" s="30" t="s">
        <v>166</v>
      </c>
    </row>
    <row r="1771">
      <c r="A1771" s="33" t="str">
        <f>hyperlink("https://issues.sierrawireless.com/browse/OEMPRI-7414", "OEMPRI-7414")</f>
        <v>OEMPRI-7414</v>
      </c>
      <c r="B1771" s="30" t="s">
        <v>225</v>
      </c>
      <c r="C1771" s="30" t="s">
        <v>233</v>
      </c>
      <c r="D1771" s="30" t="s">
        <v>233</v>
      </c>
      <c r="E1771" s="35">
        <v>43263.0</v>
      </c>
      <c r="F1771" s="37" t="s">
        <v>150</v>
      </c>
      <c r="G1771" s="30" t="s">
        <v>163</v>
      </c>
      <c r="H1771" s="30" t="s">
        <v>146</v>
      </c>
      <c r="I1771" s="30" t="s">
        <v>146</v>
      </c>
      <c r="J1771" s="30" t="s">
        <v>7511</v>
      </c>
      <c r="K1771" s="30" t="s">
        <v>166</v>
      </c>
      <c r="L1771" s="30" t="s">
        <v>166</v>
      </c>
      <c r="M1771" s="30" t="s">
        <v>166</v>
      </c>
      <c r="N1771" s="30" t="s">
        <v>145</v>
      </c>
      <c r="O1771" s="30" t="s">
        <v>145</v>
      </c>
      <c r="P1771" s="30" t="s">
        <v>145</v>
      </c>
      <c r="Q1771" s="30" t="s">
        <v>166</v>
      </c>
    </row>
    <row r="1772" hidden="1">
      <c r="A1772" s="33" t="str">
        <f>hyperlink("https://issues.sierrawireless.com/browse/OEMPRI-7222", "OEMPRI-7222")</f>
        <v>OEMPRI-7222</v>
      </c>
      <c r="B1772" s="30" t="s">
        <v>139</v>
      </c>
      <c r="C1772" s="30" t="s">
        <v>155</v>
      </c>
      <c r="D1772" s="30" t="s">
        <v>155</v>
      </c>
      <c r="E1772" s="35">
        <v>43242.0</v>
      </c>
      <c r="F1772" s="37" t="s">
        <v>150</v>
      </c>
      <c r="G1772" s="30" t="s">
        <v>185</v>
      </c>
      <c r="H1772" s="30" t="s">
        <v>146</v>
      </c>
      <c r="I1772" s="30" t="s">
        <v>146</v>
      </c>
      <c r="J1772" s="30" t="s">
        <v>7513</v>
      </c>
      <c r="K1772" s="30" t="s">
        <v>158</v>
      </c>
      <c r="L1772" s="30" t="s">
        <v>158</v>
      </c>
      <c r="M1772" s="30" t="s">
        <v>158</v>
      </c>
      <c r="N1772" s="30" t="s">
        <v>145</v>
      </c>
      <c r="O1772" s="30" t="s">
        <v>145</v>
      </c>
      <c r="P1772" s="30" t="s">
        <v>145</v>
      </c>
      <c r="Q1772" s="30" t="s">
        <v>158</v>
      </c>
    </row>
    <row r="1773" hidden="1">
      <c r="A1773" s="33" t="str">
        <f>hyperlink("https://issues.sierrawireless.com/browse/OEMPRI-7520", "OEMPRI-7520")</f>
        <v>OEMPRI-7520</v>
      </c>
      <c r="B1773" s="30" t="s">
        <v>139</v>
      </c>
      <c r="C1773" s="30" t="s">
        <v>141</v>
      </c>
      <c r="D1773" s="30" t="s">
        <v>141</v>
      </c>
      <c r="E1773" s="35">
        <v>43276.0</v>
      </c>
      <c r="F1773" s="37" t="s">
        <v>150</v>
      </c>
      <c r="G1773" s="30" t="s">
        <v>358</v>
      </c>
      <c r="H1773" s="30" t="s">
        <v>223</v>
      </c>
      <c r="I1773" s="30" t="s">
        <v>146</v>
      </c>
      <c r="J1773" s="30" t="s">
        <v>189</v>
      </c>
      <c r="K1773" s="30" t="s">
        <v>152</v>
      </c>
      <c r="L1773" s="30" t="s">
        <v>152</v>
      </c>
      <c r="M1773" s="30" t="s">
        <v>172</v>
      </c>
      <c r="N1773" s="30" t="s">
        <v>145</v>
      </c>
      <c r="O1773" s="30" t="s">
        <v>145</v>
      </c>
      <c r="P1773" s="30" t="s">
        <v>145</v>
      </c>
      <c r="Q1773" s="30" t="s">
        <v>180</v>
      </c>
    </row>
    <row r="1774">
      <c r="A1774" s="33" t="str">
        <f>hyperlink("https://issues.sierrawireless.com/browse/OEMPRI-7400", "OEMPRI-7400")</f>
        <v>OEMPRI-7400</v>
      </c>
      <c r="B1774" s="30" t="s">
        <v>175</v>
      </c>
      <c r="C1774" s="30" t="s">
        <v>148</v>
      </c>
      <c r="D1774" s="30" t="s">
        <v>244</v>
      </c>
      <c r="E1774" s="35">
        <v>43262.0</v>
      </c>
      <c r="F1774" s="37" t="s">
        <v>150</v>
      </c>
      <c r="G1774" s="30" t="s">
        <v>1611</v>
      </c>
      <c r="H1774" s="30" t="s">
        <v>145</v>
      </c>
      <c r="I1774" s="30" t="s">
        <v>152</v>
      </c>
      <c r="J1774" s="30" t="s">
        <v>189</v>
      </c>
      <c r="K1774" s="30" t="s">
        <v>152</v>
      </c>
      <c r="L1774" s="30" t="s">
        <v>152</v>
      </c>
      <c r="M1774" s="30" t="s">
        <v>367</v>
      </c>
      <c r="N1774" s="30" t="s">
        <v>152</v>
      </c>
      <c r="O1774" s="30" t="s">
        <v>152</v>
      </c>
      <c r="P1774" s="30" t="s">
        <v>7520</v>
      </c>
      <c r="Q1774" s="30" t="s">
        <v>166</v>
      </c>
    </row>
    <row r="1775" hidden="1">
      <c r="A1775" s="33" t="str">
        <f>hyperlink("https://issues.sierrawireless.com/browse/OEMPRI-6427", "OEMPRI-6427")</f>
        <v>OEMPRI-6427</v>
      </c>
      <c r="B1775" s="30" t="s">
        <v>139</v>
      </c>
      <c r="C1775" s="30" t="s">
        <v>148</v>
      </c>
      <c r="D1775" s="30" t="s">
        <v>1400</v>
      </c>
      <c r="E1775" s="35">
        <v>43171.0</v>
      </c>
      <c r="F1775" s="37" t="s">
        <v>150</v>
      </c>
      <c r="G1775" s="30" t="s">
        <v>210</v>
      </c>
      <c r="H1775" s="30" t="s">
        <v>212</v>
      </c>
      <c r="I1775" s="30" t="s">
        <v>212</v>
      </c>
      <c r="J1775" s="30" t="s">
        <v>212</v>
      </c>
      <c r="K1775" s="30" t="s">
        <v>7522</v>
      </c>
      <c r="L1775" s="30" t="s">
        <v>212</v>
      </c>
      <c r="M1775" s="30" t="s">
        <v>212</v>
      </c>
      <c r="N1775" s="30" t="s">
        <v>152</v>
      </c>
      <c r="O1775" s="30" t="s">
        <v>197</v>
      </c>
      <c r="P1775" s="30" t="s">
        <v>152</v>
      </c>
      <c r="Q1775" s="30" t="s">
        <v>152</v>
      </c>
    </row>
    <row r="1776" hidden="1">
      <c r="A1776" s="33" t="str">
        <f>hyperlink("https://issues.sierrawireless.com/browse/OEMPRI-7530", "OEMPRI-7530")</f>
        <v>OEMPRI-7530</v>
      </c>
      <c r="B1776" s="30" t="s">
        <v>139</v>
      </c>
      <c r="C1776" s="30" t="s">
        <v>283</v>
      </c>
      <c r="D1776" s="30" t="s">
        <v>141</v>
      </c>
      <c r="E1776" s="35">
        <v>43277.0</v>
      </c>
      <c r="F1776" s="37" t="s">
        <v>150</v>
      </c>
      <c r="G1776" s="30" t="s">
        <v>618</v>
      </c>
      <c r="H1776" s="30" t="s">
        <v>407</v>
      </c>
      <c r="I1776" s="30" t="s">
        <v>146</v>
      </c>
      <c r="J1776" s="30" t="s">
        <v>189</v>
      </c>
      <c r="K1776" s="30" t="s">
        <v>2587</v>
      </c>
      <c r="L1776" s="30" t="s">
        <v>180</v>
      </c>
      <c r="M1776" s="30" t="s">
        <v>239</v>
      </c>
      <c r="N1776" s="30" t="s">
        <v>145</v>
      </c>
      <c r="O1776" s="30" t="s">
        <v>145</v>
      </c>
      <c r="P1776" s="30" t="s">
        <v>145</v>
      </c>
      <c r="Q1776" s="30" t="s">
        <v>407</v>
      </c>
    </row>
    <row r="1777" hidden="1">
      <c r="A1777" s="33" t="str">
        <f>hyperlink("https://issues.sierrawireless.com/browse/OEMPRI-7531", "OEMPRI-7531")</f>
        <v>OEMPRI-7531</v>
      </c>
      <c r="B1777" s="30" t="s">
        <v>139</v>
      </c>
      <c r="C1777" s="30" t="s">
        <v>170</v>
      </c>
      <c r="D1777" s="30" t="s">
        <v>170</v>
      </c>
      <c r="E1777" s="35">
        <v>43277.0</v>
      </c>
      <c r="F1777" s="37" t="s">
        <v>150</v>
      </c>
      <c r="G1777" s="30" t="s">
        <v>152</v>
      </c>
      <c r="H1777" s="30" t="s">
        <v>152</v>
      </c>
      <c r="I1777" s="30" t="s">
        <v>146</v>
      </c>
      <c r="J1777" s="30" t="s">
        <v>407</v>
      </c>
      <c r="K1777" s="30" t="s">
        <v>152</v>
      </c>
      <c r="L1777" s="30" t="s">
        <v>152</v>
      </c>
      <c r="M1777" s="30" t="s">
        <v>3887</v>
      </c>
      <c r="N1777" s="30" t="s">
        <v>145</v>
      </c>
      <c r="O1777" s="30" t="s">
        <v>145</v>
      </c>
      <c r="P1777" s="30" t="s">
        <v>145</v>
      </c>
      <c r="Q1777" s="30" t="s">
        <v>743</v>
      </c>
    </row>
    <row r="1778">
      <c r="A1778" s="33" t="str">
        <f>hyperlink("https://issues.sierrawireless.com/browse/OEMPRI-7367", "OEMPRI-7367")</f>
        <v>OEMPRI-7367</v>
      </c>
      <c r="B1778" s="30" t="s">
        <v>86</v>
      </c>
      <c r="C1778" s="30" t="s">
        <v>148</v>
      </c>
      <c r="D1778" s="30" t="s">
        <v>233</v>
      </c>
      <c r="E1778" s="35">
        <v>43258.0</v>
      </c>
      <c r="F1778" s="37" t="s">
        <v>150</v>
      </c>
      <c r="G1778" s="30" t="s">
        <v>148</v>
      </c>
      <c r="H1778" s="30" t="s">
        <v>152</v>
      </c>
      <c r="I1778" s="30" t="s">
        <v>146</v>
      </c>
      <c r="J1778" s="30" t="s">
        <v>7526</v>
      </c>
      <c r="K1778" s="30" t="s">
        <v>166</v>
      </c>
      <c r="L1778" s="30" t="s">
        <v>166</v>
      </c>
      <c r="M1778" s="30" t="s">
        <v>166</v>
      </c>
      <c r="N1778" s="30" t="s">
        <v>145</v>
      </c>
      <c r="O1778" s="30" t="s">
        <v>145</v>
      </c>
      <c r="P1778" s="30" t="s">
        <v>145</v>
      </c>
      <c r="Q1778" s="30" t="s">
        <v>166</v>
      </c>
    </row>
    <row r="1779" hidden="1">
      <c r="A1779" s="33" t="str">
        <f>hyperlink("https://issues.sierrawireless.com/browse/OEMPRI-7542", "OEMPRI-7542")</f>
        <v>OEMPRI-7542</v>
      </c>
      <c r="B1779" s="30" t="s">
        <v>139</v>
      </c>
      <c r="C1779" s="30" t="s">
        <v>141</v>
      </c>
      <c r="D1779" s="30" t="s">
        <v>141</v>
      </c>
      <c r="E1779" s="35">
        <v>43278.0</v>
      </c>
      <c r="F1779" s="37" t="s">
        <v>150</v>
      </c>
      <c r="G1779" s="30" t="s">
        <v>179</v>
      </c>
      <c r="H1779" s="30" t="s">
        <v>145</v>
      </c>
      <c r="I1779" s="30" t="s">
        <v>180</v>
      </c>
      <c r="J1779" s="30" t="s">
        <v>189</v>
      </c>
      <c r="K1779" s="30" t="s">
        <v>152</v>
      </c>
      <c r="L1779" s="30" t="s">
        <v>152</v>
      </c>
      <c r="M1779" s="30" t="s">
        <v>7527</v>
      </c>
      <c r="N1779" s="30" t="s">
        <v>145</v>
      </c>
      <c r="O1779" s="30" t="s">
        <v>145</v>
      </c>
      <c r="P1779" s="30" t="s">
        <v>145</v>
      </c>
      <c r="Q1779" s="30" t="s">
        <v>180</v>
      </c>
    </row>
    <row r="1780">
      <c r="A1780" s="33" t="str">
        <f>hyperlink("https://issues.sierrawireless.com/browse/OEMPRI-7368", "OEMPRI-7368")</f>
        <v>OEMPRI-7368</v>
      </c>
      <c r="B1780" s="30" t="s">
        <v>86</v>
      </c>
      <c r="C1780" s="30" t="s">
        <v>153</v>
      </c>
      <c r="D1780" s="30" t="s">
        <v>153</v>
      </c>
      <c r="E1780" s="35">
        <v>43258.0</v>
      </c>
      <c r="F1780" s="37" t="s">
        <v>269</v>
      </c>
      <c r="G1780" s="30" t="s">
        <v>7528</v>
      </c>
      <c r="H1780" s="30" t="s">
        <v>145</v>
      </c>
      <c r="I1780" s="30" t="s">
        <v>145</v>
      </c>
      <c r="J1780" s="30" t="s">
        <v>145</v>
      </c>
      <c r="K1780" s="30" t="s">
        <v>145</v>
      </c>
      <c r="L1780" s="30" t="s">
        <v>145</v>
      </c>
      <c r="M1780" s="30" t="s">
        <v>145</v>
      </c>
      <c r="N1780" s="30" t="s">
        <v>145</v>
      </c>
      <c r="O1780" s="30" t="s">
        <v>145</v>
      </c>
      <c r="P1780" s="30" t="s">
        <v>145</v>
      </c>
      <c r="Q1780" s="30" t="s">
        <v>166</v>
      </c>
    </row>
    <row r="1781">
      <c r="A1781" s="33" t="str">
        <f>hyperlink("https://issues.sierrawireless.com/browse/OEMPRI-7362", "OEMPRI-7362")</f>
        <v>OEMPRI-7362</v>
      </c>
      <c r="B1781" s="30" t="s">
        <v>86</v>
      </c>
      <c r="C1781" s="30" t="s">
        <v>153</v>
      </c>
      <c r="D1781" s="30" t="s">
        <v>153</v>
      </c>
      <c r="E1781" s="35">
        <v>43257.0</v>
      </c>
      <c r="F1781" s="37" t="s">
        <v>269</v>
      </c>
      <c r="G1781" s="30" t="s">
        <v>7531</v>
      </c>
      <c r="H1781" s="30" t="s">
        <v>145</v>
      </c>
      <c r="I1781" s="30" t="s">
        <v>145</v>
      </c>
      <c r="J1781" s="30" t="s">
        <v>145</v>
      </c>
      <c r="K1781" s="30" t="s">
        <v>145</v>
      </c>
      <c r="L1781" s="30" t="s">
        <v>145</v>
      </c>
      <c r="M1781" s="30" t="s">
        <v>145</v>
      </c>
      <c r="N1781" s="30" t="s">
        <v>145</v>
      </c>
      <c r="O1781" s="30" t="s">
        <v>145</v>
      </c>
      <c r="P1781" s="30" t="s">
        <v>145</v>
      </c>
      <c r="Q1781" s="30" t="s">
        <v>166</v>
      </c>
    </row>
    <row r="1782">
      <c r="A1782" s="33" t="str">
        <f>hyperlink("https://issues.sierrawireless.com/browse/OEMPRI-7286", "OEMPRI-7286")</f>
        <v>OEMPRI-7286</v>
      </c>
      <c r="B1782" s="30" t="s">
        <v>225</v>
      </c>
      <c r="C1782" s="30" t="s">
        <v>140</v>
      </c>
      <c r="D1782" s="30" t="s">
        <v>233</v>
      </c>
      <c r="E1782" s="35">
        <v>43251.0</v>
      </c>
      <c r="F1782" s="37" t="s">
        <v>150</v>
      </c>
      <c r="G1782" s="30" t="s">
        <v>223</v>
      </c>
      <c r="H1782" s="30" t="s">
        <v>223</v>
      </c>
      <c r="I1782" s="30" t="s">
        <v>146</v>
      </c>
      <c r="J1782" s="30" t="s">
        <v>7533</v>
      </c>
      <c r="K1782" s="30" t="s">
        <v>166</v>
      </c>
      <c r="L1782" s="30" t="s">
        <v>166</v>
      </c>
      <c r="M1782" s="30" t="s">
        <v>166</v>
      </c>
      <c r="N1782" s="30" t="s">
        <v>145</v>
      </c>
      <c r="O1782" s="30" t="s">
        <v>145</v>
      </c>
      <c r="P1782" s="30" t="s">
        <v>145</v>
      </c>
      <c r="Q1782" s="30" t="s">
        <v>166</v>
      </c>
    </row>
    <row r="1783">
      <c r="A1783" s="33" t="str">
        <f>hyperlink("https://issues.sierrawireless.com/browse/OEMPRI-7240", "OEMPRI-7240")</f>
        <v>OEMPRI-7240</v>
      </c>
      <c r="B1783" s="30" t="s">
        <v>86</v>
      </c>
      <c r="C1783" s="30" t="s">
        <v>140</v>
      </c>
      <c r="D1783" s="30" t="s">
        <v>140</v>
      </c>
      <c r="E1783" s="35">
        <v>43244.0</v>
      </c>
      <c r="F1783" s="37" t="s">
        <v>269</v>
      </c>
      <c r="G1783" s="30" t="s">
        <v>7534</v>
      </c>
      <c r="H1783" s="30" t="s">
        <v>145</v>
      </c>
      <c r="I1783" s="30" t="s">
        <v>145</v>
      </c>
      <c r="J1783" s="30" t="s">
        <v>145</v>
      </c>
      <c r="K1783" s="30" t="s">
        <v>145</v>
      </c>
      <c r="L1783" s="30" t="s">
        <v>145</v>
      </c>
      <c r="M1783" s="30" t="s">
        <v>145</v>
      </c>
      <c r="N1783" s="30" t="s">
        <v>145</v>
      </c>
      <c r="O1783" s="30" t="s">
        <v>145</v>
      </c>
      <c r="P1783" s="30" t="s">
        <v>145</v>
      </c>
      <c r="Q1783" s="30" t="s">
        <v>166</v>
      </c>
    </row>
    <row r="1784">
      <c r="A1784" s="33" t="str">
        <f>hyperlink("https://issues.sierrawireless.com/browse/OEMPRI-7194", "OEMPRI-7194")</f>
        <v>OEMPRI-7194</v>
      </c>
      <c r="B1784" s="30" t="s">
        <v>139</v>
      </c>
      <c r="C1784" s="30" t="s">
        <v>155</v>
      </c>
      <c r="D1784" s="30" t="s">
        <v>155</v>
      </c>
      <c r="E1784" s="35">
        <v>43242.0</v>
      </c>
      <c r="F1784" s="37" t="s">
        <v>150</v>
      </c>
      <c r="G1784" s="30" t="s">
        <v>163</v>
      </c>
      <c r="H1784" s="30" t="s">
        <v>146</v>
      </c>
      <c r="I1784" s="30" t="s">
        <v>146</v>
      </c>
      <c r="J1784" s="30" t="s">
        <v>2987</v>
      </c>
      <c r="K1784" s="30" t="s">
        <v>158</v>
      </c>
      <c r="L1784" s="30" t="s">
        <v>158</v>
      </c>
      <c r="M1784" s="30" t="s">
        <v>158</v>
      </c>
      <c r="N1784" s="30" t="s">
        <v>145</v>
      </c>
      <c r="O1784" s="30" t="s">
        <v>145</v>
      </c>
      <c r="P1784" s="30" t="s">
        <v>145</v>
      </c>
      <c r="Q1784" s="30" t="s">
        <v>166</v>
      </c>
    </row>
    <row r="1785">
      <c r="A1785" s="33" t="str">
        <f>hyperlink("https://issues.sierrawireless.com/browse/OEMPRI-7199", "OEMPRI-7199")</f>
        <v>OEMPRI-7199</v>
      </c>
      <c r="B1785" s="30" t="s">
        <v>175</v>
      </c>
      <c r="C1785" s="30" t="s">
        <v>148</v>
      </c>
      <c r="D1785" s="30" t="s">
        <v>177</v>
      </c>
      <c r="E1785" s="35">
        <v>43242.0</v>
      </c>
      <c r="F1785" s="37" t="s">
        <v>150</v>
      </c>
      <c r="G1785" s="30" t="s">
        <v>152</v>
      </c>
      <c r="H1785" s="30" t="s">
        <v>152</v>
      </c>
      <c r="I1785" s="30" t="s">
        <v>152</v>
      </c>
      <c r="J1785" s="30" t="s">
        <v>407</v>
      </c>
      <c r="K1785" s="30" t="s">
        <v>152</v>
      </c>
      <c r="L1785" s="30" t="s">
        <v>152</v>
      </c>
      <c r="M1785" s="30" t="s">
        <v>3666</v>
      </c>
      <c r="N1785" s="30" t="s">
        <v>152</v>
      </c>
      <c r="O1785" s="30" t="s">
        <v>152</v>
      </c>
      <c r="P1785" s="30" t="s">
        <v>7540</v>
      </c>
      <c r="Q1785" s="30" t="s">
        <v>166</v>
      </c>
    </row>
    <row r="1786" hidden="1">
      <c r="A1786" s="33" t="str">
        <f>hyperlink("https://issues.sierrawireless.com/browse/OEMPRI-7023", "OEMPRI-7023")</f>
        <v>OEMPRI-7023</v>
      </c>
      <c r="B1786" s="30" t="s">
        <v>139</v>
      </c>
      <c r="C1786" s="30" t="s">
        <v>155</v>
      </c>
      <c r="D1786" s="30" t="s">
        <v>155</v>
      </c>
      <c r="E1786" s="35">
        <v>43227.0</v>
      </c>
      <c r="F1786" s="37" t="s">
        <v>150</v>
      </c>
      <c r="G1786" s="30" t="s">
        <v>171</v>
      </c>
      <c r="H1786" s="30" t="s">
        <v>146</v>
      </c>
      <c r="I1786" s="30" t="s">
        <v>146</v>
      </c>
      <c r="J1786" s="30" t="s">
        <v>361</v>
      </c>
      <c r="K1786" s="30" t="s">
        <v>158</v>
      </c>
      <c r="L1786" s="30" t="s">
        <v>158</v>
      </c>
      <c r="M1786" s="30" t="s">
        <v>7544</v>
      </c>
      <c r="N1786" s="30" t="s">
        <v>145</v>
      </c>
      <c r="O1786" s="30" t="s">
        <v>145</v>
      </c>
      <c r="P1786" s="30" t="s">
        <v>145</v>
      </c>
      <c r="Q1786" s="30" t="s">
        <v>158</v>
      </c>
    </row>
    <row r="1787" hidden="1">
      <c r="A1787" s="33" t="str">
        <f>hyperlink("https://issues.sierrawireless.com/browse/OEMPRI-7022", "OEMPRI-7022")</f>
        <v>OEMPRI-7022</v>
      </c>
      <c r="B1787" s="30" t="s">
        <v>139</v>
      </c>
      <c r="C1787" s="30" t="s">
        <v>155</v>
      </c>
      <c r="D1787" s="30" t="s">
        <v>155</v>
      </c>
      <c r="E1787" s="35">
        <v>43227.0</v>
      </c>
      <c r="F1787" s="37" t="s">
        <v>150</v>
      </c>
      <c r="G1787" s="30" t="s">
        <v>540</v>
      </c>
      <c r="H1787" s="30" t="s">
        <v>146</v>
      </c>
      <c r="I1787" s="30" t="s">
        <v>146</v>
      </c>
      <c r="J1787" s="30" t="s">
        <v>146</v>
      </c>
      <c r="K1787" s="30" t="s">
        <v>146</v>
      </c>
      <c r="L1787" s="30" t="s">
        <v>158</v>
      </c>
      <c r="M1787" s="30" t="s">
        <v>7549</v>
      </c>
      <c r="N1787" s="30" t="s">
        <v>145</v>
      </c>
      <c r="O1787" s="30" t="s">
        <v>145</v>
      </c>
      <c r="P1787" s="30" t="s">
        <v>145</v>
      </c>
      <c r="Q1787" s="30" t="s">
        <v>158</v>
      </c>
    </row>
    <row r="1788" hidden="1">
      <c r="A1788" s="33" t="str">
        <f>hyperlink("https://issues.sierrawireless.com/browse/OEMPRI-7589", "OEMPRI-7589")</f>
        <v>OEMPRI-7589</v>
      </c>
      <c r="B1788" s="30" t="s">
        <v>139</v>
      </c>
      <c r="C1788" s="30" t="s">
        <v>148</v>
      </c>
      <c r="D1788" s="30" t="s">
        <v>233</v>
      </c>
      <c r="E1788" s="35">
        <v>43283.0</v>
      </c>
      <c r="F1788" s="37" t="s">
        <v>150</v>
      </c>
      <c r="G1788" s="30" t="s">
        <v>151</v>
      </c>
      <c r="H1788" s="30" t="s">
        <v>145</v>
      </c>
      <c r="I1788" s="30" t="s">
        <v>145</v>
      </c>
      <c r="J1788" s="30" t="s">
        <v>145</v>
      </c>
      <c r="K1788" s="30" t="s">
        <v>145</v>
      </c>
      <c r="L1788" s="30" t="s">
        <v>145</v>
      </c>
      <c r="M1788" s="30" t="s">
        <v>145</v>
      </c>
      <c r="N1788" s="30" t="s">
        <v>145</v>
      </c>
      <c r="O1788" s="30" t="s">
        <v>145</v>
      </c>
      <c r="P1788" s="30" t="s">
        <v>145</v>
      </c>
      <c r="Q1788" s="30" t="s">
        <v>152</v>
      </c>
    </row>
    <row r="1789" hidden="1">
      <c r="A1789" s="33" t="str">
        <f>hyperlink("https://issues.sierrawireless.com/browse/OEMPRI-7592", "OEMPRI-7592")</f>
        <v>OEMPRI-7592</v>
      </c>
      <c r="B1789" s="30" t="s">
        <v>139</v>
      </c>
      <c r="C1789" s="30" t="s">
        <v>141</v>
      </c>
      <c r="D1789" s="30" t="s">
        <v>141</v>
      </c>
      <c r="E1789" s="35">
        <v>43284.0</v>
      </c>
      <c r="F1789" s="37" t="s">
        <v>150</v>
      </c>
      <c r="G1789" s="30" t="s">
        <v>223</v>
      </c>
      <c r="H1789" s="30" t="s">
        <v>145</v>
      </c>
      <c r="I1789" s="30" t="s">
        <v>223</v>
      </c>
      <c r="J1789" s="30" t="s">
        <v>278</v>
      </c>
      <c r="K1789" s="30" t="s">
        <v>152</v>
      </c>
      <c r="L1789" s="30" t="s">
        <v>152</v>
      </c>
      <c r="M1789" s="30" t="s">
        <v>179</v>
      </c>
      <c r="N1789" s="30" t="s">
        <v>145</v>
      </c>
      <c r="O1789" s="30" t="s">
        <v>145</v>
      </c>
      <c r="P1789" s="30" t="s">
        <v>145</v>
      </c>
      <c r="Q1789" s="30" t="s">
        <v>180</v>
      </c>
    </row>
    <row r="1790">
      <c r="A1790" s="33" t="str">
        <f>hyperlink("https://issues.sierrawireless.com/browse/OEMPRI-7221", "OEMPRI-7221")</f>
        <v>OEMPRI-7221</v>
      </c>
      <c r="B1790" s="30" t="s">
        <v>593</v>
      </c>
      <c r="C1790" s="30" t="s">
        <v>155</v>
      </c>
      <c r="D1790" s="30" t="s">
        <v>155</v>
      </c>
      <c r="E1790" s="35">
        <v>43242.0</v>
      </c>
      <c r="F1790" s="37" t="s">
        <v>150</v>
      </c>
      <c r="G1790" s="30" t="s">
        <v>2578</v>
      </c>
      <c r="H1790" s="30" t="s">
        <v>158</v>
      </c>
      <c r="I1790" s="30" t="s">
        <v>146</v>
      </c>
      <c r="J1790" s="30" t="s">
        <v>7553</v>
      </c>
      <c r="K1790" s="30" t="s">
        <v>2405</v>
      </c>
      <c r="L1790" s="30" t="s">
        <v>166</v>
      </c>
      <c r="M1790" s="30" t="s">
        <v>166</v>
      </c>
      <c r="N1790" s="30" t="s">
        <v>145</v>
      </c>
      <c r="O1790" s="30" t="s">
        <v>145</v>
      </c>
      <c r="P1790" s="30" t="s">
        <v>145</v>
      </c>
      <c r="Q1790" s="30" t="s">
        <v>166</v>
      </c>
    </row>
    <row r="1791" hidden="1">
      <c r="A1791" s="33" t="str">
        <f>hyperlink("https://issues.sierrawireless.com/browse/OEMPRI-7617", "OEMPRI-7617")</f>
        <v>OEMPRI-7617</v>
      </c>
      <c r="B1791" s="30" t="s">
        <v>139</v>
      </c>
      <c r="C1791" s="30" t="s">
        <v>141</v>
      </c>
      <c r="D1791" s="30" t="s">
        <v>141</v>
      </c>
      <c r="E1791" s="35">
        <v>43285.0</v>
      </c>
      <c r="F1791" s="37" t="s">
        <v>150</v>
      </c>
      <c r="G1791" s="30" t="s">
        <v>146</v>
      </c>
      <c r="H1791" s="30" t="s">
        <v>145</v>
      </c>
      <c r="I1791" s="30" t="s">
        <v>146</v>
      </c>
      <c r="J1791" s="30" t="s">
        <v>278</v>
      </c>
      <c r="K1791" s="30" t="s">
        <v>189</v>
      </c>
      <c r="L1791" s="30" t="s">
        <v>189</v>
      </c>
      <c r="M1791" s="30" t="s">
        <v>179</v>
      </c>
      <c r="N1791" s="30" t="s">
        <v>145</v>
      </c>
      <c r="O1791" s="30" t="s">
        <v>145</v>
      </c>
      <c r="P1791" s="30" t="s">
        <v>145</v>
      </c>
      <c r="Q1791" s="30" t="s">
        <v>180</v>
      </c>
    </row>
    <row r="1792" hidden="1">
      <c r="A1792" s="33" t="str">
        <f>hyperlink("https://issues.sierrawireless.com/browse/OEMPRI-6918", "OEMPRI-6918")</f>
        <v>OEMPRI-6918</v>
      </c>
      <c r="B1792" s="30" t="s">
        <v>139</v>
      </c>
      <c r="C1792" s="30" t="s">
        <v>155</v>
      </c>
      <c r="D1792" s="30" t="s">
        <v>155</v>
      </c>
      <c r="E1792" s="35">
        <v>43216.0</v>
      </c>
      <c r="F1792" s="37" t="s">
        <v>150</v>
      </c>
      <c r="G1792" s="30" t="s">
        <v>146</v>
      </c>
      <c r="H1792" s="30" t="s">
        <v>146</v>
      </c>
      <c r="I1792" s="30" t="s">
        <v>146</v>
      </c>
      <c r="J1792" s="30" t="s">
        <v>7561</v>
      </c>
      <c r="K1792" s="30" t="s">
        <v>158</v>
      </c>
      <c r="L1792" s="30" t="s">
        <v>158</v>
      </c>
      <c r="M1792" s="30" t="s">
        <v>158</v>
      </c>
      <c r="N1792" s="30" t="s">
        <v>145</v>
      </c>
      <c r="O1792" s="30" t="s">
        <v>145</v>
      </c>
      <c r="P1792" s="30" t="s">
        <v>145</v>
      </c>
      <c r="Q1792" s="30" t="s">
        <v>158</v>
      </c>
    </row>
    <row r="1793">
      <c r="A1793" s="33" t="str">
        <f>hyperlink("https://issues.sierrawireless.com/browse/OEMPRI-7161", "OEMPRI-7161")</f>
        <v>OEMPRI-7161</v>
      </c>
      <c r="B1793" s="30" t="s">
        <v>86</v>
      </c>
      <c r="C1793" s="30" t="s">
        <v>148</v>
      </c>
      <c r="D1793" s="30" t="s">
        <v>633</v>
      </c>
      <c r="E1793" s="35">
        <v>43237.0</v>
      </c>
      <c r="F1793" s="37" t="s">
        <v>150</v>
      </c>
      <c r="G1793" s="30" t="s">
        <v>1099</v>
      </c>
      <c r="H1793" s="30" t="s">
        <v>166</v>
      </c>
      <c r="I1793" s="30" t="s">
        <v>166</v>
      </c>
      <c r="J1793" s="30" t="s">
        <v>166</v>
      </c>
      <c r="K1793" s="30" t="s">
        <v>166</v>
      </c>
      <c r="L1793" s="30" t="s">
        <v>166</v>
      </c>
      <c r="M1793" s="30" t="s">
        <v>166</v>
      </c>
      <c r="N1793" s="30" t="s">
        <v>145</v>
      </c>
      <c r="O1793" s="30" t="s">
        <v>145</v>
      </c>
      <c r="P1793" s="30" t="s">
        <v>145</v>
      </c>
      <c r="Q1793" s="30" t="s">
        <v>166</v>
      </c>
    </row>
    <row r="1794">
      <c r="A1794" s="33" t="str">
        <f>hyperlink("https://issues.sierrawireless.com/browse/OEMPRI-7162", "OEMPRI-7162")</f>
        <v>OEMPRI-7162</v>
      </c>
      <c r="B1794" s="30" t="s">
        <v>86</v>
      </c>
      <c r="C1794" s="30" t="s">
        <v>148</v>
      </c>
      <c r="D1794" s="30" t="s">
        <v>633</v>
      </c>
      <c r="E1794" s="35">
        <v>43237.0</v>
      </c>
      <c r="F1794" s="37" t="s">
        <v>150</v>
      </c>
      <c r="G1794" s="30" t="s">
        <v>1099</v>
      </c>
      <c r="H1794" s="30" t="s">
        <v>166</v>
      </c>
      <c r="I1794" s="30" t="s">
        <v>166</v>
      </c>
      <c r="J1794" s="30" t="s">
        <v>166</v>
      </c>
      <c r="K1794" s="30" t="s">
        <v>166</v>
      </c>
      <c r="L1794" s="30" t="s">
        <v>166</v>
      </c>
      <c r="M1794" s="30" t="s">
        <v>166</v>
      </c>
      <c r="N1794" s="30" t="s">
        <v>145</v>
      </c>
      <c r="O1794" s="30" t="s">
        <v>145</v>
      </c>
      <c r="P1794" s="30" t="s">
        <v>145</v>
      </c>
      <c r="Q1794" s="30" t="s">
        <v>166</v>
      </c>
    </row>
    <row r="1795">
      <c r="A1795" s="33" t="str">
        <f>hyperlink("https://issues.sierrawireless.com/browse/OEMPRI-7155", "OEMPRI-7155")</f>
        <v>OEMPRI-7155</v>
      </c>
      <c r="B1795" s="30" t="s">
        <v>139</v>
      </c>
      <c r="C1795" s="30" t="s">
        <v>155</v>
      </c>
      <c r="D1795" s="30" t="s">
        <v>155</v>
      </c>
      <c r="E1795" s="35">
        <v>43236.0</v>
      </c>
      <c r="F1795" s="37" t="s">
        <v>150</v>
      </c>
      <c r="G1795" s="30" t="s">
        <v>540</v>
      </c>
      <c r="H1795" s="30" t="s">
        <v>146</v>
      </c>
      <c r="I1795" s="30" t="s">
        <v>146</v>
      </c>
      <c r="J1795" s="30" t="s">
        <v>531</v>
      </c>
      <c r="K1795" s="30" t="s">
        <v>152</v>
      </c>
      <c r="L1795" s="30" t="s">
        <v>152</v>
      </c>
      <c r="M1795" s="30" t="s">
        <v>7567</v>
      </c>
      <c r="N1795" s="30" t="s">
        <v>145</v>
      </c>
      <c r="O1795" s="30" t="s">
        <v>145</v>
      </c>
      <c r="P1795" s="30" t="s">
        <v>145</v>
      </c>
      <c r="Q1795" s="30" t="s">
        <v>166</v>
      </c>
    </row>
    <row r="1796" hidden="1">
      <c r="A1796" s="33" t="str">
        <f>hyperlink("https://issues.sierrawireless.com/browse/OEMPRI-6733", "OEMPRI-6733")</f>
        <v>OEMPRI-6733</v>
      </c>
      <c r="B1796" s="30" t="s">
        <v>139</v>
      </c>
      <c r="C1796" s="30" t="s">
        <v>155</v>
      </c>
      <c r="D1796" s="30" t="s">
        <v>155</v>
      </c>
      <c r="E1796" s="35">
        <v>43200.0</v>
      </c>
      <c r="F1796" s="37" t="s">
        <v>150</v>
      </c>
      <c r="G1796" s="30" t="s">
        <v>146</v>
      </c>
      <c r="H1796" s="30" t="s">
        <v>146</v>
      </c>
      <c r="I1796" s="30" t="s">
        <v>146</v>
      </c>
      <c r="J1796" s="30" t="s">
        <v>158</v>
      </c>
      <c r="K1796" s="30" t="s">
        <v>158</v>
      </c>
      <c r="L1796" s="30" t="s">
        <v>375</v>
      </c>
      <c r="M1796" s="30" t="s">
        <v>7570</v>
      </c>
      <c r="N1796" s="30" t="s">
        <v>145</v>
      </c>
      <c r="O1796" s="30" t="s">
        <v>145</v>
      </c>
      <c r="P1796" s="30" t="s">
        <v>145</v>
      </c>
      <c r="Q1796" s="30" t="s">
        <v>158</v>
      </c>
    </row>
    <row r="1797">
      <c r="A1797" s="33" t="str">
        <f>hyperlink("https://issues.sierrawireless.com/browse/OEMPRI-7137", "OEMPRI-7137")</f>
        <v>OEMPRI-7137</v>
      </c>
      <c r="B1797" s="30" t="s">
        <v>469</v>
      </c>
      <c r="C1797" s="30" t="s">
        <v>140</v>
      </c>
      <c r="D1797" s="30" t="s">
        <v>216</v>
      </c>
      <c r="E1797" s="35">
        <v>43235.0</v>
      </c>
      <c r="F1797" s="37" t="s">
        <v>150</v>
      </c>
      <c r="G1797" s="30" t="s">
        <v>626</v>
      </c>
      <c r="H1797" s="30" t="s">
        <v>146</v>
      </c>
      <c r="I1797" s="30" t="s">
        <v>146</v>
      </c>
      <c r="J1797" s="30" t="s">
        <v>163</v>
      </c>
      <c r="K1797" s="30" t="s">
        <v>146</v>
      </c>
      <c r="L1797" s="30" t="s">
        <v>146</v>
      </c>
      <c r="M1797" s="30" t="s">
        <v>7534</v>
      </c>
      <c r="N1797" s="30" t="s">
        <v>145</v>
      </c>
      <c r="O1797" s="30" t="s">
        <v>145</v>
      </c>
      <c r="P1797" s="30" t="s">
        <v>145</v>
      </c>
      <c r="Q1797" s="30" t="s">
        <v>166</v>
      </c>
    </row>
    <row r="1798">
      <c r="A1798" s="33" t="str">
        <f>hyperlink("https://issues.sierrawireless.com/browse/OEMPRI-7142", "OEMPRI-7142")</f>
        <v>OEMPRI-7142</v>
      </c>
      <c r="B1798" s="30" t="s">
        <v>86</v>
      </c>
      <c r="C1798" s="30" t="s">
        <v>120</v>
      </c>
      <c r="D1798" s="30" t="s">
        <v>122</v>
      </c>
      <c r="E1798" s="35">
        <v>43235.0</v>
      </c>
      <c r="F1798" s="37" t="s">
        <v>150</v>
      </c>
      <c r="G1798" s="30" t="s">
        <v>7578</v>
      </c>
      <c r="H1798" s="30" t="s">
        <v>166</v>
      </c>
      <c r="I1798" s="30" t="s">
        <v>166</v>
      </c>
      <c r="J1798" s="30" t="s">
        <v>166</v>
      </c>
      <c r="K1798" s="30" t="s">
        <v>166</v>
      </c>
      <c r="L1798" s="30" t="s">
        <v>166</v>
      </c>
      <c r="M1798" s="30" t="s">
        <v>166</v>
      </c>
      <c r="N1798" s="30" t="s">
        <v>145</v>
      </c>
      <c r="O1798" s="30" t="s">
        <v>145</v>
      </c>
      <c r="P1798" s="30" t="s">
        <v>145</v>
      </c>
      <c r="Q1798" s="30" t="s">
        <v>166</v>
      </c>
    </row>
    <row r="1799">
      <c r="A1799" s="33" t="str">
        <f>hyperlink("https://issues.sierrawireless.com/browse/OEMPRI-7131", "OEMPRI-7131")</f>
        <v>OEMPRI-7131</v>
      </c>
      <c r="B1799" s="30" t="s">
        <v>139</v>
      </c>
      <c r="C1799" s="30" t="s">
        <v>155</v>
      </c>
      <c r="D1799" s="30" t="s">
        <v>155</v>
      </c>
      <c r="E1799" s="35">
        <v>43234.0</v>
      </c>
      <c r="F1799" s="37" t="s">
        <v>150</v>
      </c>
      <c r="G1799" s="30" t="s">
        <v>171</v>
      </c>
      <c r="H1799" s="30" t="s">
        <v>146</v>
      </c>
      <c r="I1799" s="30" t="s">
        <v>146</v>
      </c>
      <c r="J1799" s="30" t="s">
        <v>189</v>
      </c>
      <c r="K1799" s="30" t="s">
        <v>2130</v>
      </c>
      <c r="L1799" s="30" t="s">
        <v>189</v>
      </c>
      <c r="M1799" s="30" t="s">
        <v>7581</v>
      </c>
      <c r="N1799" s="30" t="s">
        <v>145</v>
      </c>
      <c r="O1799" s="30" t="s">
        <v>145</v>
      </c>
      <c r="P1799" s="30" t="s">
        <v>145</v>
      </c>
      <c r="Q1799" s="30" t="s">
        <v>158</v>
      </c>
    </row>
    <row r="1800">
      <c r="A1800" s="33" t="str">
        <f>hyperlink("https://issues.sierrawireless.com/browse/OEMPRI-7039", "OEMPRI-7039")</f>
        <v>OEMPRI-7039</v>
      </c>
      <c r="B1800" s="30" t="s">
        <v>175</v>
      </c>
      <c r="C1800" s="30" t="s">
        <v>122</v>
      </c>
      <c r="D1800" s="30" t="s">
        <v>122</v>
      </c>
      <c r="E1800" s="35">
        <v>43228.0</v>
      </c>
      <c r="F1800" s="37" t="s">
        <v>150</v>
      </c>
      <c r="G1800" s="30" t="s">
        <v>687</v>
      </c>
      <c r="H1800" s="30" t="s">
        <v>687</v>
      </c>
      <c r="I1800" s="30" t="s">
        <v>687</v>
      </c>
      <c r="J1800" s="30" t="s">
        <v>687</v>
      </c>
      <c r="K1800" s="30" t="s">
        <v>679</v>
      </c>
      <c r="L1800" s="30" t="s">
        <v>687</v>
      </c>
      <c r="M1800" s="30" t="s">
        <v>2938</v>
      </c>
      <c r="N1800" s="30" t="s">
        <v>152</v>
      </c>
      <c r="O1800" s="30" t="s">
        <v>152</v>
      </c>
      <c r="P1800" s="30" t="s">
        <v>7589</v>
      </c>
      <c r="Q1800" s="30" t="s">
        <v>166</v>
      </c>
    </row>
    <row r="1801">
      <c r="A1801" s="33" t="str">
        <f>hyperlink("https://issues.sierrawireless.com/browse/OEMPRI-7041", "OEMPRI-7041")</f>
        <v>OEMPRI-7041</v>
      </c>
      <c r="B1801" s="30" t="s">
        <v>175</v>
      </c>
      <c r="C1801" s="30" t="s">
        <v>122</v>
      </c>
      <c r="D1801" s="30" t="s">
        <v>122</v>
      </c>
      <c r="E1801" s="35">
        <v>43228.0</v>
      </c>
      <c r="F1801" s="37" t="s">
        <v>150</v>
      </c>
      <c r="G1801" s="30" t="s">
        <v>212</v>
      </c>
      <c r="H1801" s="30" t="s">
        <v>212</v>
      </c>
      <c r="I1801" s="30" t="s">
        <v>212</v>
      </c>
      <c r="J1801" s="30" t="s">
        <v>212</v>
      </c>
      <c r="K1801" s="30" t="s">
        <v>7594</v>
      </c>
      <c r="L1801" s="30" t="s">
        <v>166</v>
      </c>
      <c r="M1801" s="30" t="s">
        <v>166</v>
      </c>
      <c r="N1801" s="30" t="s">
        <v>152</v>
      </c>
      <c r="O1801" s="30" t="s">
        <v>145</v>
      </c>
      <c r="P1801" s="30" t="s">
        <v>145</v>
      </c>
      <c r="Q1801" s="30" t="s">
        <v>166</v>
      </c>
    </row>
    <row r="1802">
      <c r="A1802" s="33" t="str">
        <f>hyperlink("https://issues.sierrawireless.com/browse/OEMPRI-6980", "OEMPRI-6980")</f>
        <v>OEMPRI-6980</v>
      </c>
      <c r="B1802" s="30" t="s">
        <v>593</v>
      </c>
      <c r="C1802" s="30" t="s">
        <v>140</v>
      </c>
      <c r="D1802" s="30" t="s">
        <v>170</v>
      </c>
      <c r="E1802" s="35">
        <v>43223.0</v>
      </c>
      <c r="F1802" s="37" t="s">
        <v>150</v>
      </c>
      <c r="G1802" s="30" t="s">
        <v>148</v>
      </c>
      <c r="H1802" s="30" t="s">
        <v>146</v>
      </c>
      <c r="I1802" s="30" t="s">
        <v>7597</v>
      </c>
      <c r="J1802" s="30" t="s">
        <v>228</v>
      </c>
      <c r="K1802" s="30" t="s">
        <v>7598</v>
      </c>
      <c r="L1802" s="30" t="s">
        <v>166</v>
      </c>
      <c r="M1802" s="30" t="s">
        <v>166</v>
      </c>
      <c r="N1802" s="30" t="s">
        <v>145</v>
      </c>
      <c r="O1802" s="30" t="s">
        <v>145</v>
      </c>
      <c r="P1802" s="30" t="s">
        <v>145</v>
      </c>
      <c r="Q1802" s="30" t="s">
        <v>166</v>
      </c>
    </row>
    <row r="1803">
      <c r="A1803" s="33" t="str">
        <f>hyperlink("https://issues.sierrawireless.com/browse/OEMPRI-6879", "OEMPRI-6879")</f>
        <v>OEMPRI-6879</v>
      </c>
      <c r="B1803" s="30" t="s">
        <v>86</v>
      </c>
      <c r="C1803" s="30" t="s">
        <v>140</v>
      </c>
      <c r="D1803" s="30" t="s">
        <v>140</v>
      </c>
      <c r="E1803" s="35">
        <v>43214.0</v>
      </c>
      <c r="F1803" s="37" t="s">
        <v>184</v>
      </c>
      <c r="G1803" s="30" t="s">
        <v>7599</v>
      </c>
      <c r="H1803" s="30" t="s">
        <v>166</v>
      </c>
      <c r="I1803" s="30" t="s">
        <v>166</v>
      </c>
      <c r="J1803" s="30" t="s">
        <v>166</v>
      </c>
      <c r="K1803" s="30" t="s">
        <v>166</v>
      </c>
      <c r="L1803" s="30" t="s">
        <v>166</v>
      </c>
      <c r="M1803" s="30" t="s">
        <v>166</v>
      </c>
      <c r="N1803" s="30" t="s">
        <v>145</v>
      </c>
      <c r="O1803" s="30" t="s">
        <v>145</v>
      </c>
      <c r="P1803" s="30" t="s">
        <v>145</v>
      </c>
      <c r="Q1803" s="30" t="s">
        <v>166</v>
      </c>
    </row>
    <row r="1804">
      <c r="A1804" s="33" t="str">
        <f>hyperlink("https://issues.sierrawireless.com/browse/OEMPRI-6796", "OEMPRI-6796")</f>
        <v>OEMPRI-6796</v>
      </c>
      <c r="B1804" s="30" t="s">
        <v>469</v>
      </c>
      <c r="C1804" s="30" t="s">
        <v>140</v>
      </c>
      <c r="D1804" s="30" t="s">
        <v>155</v>
      </c>
      <c r="E1804" s="35">
        <v>43206.0</v>
      </c>
      <c r="F1804" s="37" t="s">
        <v>150</v>
      </c>
      <c r="G1804" s="30" t="s">
        <v>185</v>
      </c>
      <c r="H1804" s="30" t="s">
        <v>146</v>
      </c>
      <c r="I1804" s="30" t="s">
        <v>1288</v>
      </c>
      <c r="J1804" s="30" t="s">
        <v>189</v>
      </c>
      <c r="K1804" s="30" t="s">
        <v>152</v>
      </c>
      <c r="L1804" s="30" t="s">
        <v>152</v>
      </c>
      <c r="M1804" s="30" t="s">
        <v>7602</v>
      </c>
      <c r="N1804" s="30" t="s">
        <v>145</v>
      </c>
      <c r="O1804" s="30" t="s">
        <v>145</v>
      </c>
      <c r="P1804" s="30" t="s">
        <v>145</v>
      </c>
      <c r="Q1804" s="30" t="s">
        <v>166</v>
      </c>
    </row>
    <row r="1805" hidden="1">
      <c r="A1805" s="33" t="str">
        <f>hyperlink("https://issues.sierrawireless.com/browse/OEMPRI-6442", "OEMPRI-6442")</f>
        <v>OEMPRI-6442</v>
      </c>
      <c r="B1805" s="30" t="s">
        <v>139</v>
      </c>
      <c r="C1805" s="30" t="s">
        <v>155</v>
      </c>
      <c r="D1805" s="30" t="s">
        <v>155</v>
      </c>
      <c r="E1805" s="35">
        <v>43172.0</v>
      </c>
      <c r="F1805" s="37" t="s">
        <v>150</v>
      </c>
      <c r="G1805" s="30" t="s">
        <v>660</v>
      </c>
      <c r="H1805" s="30" t="s">
        <v>223</v>
      </c>
      <c r="I1805" s="30" t="s">
        <v>146</v>
      </c>
      <c r="J1805" s="30" t="s">
        <v>7603</v>
      </c>
      <c r="K1805" s="30" t="s">
        <v>158</v>
      </c>
      <c r="L1805" s="30" t="s">
        <v>158</v>
      </c>
      <c r="M1805" s="30" t="s">
        <v>7604</v>
      </c>
      <c r="N1805" s="30" t="s">
        <v>145</v>
      </c>
      <c r="O1805" s="30" t="s">
        <v>145</v>
      </c>
      <c r="P1805" s="30" t="s">
        <v>145</v>
      </c>
      <c r="Q1805" s="30" t="s">
        <v>158</v>
      </c>
    </row>
    <row r="1806" hidden="1">
      <c r="A1806" s="33" t="str">
        <f>hyperlink("https://issues.sierrawireless.com/browse/OEMPRI-5704", "OEMPRI-5704")</f>
        <v>OEMPRI-5704</v>
      </c>
      <c r="B1806" s="30" t="s">
        <v>139</v>
      </c>
      <c r="C1806" s="30" t="s">
        <v>148</v>
      </c>
      <c r="D1806" s="30" t="s">
        <v>726</v>
      </c>
      <c r="E1806" s="35">
        <v>43098.0</v>
      </c>
      <c r="F1806" s="37" t="s">
        <v>150</v>
      </c>
      <c r="G1806" s="30" t="s">
        <v>1711</v>
      </c>
      <c r="H1806" s="30" t="s">
        <v>146</v>
      </c>
      <c r="I1806" s="30" t="s">
        <v>540</v>
      </c>
      <c r="J1806" s="30" t="s">
        <v>144</v>
      </c>
      <c r="K1806" s="30" t="s">
        <v>727</v>
      </c>
      <c r="L1806" s="30" t="s">
        <v>152</v>
      </c>
      <c r="M1806" s="30" t="s">
        <v>152</v>
      </c>
      <c r="N1806" s="30" t="s">
        <v>152</v>
      </c>
      <c r="O1806" s="30" t="s">
        <v>152</v>
      </c>
      <c r="P1806" s="30" t="s">
        <v>152</v>
      </c>
      <c r="Q1806" s="30" t="s">
        <v>152</v>
      </c>
    </row>
    <row r="1807">
      <c r="A1807" s="33" t="str">
        <f>hyperlink("https://issues.sierrawireless.com/browse/OEMPRI-6751", "OEMPRI-6751")</f>
        <v>OEMPRI-6751</v>
      </c>
      <c r="B1807" s="30" t="s">
        <v>139</v>
      </c>
      <c r="C1807" s="30" t="s">
        <v>155</v>
      </c>
      <c r="D1807" s="30" t="s">
        <v>155</v>
      </c>
      <c r="E1807" s="35">
        <v>43201.0</v>
      </c>
      <c r="F1807" s="37" t="s">
        <v>150</v>
      </c>
      <c r="G1807" s="30" t="s">
        <v>2578</v>
      </c>
      <c r="H1807" s="30" t="s">
        <v>158</v>
      </c>
      <c r="I1807" s="30" t="s">
        <v>158</v>
      </c>
      <c r="J1807" s="30" t="s">
        <v>2579</v>
      </c>
      <c r="K1807" s="30" t="s">
        <v>7607</v>
      </c>
      <c r="L1807" s="30" t="s">
        <v>7608</v>
      </c>
      <c r="M1807" s="30" t="s">
        <v>158</v>
      </c>
      <c r="N1807" s="30" t="s">
        <v>145</v>
      </c>
      <c r="O1807" s="30" t="s">
        <v>145</v>
      </c>
      <c r="P1807" s="30" t="s">
        <v>145</v>
      </c>
      <c r="Q1807" s="30" t="s">
        <v>158</v>
      </c>
    </row>
    <row r="1808">
      <c r="A1808" s="33" t="str">
        <f>hyperlink("https://issues.sierrawireless.com/browse/OEMPRI-6670", "OEMPRI-6670")</f>
        <v>OEMPRI-6670</v>
      </c>
      <c r="B1808" s="30" t="s">
        <v>1031</v>
      </c>
      <c r="C1808" s="30" t="s">
        <v>120</v>
      </c>
      <c r="D1808" s="30" t="s">
        <v>1128</v>
      </c>
      <c r="E1808" s="35">
        <v>43189.0</v>
      </c>
      <c r="F1808" s="37" t="s">
        <v>150</v>
      </c>
      <c r="G1808" s="30" t="s">
        <v>7609</v>
      </c>
      <c r="H1808" s="30" t="s">
        <v>212</v>
      </c>
      <c r="I1808" s="30" t="s">
        <v>212</v>
      </c>
      <c r="J1808" s="30" t="s">
        <v>212</v>
      </c>
      <c r="K1808" s="30" t="s">
        <v>2340</v>
      </c>
      <c r="L1808" s="30" t="s">
        <v>7423</v>
      </c>
      <c r="M1808" s="30" t="s">
        <v>166</v>
      </c>
      <c r="N1808" s="30" t="s">
        <v>145</v>
      </c>
      <c r="O1808" s="30" t="s">
        <v>145</v>
      </c>
      <c r="P1808" s="30" t="s">
        <v>145</v>
      </c>
      <c r="Q1808" s="30" t="s">
        <v>166</v>
      </c>
    </row>
    <row r="1809">
      <c r="A1809" s="33" t="str">
        <f>hyperlink("https://issues.sierrawireless.com/browse/OEMPRI-6671", "OEMPRI-6671")</f>
        <v>OEMPRI-6671</v>
      </c>
      <c r="B1809" s="30" t="s">
        <v>225</v>
      </c>
      <c r="C1809" s="30" t="s">
        <v>120</v>
      </c>
      <c r="D1809" s="30" t="s">
        <v>1128</v>
      </c>
      <c r="E1809" s="35">
        <v>43189.0</v>
      </c>
      <c r="F1809" s="37" t="s">
        <v>150</v>
      </c>
      <c r="G1809" s="30" t="s">
        <v>7401</v>
      </c>
      <c r="H1809" s="30" t="s">
        <v>212</v>
      </c>
      <c r="I1809" s="30" t="s">
        <v>212</v>
      </c>
      <c r="J1809" s="30" t="s">
        <v>7423</v>
      </c>
      <c r="K1809" s="30" t="s">
        <v>166</v>
      </c>
      <c r="L1809" s="30" t="s">
        <v>166</v>
      </c>
      <c r="M1809" s="30" t="s">
        <v>166</v>
      </c>
      <c r="N1809" s="30" t="s">
        <v>145</v>
      </c>
      <c r="O1809" s="30" t="s">
        <v>145</v>
      </c>
      <c r="P1809" s="30" t="s">
        <v>145</v>
      </c>
      <c r="Q1809" s="30" t="s">
        <v>166</v>
      </c>
    </row>
    <row r="1810">
      <c r="A1810" s="33" t="str">
        <f>hyperlink("https://issues.sierrawireless.com/browse/OEMPRI-6604", "OEMPRI-6604")</f>
        <v>OEMPRI-6604</v>
      </c>
      <c r="B1810" s="30" t="s">
        <v>175</v>
      </c>
      <c r="C1810" s="30" t="s">
        <v>122</v>
      </c>
      <c r="D1810" s="30" t="s">
        <v>122</v>
      </c>
      <c r="E1810" s="35">
        <v>43182.0</v>
      </c>
      <c r="F1810" s="37" t="s">
        <v>150</v>
      </c>
      <c r="G1810" s="30" t="s">
        <v>210</v>
      </c>
      <c r="H1810" s="30" t="s">
        <v>212</v>
      </c>
      <c r="I1810" s="30" t="s">
        <v>212</v>
      </c>
      <c r="J1810" s="30" t="s">
        <v>212</v>
      </c>
      <c r="K1810" s="30" t="s">
        <v>212</v>
      </c>
      <c r="L1810" s="30" t="s">
        <v>212</v>
      </c>
      <c r="M1810" s="30" t="s">
        <v>3135</v>
      </c>
      <c r="N1810" s="30" t="s">
        <v>7611</v>
      </c>
      <c r="O1810" s="30" t="s">
        <v>166</v>
      </c>
      <c r="P1810" s="30" t="s">
        <v>166</v>
      </c>
      <c r="Q1810" s="30" t="s">
        <v>166</v>
      </c>
    </row>
    <row r="1811">
      <c r="A1811" s="33" t="str">
        <f>hyperlink("https://issues.sierrawireless.com/browse/OEMPRI-6562", "OEMPRI-6562")</f>
        <v>OEMPRI-6562</v>
      </c>
      <c r="B1811" s="30" t="s">
        <v>175</v>
      </c>
      <c r="C1811" s="30" t="s">
        <v>148</v>
      </c>
      <c r="D1811" s="30" t="s">
        <v>244</v>
      </c>
      <c r="E1811" s="35">
        <v>43181.0</v>
      </c>
      <c r="F1811" s="37" t="s">
        <v>150</v>
      </c>
      <c r="G1811" s="30" t="s">
        <v>626</v>
      </c>
      <c r="H1811" s="30" t="s">
        <v>146</v>
      </c>
      <c r="I1811" s="30" t="s">
        <v>146</v>
      </c>
      <c r="J1811" s="30" t="s">
        <v>189</v>
      </c>
      <c r="K1811" s="30" t="s">
        <v>152</v>
      </c>
      <c r="L1811" s="30" t="s">
        <v>152</v>
      </c>
      <c r="M1811" s="30" t="s">
        <v>4984</v>
      </c>
      <c r="N1811" s="30" t="s">
        <v>152</v>
      </c>
      <c r="O1811" s="30" t="s">
        <v>7612</v>
      </c>
      <c r="P1811" s="30" t="s">
        <v>7612</v>
      </c>
      <c r="Q1811" s="30" t="s">
        <v>166</v>
      </c>
    </row>
    <row r="1812" hidden="1">
      <c r="A1812" s="33" t="str">
        <f>hyperlink("https://issues.sierrawireless.com/browse/OEMPRI-7768", "OEMPRI-7768")</f>
        <v>OEMPRI-7768</v>
      </c>
      <c r="B1812" s="30" t="s">
        <v>139</v>
      </c>
      <c r="C1812" s="30" t="s">
        <v>140</v>
      </c>
      <c r="D1812" s="30" t="s">
        <v>233</v>
      </c>
      <c r="E1812" s="35">
        <v>43299.0</v>
      </c>
      <c r="F1812" s="37" t="s">
        <v>143</v>
      </c>
      <c r="G1812" s="30" t="s">
        <v>146</v>
      </c>
      <c r="H1812" s="30" t="s">
        <v>145</v>
      </c>
      <c r="I1812" s="30" t="s">
        <v>145</v>
      </c>
      <c r="J1812" s="30" t="s">
        <v>145</v>
      </c>
      <c r="K1812" s="30" t="s">
        <v>145</v>
      </c>
      <c r="L1812" s="30" t="s">
        <v>145</v>
      </c>
      <c r="M1812" s="30" t="s">
        <v>145</v>
      </c>
      <c r="N1812" s="30" t="s">
        <v>145</v>
      </c>
      <c r="O1812" s="30" t="s">
        <v>145</v>
      </c>
      <c r="P1812" s="30" t="s">
        <v>145</v>
      </c>
      <c r="Q1812" s="30" t="s">
        <v>146</v>
      </c>
    </row>
    <row r="1813">
      <c r="A1813" s="33" t="str">
        <f>hyperlink("https://issues.sierrawireless.com/browse/OEMPRI-6533", "OEMPRI-6533")</f>
        <v>OEMPRI-6533</v>
      </c>
      <c r="B1813" s="30" t="s">
        <v>225</v>
      </c>
      <c r="C1813" s="30" t="s">
        <v>155</v>
      </c>
      <c r="D1813" s="30" t="s">
        <v>155</v>
      </c>
      <c r="E1813" s="35">
        <v>43179.0</v>
      </c>
      <c r="F1813" s="37" t="s">
        <v>150</v>
      </c>
      <c r="G1813" s="30" t="s">
        <v>171</v>
      </c>
      <c r="H1813" s="30" t="s">
        <v>146</v>
      </c>
      <c r="I1813" s="30" t="s">
        <v>146</v>
      </c>
      <c r="J1813" s="30" t="s">
        <v>2405</v>
      </c>
      <c r="K1813" s="30" t="s">
        <v>166</v>
      </c>
      <c r="L1813" s="30" t="s">
        <v>166</v>
      </c>
      <c r="M1813" s="30" t="s">
        <v>166</v>
      </c>
      <c r="N1813" s="30" t="s">
        <v>145</v>
      </c>
      <c r="O1813" s="30" t="s">
        <v>145</v>
      </c>
      <c r="P1813" s="30" t="s">
        <v>145</v>
      </c>
      <c r="Q1813" s="30" t="s">
        <v>166</v>
      </c>
    </row>
    <row r="1814">
      <c r="A1814" s="33" t="str">
        <f>hyperlink("https://issues.sierrawireless.com/browse/OEMPRI-6498", "OEMPRI-6498")</f>
        <v>OEMPRI-6498</v>
      </c>
      <c r="B1814" s="30" t="s">
        <v>593</v>
      </c>
      <c r="C1814" s="30" t="s">
        <v>216</v>
      </c>
      <c r="D1814" s="30" t="s">
        <v>1313</v>
      </c>
      <c r="E1814" s="35">
        <v>43175.0</v>
      </c>
      <c r="F1814" s="37" t="s">
        <v>150</v>
      </c>
      <c r="G1814" s="30" t="s">
        <v>7615</v>
      </c>
      <c r="H1814" s="30" t="s">
        <v>166</v>
      </c>
      <c r="I1814" s="30" t="s">
        <v>166</v>
      </c>
      <c r="J1814" s="30" t="s">
        <v>166</v>
      </c>
      <c r="K1814" s="30" t="s">
        <v>166</v>
      </c>
      <c r="L1814" s="30" t="s">
        <v>166</v>
      </c>
      <c r="M1814" s="30" t="s">
        <v>166</v>
      </c>
      <c r="N1814" s="30" t="s">
        <v>145</v>
      </c>
      <c r="O1814" s="30" t="s">
        <v>145</v>
      </c>
      <c r="P1814" s="30" t="s">
        <v>145</v>
      </c>
      <c r="Q1814" s="30" t="s">
        <v>166</v>
      </c>
    </row>
    <row r="1815">
      <c r="A1815" s="33" t="str">
        <f>hyperlink("https://issues.sierrawireless.com/browse/OEMPRI-6496", "OEMPRI-6496")</f>
        <v>OEMPRI-6496</v>
      </c>
      <c r="B1815" s="30" t="s">
        <v>1031</v>
      </c>
      <c r="C1815" s="30" t="s">
        <v>216</v>
      </c>
      <c r="D1815" s="30" t="s">
        <v>1313</v>
      </c>
      <c r="E1815" s="35">
        <v>43175.0</v>
      </c>
      <c r="F1815" s="37" t="s">
        <v>150</v>
      </c>
      <c r="G1815" s="30" t="s">
        <v>7615</v>
      </c>
      <c r="H1815" s="30" t="s">
        <v>212</v>
      </c>
      <c r="I1815" s="30" t="s">
        <v>212</v>
      </c>
      <c r="J1815" s="30" t="s">
        <v>212</v>
      </c>
      <c r="K1815" s="30" t="s">
        <v>1239</v>
      </c>
      <c r="L1815" s="30" t="s">
        <v>7616</v>
      </c>
      <c r="M1815" s="30" t="s">
        <v>166</v>
      </c>
      <c r="N1815" s="30" t="s">
        <v>145</v>
      </c>
      <c r="O1815" s="30" t="s">
        <v>145</v>
      </c>
      <c r="P1815" s="30" t="s">
        <v>145</v>
      </c>
      <c r="Q1815" s="30" t="s">
        <v>166</v>
      </c>
    </row>
    <row r="1816">
      <c r="A1816" s="33" t="str">
        <f>hyperlink("https://issues.sierrawireless.com/browse/OEMPRI-6439", "OEMPRI-6439")</f>
        <v>OEMPRI-6439</v>
      </c>
      <c r="B1816" s="30" t="s">
        <v>2554</v>
      </c>
      <c r="C1816" s="30" t="s">
        <v>140</v>
      </c>
      <c r="D1816" s="30" t="s">
        <v>153</v>
      </c>
      <c r="E1816" s="35">
        <v>43172.0</v>
      </c>
      <c r="F1816" s="37" t="s">
        <v>154</v>
      </c>
      <c r="G1816" s="30" t="s">
        <v>254</v>
      </c>
      <c r="H1816" s="30" t="s">
        <v>145</v>
      </c>
      <c r="I1816" s="30" t="s">
        <v>145</v>
      </c>
      <c r="J1816" s="30" t="s">
        <v>145</v>
      </c>
      <c r="K1816" s="30" t="s">
        <v>145</v>
      </c>
      <c r="L1816" s="30" t="s">
        <v>145</v>
      </c>
      <c r="M1816" s="30" t="s">
        <v>145</v>
      </c>
      <c r="N1816" s="30" t="s">
        <v>145</v>
      </c>
      <c r="O1816" s="30" t="s">
        <v>145</v>
      </c>
      <c r="P1816" s="30" t="s">
        <v>145</v>
      </c>
      <c r="Q1816" s="30" t="s">
        <v>166</v>
      </c>
    </row>
    <row r="1817">
      <c r="A1817" s="33" t="str">
        <f>hyperlink("https://issues.sierrawireless.com/browse/OEMPRI-6443", "OEMPRI-6443")</f>
        <v>OEMPRI-6443</v>
      </c>
      <c r="B1817" s="30" t="s">
        <v>2554</v>
      </c>
      <c r="C1817" s="30" t="s">
        <v>140</v>
      </c>
      <c r="D1817" s="30" t="s">
        <v>153</v>
      </c>
      <c r="E1817" s="35">
        <v>43172.0</v>
      </c>
      <c r="F1817" s="37" t="s">
        <v>154</v>
      </c>
      <c r="G1817" s="30" t="s">
        <v>254</v>
      </c>
      <c r="H1817" s="30" t="s">
        <v>166</v>
      </c>
      <c r="I1817" s="30" t="s">
        <v>166</v>
      </c>
      <c r="J1817" s="30" t="s">
        <v>166</v>
      </c>
      <c r="K1817" s="30" t="s">
        <v>166</v>
      </c>
      <c r="L1817" s="30" t="s">
        <v>166</v>
      </c>
      <c r="M1817" s="30" t="s">
        <v>166</v>
      </c>
      <c r="N1817" s="30" t="s">
        <v>145</v>
      </c>
      <c r="O1817" s="30" t="s">
        <v>145</v>
      </c>
      <c r="P1817" s="30" t="s">
        <v>145</v>
      </c>
      <c r="Q1817" s="30" t="s">
        <v>166</v>
      </c>
    </row>
    <row r="1818">
      <c r="A1818" s="33" t="str">
        <f>hyperlink("https://issues.sierrawireless.com/browse/OEMPRI-6408", "OEMPRI-6408")</f>
        <v>OEMPRI-6408</v>
      </c>
      <c r="B1818" s="30" t="s">
        <v>469</v>
      </c>
      <c r="C1818" s="30" t="s">
        <v>122</v>
      </c>
      <c r="D1818" s="30" t="s">
        <v>122</v>
      </c>
      <c r="E1818" s="35">
        <v>43168.0</v>
      </c>
      <c r="F1818" s="37" t="s">
        <v>150</v>
      </c>
      <c r="G1818" s="30" t="s">
        <v>151</v>
      </c>
      <c r="H1818" s="30" t="s">
        <v>152</v>
      </c>
      <c r="I1818" s="30" t="s">
        <v>152</v>
      </c>
      <c r="J1818" s="30" t="s">
        <v>152</v>
      </c>
      <c r="K1818" s="30" t="s">
        <v>152</v>
      </c>
      <c r="L1818" s="30" t="s">
        <v>152</v>
      </c>
      <c r="M1818" s="30" t="s">
        <v>7617</v>
      </c>
      <c r="N1818" s="30" t="s">
        <v>152</v>
      </c>
      <c r="O1818" s="30" t="s">
        <v>152</v>
      </c>
      <c r="P1818" s="30" t="s">
        <v>1099</v>
      </c>
      <c r="Q1818" s="30" t="s">
        <v>166</v>
      </c>
    </row>
    <row r="1819">
      <c r="A1819" s="33" t="str">
        <f>hyperlink("https://issues.sierrawireless.com/browse/OEMPRI-6334", "OEMPRI-6334")</f>
        <v>OEMPRI-6334</v>
      </c>
      <c r="B1819" s="30" t="s">
        <v>469</v>
      </c>
      <c r="C1819" s="30" t="s">
        <v>122</v>
      </c>
      <c r="D1819" s="30" t="s">
        <v>1128</v>
      </c>
      <c r="E1819" s="35">
        <v>43161.0</v>
      </c>
      <c r="F1819" s="37" t="s">
        <v>150</v>
      </c>
      <c r="G1819" s="30" t="s">
        <v>122</v>
      </c>
      <c r="H1819" s="30" t="s">
        <v>7618</v>
      </c>
      <c r="I1819" s="30" t="s">
        <v>687</v>
      </c>
      <c r="J1819" s="30" t="s">
        <v>687</v>
      </c>
      <c r="K1819" s="30" t="s">
        <v>679</v>
      </c>
      <c r="L1819" s="30" t="s">
        <v>687</v>
      </c>
      <c r="M1819" s="30" t="s">
        <v>7619</v>
      </c>
      <c r="N1819" s="30" t="s">
        <v>152</v>
      </c>
      <c r="O1819" s="30" t="s">
        <v>152</v>
      </c>
      <c r="P1819" s="30" t="s">
        <v>492</v>
      </c>
      <c r="Q1819" s="30" t="s">
        <v>166</v>
      </c>
    </row>
    <row r="1820">
      <c r="A1820" s="33" t="str">
        <f>hyperlink("https://issues.sierrawireless.com/browse/OEMPRI-6272", "OEMPRI-6272")</f>
        <v>OEMPRI-6272</v>
      </c>
      <c r="B1820" s="30" t="s">
        <v>469</v>
      </c>
      <c r="C1820" s="30" t="s">
        <v>122</v>
      </c>
      <c r="D1820" s="30" t="s">
        <v>122</v>
      </c>
      <c r="E1820" s="35">
        <v>43154.0</v>
      </c>
      <c r="F1820" s="37" t="s">
        <v>150</v>
      </c>
      <c r="G1820" s="30" t="s">
        <v>1036</v>
      </c>
      <c r="H1820" s="30" t="s">
        <v>146</v>
      </c>
      <c r="I1820" s="30" t="s">
        <v>163</v>
      </c>
      <c r="J1820" s="30" t="s">
        <v>146</v>
      </c>
      <c r="K1820" s="30" t="s">
        <v>212</v>
      </c>
      <c r="L1820" s="30" t="s">
        <v>212</v>
      </c>
      <c r="M1820" s="30" t="s">
        <v>7621</v>
      </c>
      <c r="N1820" s="30" t="s">
        <v>145</v>
      </c>
      <c r="O1820" s="30" t="s">
        <v>145</v>
      </c>
      <c r="P1820" s="30" t="s">
        <v>145</v>
      </c>
      <c r="Q1820" s="30" t="s">
        <v>166</v>
      </c>
    </row>
    <row r="1821">
      <c r="A1821" s="33" t="str">
        <f>hyperlink("https://issues.sierrawireless.com/browse/OEMPRI-6149", "OEMPRI-6149")</f>
        <v>OEMPRI-6149</v>
      </c>
      <c r="B1821" s="30" t="s">
        <v>86</v>
      </c>
      <c r="C1821" s="30" t="s">
        <v>140</v>
      </c>
      <c r="D1821" s="30" t="s">
        <v>140</v>
      </c>
      <c r="E1821" s="35">
        <v>43136.0</v>
      </c>
      <c r="F1821" s="37" t="s">
        <v>143</v>
      </c>
      <c r="G1821" s="30" t="s">
        <v>7628</v>
      </c>
      <c r="H1821" s="30" t="s">
        <v>145</v>
      </c>
      <c r="I1821" s="30" t="s">
        <v>145</v>
      </c>
      <c r="J1821" s="30" t="s">
        <v>145</v>
      </c>
      <c r="K1821" s="30" t="s">
        <v>145</v>
      </c>
      <c r="L1821" s="30" t="s">
        <v>145</v>
      </c>
      <c r="M1821" s="30" t="s">
        <v>145</v>
      </c>
      <c r="N1821" s="30" t="s">
        <v>145</v>
      </c>
      <c r="O1821" s="30" t="s">
        <v>145</v>
      </c>
      <c r="P1821" s="30" t="s">
        <v>145</v>
      </c>
      <c r="Q1821" s="30" t="s">
        <v>166</v>
      </c>
    </row>
    <row r="1822">
      <c r="A1822" s="33" t="str">
        <f>hyperlink("https://issues.sierrawireless.com/browse/OEMPRI-6152", "OEMPRI-6152")</f>
        <v>OEMPRI-6152</v>
      </c>
      <c r="B1822" s="30" t="s">
        <v>2554</v>
      </c>
      <c r="C1822" s="30" t="s">
        <v>140</v>
      </c>
      <c r="D1822" s="30" t="s">
        <v>140</v>
      </c>
      <c r="E1822" s="35">
        <v>43136.0</v>
      </c>
      <c r="F1822" s="37" t="s">
        <v>154</v>
      </c>
      <c r="G1822" s="30" t="s">
        <v>7630</v>
      </c>
      <c r="H1822" s="30" t="s">
        <v>145</v>
      </c>
      <c r="I1822" s="30" t="s">
        <v>145</v>
      </c>
      <c r="J1822" s="30" t="s">
        <v>145</v>
      </c>
      <c r="K1822" s="30" t="s">
        <v>145</v>
      </c>
      <c r="L1822" s="30" t="s">
        <v>145</v>
      </c>
      <c r="M1822" s="30" t="s">
        <v>145</v>
      </c>
      <c r="N1822" s="30" t="s">
        <v>145</v>
      </c>
      <c r="O1822" s="30" t="s">
        <v>145</v>
      </c>
      <c r="P1822" s="30" t="s">
        <v>145</v>
      </c>
      <c r="Q1822" s="30" t="s">
        <v>166</v>
      </c>
    </row>
    <row r="1823" hidden="1">
      <c r="A1823" s="33" t="str">
        <f>hyperlink("https://issues.sierrawireless.com/browse/OEMPRI-7837", "OEMPRI-7837")</f>
        <v>OEMPRI-7837</v>
      </c>
      <c r="B1823" s="30" t="s">
        <v>139</v>
      </c>
      <c r="C1823" s="30" t="s">
        <v>141</v>
      </c>
      <c r="D1823" s="30" t="s">
        <v>141</v>
      </c>
      <c r="E1823" s="35">
        <v>43305.0</v>
      </c>
      <c r="F1823" s="37" t="s">
        <v>143</v>
      </c>
      <c r="G1823" s="30" t="s">
        <v>146</v>
      </c>
      <c r="H1823" s="30" t="s">
        <v>145</v>
      </c>
      <c r="I1823" s="30" t="s">
        <v>145</v>
      </c>
      <c r="J1823" s="30" t="s">
        <v>145</v>
      </c>
      <c r="K1823" s="30" t="s">
        <v>145</v>
      </c>
      <c r="L1823" s="30" t="s">
        <v>145</v>
      </c>
      <c r="M1823" s="30" t="s">
        <v>145</v>
      </c>
      <c r="N1823" s="30" t="s">
        <v>145</v>
      </c>
      <c r="O1823" s="30" t="s">
        <v>145</v>
      </c>
      <c r="P1823" s="30" t="s">
        <v>145</v>
      </c>
      <c r="Q1823" s="30" t="s">
        <v>180</v>
      </c>
    </row>
    <row r="1824">
      <c r="A1824" s="33" t="str">
        <f>hyperlink("https://issues.sierrawireless.com/browse/OEMPRI-6153", "OEMPRI-6153")</f>
        <v>OEMPRI-6153</v>
      </c>
      <c r="B1824" s="30" t="s">
        <v>2554</v>
      </c>
      <c r="C1824" s="30" t="s">
        <v>140</v>
      </c>
      <c r="D1824" s="30" t="s">
        <v>140</v>
      </c>
      <c r="E1824" s="35">
        <v>43136.0</v>
      </c>
      <c r="F1824" s="37" t="s">
        <v>154</v>
      </c>
      <c r="G1824" s="30" t="s">
        <v>7630</v>
      </c>
      <c r="H1824" s="30" t="s">
        <v>145</v>
      </c>
      <c r="I1824" s="30" t="s">
        <v>145</v>
      </c>
      <c r="J1824" s="30" t="s">
        <v>145</v>
      </c>
      <c r="K1824" s="30" t="s">
        <v>145</v>
      </c>
      <c r="L1824" s="30" t="s">
        <v>145</v>
      </c>
      <c r="M1824" s="30" t="s">
        <v>145</v>
      </c>
      <c r="N1824" s="30" t="s">
        <v>145</v>
      </c>
      <c r="O1824" s="30" t="s">
        <v>145</v>
      </c>
      <c r="P1824" s="30" t="s">
        <v>145</v>
      </c>
      <c r="Q1824" s="30" t="s">
        <v>166</v>
      </c>
    </row>
    <row r="1825">
      <c r="A1825" s="33" t="str">
        <f>hyperlink("https://issues.sierrawireless.com/browse/OEMPRI-6128", "OEMPRI-6128")</f>
        <v>OEMPRI-6128</v>
      </c>
      <c r="B1825" s="30" t="s">
        <v>175</v>
      </c>
      <c r="C1825" s="30" t="s">
        <v>148</v>
      </c>
      <c r="D1825" s="30" t="s">
        <v>726</v>
      </c>
      <c r="E1825" s="35">
        <v>43133.0</v>
      </c>
      <c r="F1825" s="37" t="s">
        <v>150</v>
      </c>
      <c r="G1825" s="30" t="s">
        <v>1459</v>
      </c>
      <c r="H1825" s="30" t="s">
        <v>152</v>
      </c>
      <c r="I1825" s="30" t="s">
        <v>213</v>
      </c>
      <c r="J1825" s="30" t="s">
        <v>152</v>
      </c>
      <c r="K1825" s="30" t="s">
        <v>368</v>
      </c>
      <c r="L1825" s="30" t="s">
        <v>152</v>
      </c>
      <c r="M1825" s="30" t="s">
        <v>152</v>
      </c>
      <c r="N1825" s="30" t="s">
        <v>152</v>
      </c>
      <c r="O1825" s="30" t="s">
        <v>152</v>
      </c>
      <c r="P1825" s="30" t="s">
        <v>7632</v>
      </c>
      <c r="Q1825" s="30" t="s">
        <v>166</v>
      </c>
    </row>
    <row r="1826">
      <c r="A1826" s="33" t="str">
        <f>hyperlink("https://issues.sierrawireless.com/browse/OEMPRI-6075", "OEMPRI-6075")</f>
        <v>OEMPRI-6075</v>
      </c>
      <c r="B1826" s="30" t="s">
        <v>86</v>
      </c>
      <c r="C1826" s="30" t="s">
        <v>140</v>
      </c>
      <c r="D1826" s="30" t="s">
        <v>140</v>
      </c>
      <c r="E1826" s="35">
        <v>43129.0</v>
      </c>
      <c r="F1826" s="37" t="s">
        <v>184</v>
      </c>
      <c r="G1826" s="30" t="s">
        <v>7633</v>
      </c>
      <c r="H1826" s="30" t="s">
        <v>166</v>
      </c>
      <c r="I1826" s="30" t="s">
        <v>166</v>
      </c>
      <c r="J1826" s="30" t="s">
        <v>166</v>
      </c>
      <c r="K1826" s="30" t="s">
        <v>166</v>
      </c>
      <c r="L1826" s="30" t="s">
        <v>166</v>
      </c>
      <c r="M1826" s="30" t="s">
        <v>166</v>
      </c>
      <c r="N1826" s="30" t="s">
        <v>145</v>
      </c>
      <c r="O1826" s="30" t="s">
        <v>145</v>
      </c>
      <c r="P1826" s="30" t="s">
        <v>145</v>
      </c>
      <c r="Q1826" s="30" t="s">
        <v>166</v>
      </c>
    </row>
    <row r="1827">
      <c r="A1827" s="33" t="str">
        <f>hyperlink("https://issues.sierrawireless.com/browse/OEMPRI-6014", "OEMPRI-6014")</f>
        <v>OEMPRI-6014</v>
      </c>
      <c r="B1827" s="30" t="s">
        <v>175</v>
      </c>
      <c r="C1827" s="30" t="s">
        <v>148</v>
      </c>
      <c r="D1827" s="30" t="s">
        <v>148</v>
      </c>
      <c r="E1827" s="35">
        <v>43124.0</v>
      </c>
      <c r="F1827" s="37" t="s">
        <v>150</v>
      </c>
      <c r="G1827" s="30" t="s">
        <v>152</v>
      </c>
      <c r="H1827" s="30" t="s">
        <v>152</v>
      </c>
      <c r="I1827" s="30" t="s">
        <v>152</v>
      </c>
      <c r="J1827" s="30" t="s">
        <v>457</v>
      </c>
      <c r="K1827" s="30" t="s">
        <v>457</v>
      </c>
      <c r="L1827" s="30" t="s">
        <v>457</v>
      </c>
      <c r="M1827" s="30" t="s">
        <v>152</v>
      </c>
      <c r="N1827" s="30" t="s">
        <v>213</v>
      </c>
      <c r="O1827" s="30" t="s">
        <v>213</v>
      </c>
      <c r="P1827" s="30" t="s">
        <v>7635</v>
      </c>
      <c r="Q1827" s="30" t="s">
        <v>166</v>
      </c>
    </row>
    <row r="1828" hidden="1">
      <c r="A1828" s="33" t="str">
        <f>hyperlink("https://issues.sierrawireless.com/browse/OEMPRI-7874", "OEMPRI-7874")</f>
        <v>OEMPRI-7874</v>
      </c>
      <c r="B1828" s="30" t="s">
        <v>139</v>
      </c>
      <c r="C1828" s="30" t="s">
        <v>140</v>
      </c>
      <c r="D1828" s="30" t="s">
        <v>141</v>
      </c>
      <c r="E1828" s="35">
        <v>43307.0</v>
      </c>
      <c r="F1828" s="37" t="s">
        <v>150</v>
      </c>
      <c r="G1828" s="30" t="s">
        <v>144</v>
      </c>
      <c r="H1828" s="30" t="s">
        <v>145</v>
      </c>
      <c r="I1828" s="30" t="s">
        <v>145</v>
      </c>
      <c r="J1828" s="30" t="s">
        <v>145</v>
      </c>
      <c r="K1828" s="30" t="s">
        <v>145</v>
      </c>
      <c r="L1828" s="30" t="s">
        <v>145</v>
      </c>
      <c r="M1828" s="30" t="s">
        <v>145</v>
      </c>
      <c r="N1828" s="30" t="s">
        <v>145</v>
      </c>
      <c r="O1828" s="30" t="s">
        <v>145</v>
      </c>
      <c r="P1828" s="30" t="s">
        <v>145</v>
      </c>
      <c r="Q1828" s="30" t="s">
        <v>146</v>
      </c>
    </row>
    <row r="1829" hidden="1">
      <c r="A1829" s="33" t="str">
        <f>hyperlink("https://issues.sierrawireless.com/browse/OEMPRI-7875", "OEMPRI-7875")</f>
        <v>OEMPRI-7875</v>
      </c>
      <c r="B1829" s="30" t="s">
        <v>139</v>
      </c>
      <c r="C1829" s="30" t="s">
        <v>140</v>
      </c>
      <c r="D1829" s="30" t="s">
        <v>141</v>
      </c>
      <c r="E1829" s="35">
        <v>43307.0</v>
      </c>
      <c r="F1829" s="37" t="s">
        <v>150</v>
      </c>
      <c r="G1829" s="30" t="s">
        <v>144</v>
      </c>
      <c r="H1829" s="30" t="s">
        <v>145</v>
      </c>
      <c r="I1829" s="30" t="s">
        <v>145</v>
      </c>
      <c r="J1829" s="30" t="s">
        <v>145</v>
      </c>
      <c r="K1829" s="30" t="s">
        <v>145</v>
      </c>
      <c r="L1829" s="30" t="s">
        <v>145</v>
      </c>
      <c r="M1829" s="30" t="s">
        <v>145</v>
      </c>
      <c r="N1829" s="30" t="s">
        <v>145</v>
      </c>
      <c r="O1829" s="30" t="s">
        <v>145</v>
      </c>
      <c r="P1829" s="30" t="s">
        <v>145</v>
      </c>
      <c r="Q1829" s="30" t="s">
        <v>146</v>
      </c>
    </row>
    <row r="1830">
      <c r="A1830" s="33" t="str">
        <f>hyperlink("https://issues.sierrawireless.com/browse/OEMPRI-5968", "OEMPRI-5968")</f>
        <v>OEMPRI-5968</v>
      </c>
      <c r="B1830" s="30" t="s">
        <v>175</v>
      </c>
      <c r="C1830" s="30" t="s">
        <v>148</v>
      </c>
      <c r="D1830" s="30" t="s">
        <v>726</v>
      </c>
      <c r="E1830" s="35">
        <v>43123.0</v>
      </c>
      <c r="F1830" s="37" t="s">
        <v>150</v>
      </c>
      <c r="G1830" s="30" t="s">
        <v>3939</v>
      </c>
      <c r="H1830" s="30" t="s">
        <v>152</v>
      </c>
      <c r="I1830" s="30" t="s">
        <v>556</v>
      </c>
      <c r="J1830" s="30" t="s">
        <v>152</v>
      </c>
      <c r="K1830" s="30" t="s">
        <v>213</v>
      </c>
      <c r="L1830" s="30" t="s">
        <v>152</v>
      </c>
      <c r="M1830" s="30" t="s">
        <v>152</v>
      </c>
      <c r="N1830" s="30" t="s">
        <v>152</v>
      </c>
      <c r="O1830" s="30" t="s">
        <v>152</v>
      </c>
      <c r="P1830" s="30" t="s">
        <v>7632</v>
      </c>
      <c r="Q1830" s="30" t="s">
        <v>166</v>
      </c>
    </row>
    <row r="1831">
      <c r="A1831" s="33" t="str">
        <f>hyperlink("https://issues.sierrawireless.com/browse/OEMPRI-5969", "OEMPRI-5969")</f>
        <v>OEMPRI-5969</v>
      </c>
      <c r="B1831" s="30" t="s">
        <v>175</v>
      </c>
      <c r="C1831" s="30" t="s">
        <v>148</v>
      </c>
      <c r="D1831" s="30" t="s">
        <v>726</v>
      </c>
      <c r="E1831" s="35">
        <v>43123.0</v>
      </c>
      <c r="F1831" s="37" t="s">
        <v>150</v>
      </c>
      <c r="G1831" s="30" t="s">
        <v>1459</v>
      </c>
      <c r="H1831" s="30" t="s">
        <v>152</v>
      </c>
      <c r="I1831" s="30" t="s">
        <v>1131</v>
      </c>
      <c r="J1831" s="30" t="s">
        <v>152</v>
      </c>
      <c r="K1831" s="30" t="s">
        <v>368</v>
      </c>
      <c r="L1831" s="30" t="s">
        <v>152</v>
      </c>
      <c r="M1831" s="30" t="s">
        <v>152</v>
      </c>
      <c r="N1831" s="30" t="s">
        <v>152</v>
      </c>
      <c r="O1831" s="30" t="s">
        <v>152</v>
      </c>
      <c r="P1831" s="30" t="s">
        <v>7632</v>
      </c>
      <c r="Q1831" s="30" t="s">
        <v>166</v>
      </c>
    </row>
    <row r="1832" hidden="1">
      <c r="A1832" s="33" t="str">
        <f>hyperlink("https://issues.sierrawireless.com/browse/OEMPRI-7909", "OEMPRI-7909")</f>
        <v>OEMPRI-7909</v>
      </c>
      <c r="B1832" s="30" t="s">
        <v>139</v>
      </c>
      <c r="C1832" s="30" t="s">
        <v>2668</v>
      </c>
      <c r="D1832" s="30" t="s">
        <v>155</v>
      </c>
      <c r="E1832" s="35">
        <v>43311.0</v>
      </c>
      <c r="F1832" s="37" t="s">
        <v>150</v>
      </c>
      <c r="G1832" s="30" t="s">
        <v>678</v>
      </c>
      <c r="H1832" s="30" t="s">
        <v>145</v>
      </c>
      <c r="I1832" s="30" t="s">
        <v>145</v>
      </c>
      <c r="J1832" s="30" t="s">
        <v>145</v>
      </c>
      <c r="K1832" s="30" t="s">
        <v>145</v>
      </c>
      <c r="L1832" s="30" t="s">
        <v>145</v>
      </c>
      <c r="M1832" s="30" t="s">
        <v>145</v>
      </c>
      <c r="N1832" s="30" t="s">
        <v>145</v>
      </c>
      <c r="O1832" s="30" t="s">
        <v>145</v>
      </c>
      <c r="P1832" s="30" t="s">
        <v>145</v>
      </c>
      <c r="Q1832" s="30" t="s">
        <v>678</v>
      </c>
    </row>
    <row r="1833">
      <c r="A1833" s="33" t="str">
        <f>hyperlink("https://issues.sierrawireless.com/browse/OEMPRI-5967", "OEMPRI-5967")</f>
        <v>OEMPRI-5967</v>
      </c>
      <c r="B1833" s="30" t="s">
        <v>175</v>
      </c>
      <c r="C1833" s="30" t="s">
        <v>148</v>
      </c>
      <c r="D1833" s="30" t="s">
        <v>726</v>
      </c>
      <c r="E1833" s="35">
        <v>43123.0</v>
      </c>
      <c r="F1833" s="37" t="s">
        <v>150</v>
      </c>
      <c r="G1833" s="30" t="s">
        <v>1459</v>
      </c>
      <c r="H1833" s="30" t="s">
        <v>152</v>
      </c>
      <c r="I1833" s="30" t="s">
        <v>1131</v>
      </c>
      <c r="J1833" s="30" t="s">
        <v>152</v>
      </c>
      <c r="K1833" s="30" t="s">
        <v>368</v>
      </c>
      <c r="L1833" s="30" t="s">
        <v>152</v>
      </c>
      <c r="M1833" s="30" t="s">
        <v>152</v>
      </c>
      <c r="N1833" s="30" t="s">
        <v>152</v>
      </c>
      <c r="O1833" s="30" t="s">
        <v>152</v>
      </c>
      <c r="P1833" s="30" t="s">
        <v>7632</v>
      </c>
      <c r="Q1833" s="30" t="s">
        <v>166</v>
      </c>
    </row>
    <row r="1834">
      <c r="A1834" s="33" t="str">
        <f>hyperlink("https://issues.sierrawireless.com/browse/OEMPRI-5979", "OEMPRI-5979")</f>
        <v>OEMPRI-5979</v>
      </c>
      <c r="B1834" s="30" t="s">
        <v>175</v>
      </c>
      <c r="C1834" s="30" t="s">
        <v>148</v>
      </c>
      <c r="D1834" s="30" t="s">
        <v>726</v>
      </c>
      <c r="E1834" s="35">
        <v>43123.0</v>
      </c>
      <c r="F1834" s="37" t="s">
        <v>150</v>
      </c>
      <c r="G1834" s="30" t="s">
        <v>3050</v>
      </c>
      <c r="H1834" s="30" t="s">
        <v>152</v>
      </c>
      <c r="I1834" s="30" t="s">
        <v>152</v>
      </c>
      <c r="J1834" s="30" t="s">
        <v>152</v>
      </c>
      <c r="K1834" s="30" t="s">
        <v>151</v>
      </c>
      <c r="L1834" s="30" t="s">
        <v>152</v>
      </c>
      <c r="M1834" s="30" t="s">
        <v>152</v>
      </c>
      <c r="N1834" s="30" t="s">
        <v>152</v>
      </c>
      <c r="O1834" s="30" t="s">
        <v>152</v>
      </c>
      <c r="P1834" s="30" t="s">
        <v>7649</v>
      </c>
      <c r="Q1834" s="30" t="s">
        <v>166</v>
      </c>
    </row>
    <row r="1835">
      <c r="A1835" s="33" t="str">
        <f>hyperlink("https://issues.sierrawireless.com/browse/OEMPRI-5971", "OEMPRI-5971")</f>
        <v>OEMPRI-5971</v>
      </c>
      <c r="B1835" s="30" t="s">
        <v>175</v>
      </c>
      <c r="C1835" s="30" t="s">
        <v>148</v>
      </c>
      <c r="D1835" s="30" t="s">
        <v>726</v>
      </c>
      <c r="E1835" s="35">
        <v>43123.0</v>
      </c>
      <c r="F1835" s="37" t="s">
        <v>150</v>
      </c>
      <c r="G1835" s="30" t="s">
        <v>1280</v>
      </c>
      <c r="H1835" s="30" t="s">
        <v>223</v>
      </c>
      <c r="I1835" s="30" t="s">
        <v>222</v>
      </c>
      <c r="J1835" s="30" t="s">
        <v>152</v>
      </c>
      <c r="K1835" s="30" t="s">
        <v>213</v>
      </c>
      <c r="L1835" s="30" t="s">
        <v>152</v>
      </c>
      <c r="M1835" s="30" t="s">
        <v>152</v>
      </c>
      <c r="N1835" s="30" t="s">
        <v>152</v>
      </c>
      <c r="O1835" s="30" t="s">
        <v>152</v>
      </c>
      <c r="P1835" s="30" t="s">
        <v>7649</v>
      </c>
      <c r="Q1835" s="30" t="s">
        <v>166</v>
      </c>
    </row>
    <row r="1836">
      <c r="A1836" s="33" t="str">
        <f>hyperlink("https://issues.sierrawireless.com/browse/OEMPRI-5970", "OEMPRI-5970")</f>
        <v>OEMPRI-5970</v>
      </c>
      <c r="B1836" s="30" t="s">
        <v>175</v>
      </c>
      <c r="C1836" s="30" t="s">
        <v>148</v>
      </c>
      <c r="D1836" s="30" t="s">
        <v>726</v>
      </c>
      <c r="E1836" s="35">
        <v>43123.0</v>
      </c>
      <c r="F1836" s="37" t="s">
        <v>150</v>
      </c>
      <c r="G1836" s="30" t="s">
        <v>1459</v>
      </c>
      <c r="H1836" s="30" t="s">
        <v>152</v>
      </c>
      <c r="I1836" s="30" t="s">
        <v>1131</v>
      </c>
      <c r="J1836" s="30" t="s">
        <v>152</v>
      </c>
      <c r="K1836" s="30" t="s">
        <v>368</v>
      </c>
      <c r="L1836" s="30" t="s">
        <v>152</v>
      </c>
      <c r="M1836" s="30" t="s">
        <v>152</v>
      </c>
      <c r="N1836" s="30" t="s">
        <v>152</v>
      </c>
      <c r="O1836" s="30" t="s">
        <v>152</v>
      </c>
      <c r="P1836" s="30" t="s">
        <v>7632</v>
      </c>
      <c r="Q1836" s="30" t="s">
        <v>166</v>
      </c>
    </row>
    <row r="1837">
      <c r="A1837" s="33" t="str">
        <f>hyperlink("https://issues.sierrawireless.com/browse/OEMPRI-5973", "OEMPRI-5973")</f>
        <v>OEMPRI-5973</v>
      </c>
      <c r="B1837" s="30" t="s">
        <v>175</v>
      </c>
      <c r="C1837" s="30" t="s">
        <v>148</v>
      </c>
      <c r="D1837" s="30" t="s">
        <v>726</v>
      </c>
      <c r="E1837" s="35">
        <v>43123.0</v>
      </c>
      <c r="F1837" s="37" t="s">
        <v>150</v>
      </c>
      <c r="G1837" s="30" t="s">
        <v>1459</v>
      </c>
      <c r="H1837" s="30" t="s">
        <v>152</v>
      </c>
      <c r="I1837" s="30" t="s">
        <v>1131</v>
      </c>
      <c r="J1837" s="30" t="s">
        <v>152</v>
      </c>
      <c r="K1837" s="30" t="s">
        <v>368</v>
      </c>
      <c r="L1837" s="30" t="s">
        <v>152</v>
      </c>
      <c r="M1837" s="30" t="s">
        <v>152</v>
      </c>
      <c r="N1837" s="30" t="s">
        <v>152</v>
      </c>
      <c r="O1837" s="30" t="s">
        <v>152</v>
      </c>
      <c r="P1837" s="30" t="s">
        <v>7632</v>
      </c>
      <c r="Q1837" s="30" t="s">
        <v>166</v>
      </c>
    </row>
    <row r="1838">
      <c r="A1838" s="33" t="str">
        <f>hyperlink("https://issues.sierrawireless.com/browse/OEMPRI-5972", "OEMPRI-5972")</f>
        <v>OEMPRI-5972</v>
      </c>
      <c r="B1838" s="30" t="s">
        <v>175</v>
      </c>
      <c r="C1838" s="30" t="s">
        <v>148</v>
      </c>
      <c r="D1838" s="30" t="s">
        <v>726</v>
      </c>
      <c r="E1838" s="35">
        <v>43123.0</v>
      </c>
      <c r="F1838" s="37" t="s">
        <v>150</v>
      </c>
      <c r="G1838" s="30" t="s">
        <v>1459</v>
      </c>
      <c r="H1838" s="30" t="s">
        <v>152</v>
      </c>
      <c r="I1838" s="30" t="s">
        <v>1131</v>
      </c>
      <c r="J1838" s="30" t="s">
        <v>152</v>
      </c>
      <c r="K1838" s="30" t="s">
        <v>368</v>
      </c>
      <c r="L1838" s="30" t="s">
        <v>152</v>
      </c>
      <c r="M1838" s="30" t="s">
        <v>152</v>
      </c>
      <c r="N1838" s="30" t="s">
        <v>152</v>
      </c>
      <c r="O1838" s="30" t="s">
        <v>152</v>
      </c>
      <c r="P1838" s="30" t="s">
        <v>7632</v>
      </c>
      <c r="Q1838" s="30" t="s">
        <v>166</v>
      </c>
    </row>
    <row r="1839">
      <c r="A1839" s="33" t="str">
        <f>hyperlink("https://issues.sierrawireless.com/browse/OEMPRI-5975", "OEMPRI-5975")</f>
        <v>OEMPRI-5975</v>
      </c>
      <c r="B1839" s="30" t="s">
        <v>175</v>
      </c>
      <c r="C1839" s="30" t="s">
        <v>148</v>
      </c>
      <c r="D1839" s="30" t="s">
        <v>726</v>
      </c>
      <c r="E1839" s="35">
        <v>43123.0</v>
      </c>
      <c r="F1839" s="37" t="s">
        <v>150</v>
      </c>
      <c r="G1839" s="30" t="s">
        <v>1280</v>
      </c>
      <c r="H1839" s="30" t="s">
        <v>223</v>
      </c>
      <c r="I1839" s="30" t="s">
        <v>556</v>
      </c>
      <c r="J1839" s="30" t="s">
        <v>152</v>
      </c>
      <c r="K1839" s="30" t="s">
        <v>213</v>
      </c>
      <c r="L1839" s="30" t="s">
        <v>152</v>
      </c>
      <c r="M1839" s="30" t="s">
        <v>152</v>
      </c>
      <c r="N1839" s="30" t="s">
        <v>152</v>
      </c>
      <c r="O1839" s="30" t="s">
        <v>152</v>
      </c>
      <c r="P1839" s="30" t="s">
        <v>7649</v>
      </c>
      <c r="Q1839" s="30" t="s">
        <v>166</v>
      </c>
    </row>
    <row r="1840">
      <c r="A1840" s="33" t="str">
        <f>hyperlink("https://issues.sierrawireless.com/browse/OEMPRI-5974", "OEMPRI-5974")</f>
        <v>OEMPRI-5974</v>
      </c>
      <c r="B1840" s="30" t="s">
        <v>175</v>
      </c>
      <c r="C1840" s="30" t="s">
        <v>148</v>
      </c>
      <c r="D1840" s="30" t="s">
        <v>726</v>
      </c>
      <c r="E1840" s="35">
        <v>43123.0</v>
      </c>
      <c r="F1840" s="37" t="s">
        <v>150</v>
      </c>
      <c r="G1840" s="30" t="s">
        <v>1459</v>
      </c>
      <c r="H1840" s="30" t="s">
        <v>152</v>
      </c>
      <c r="I1840" s="30" t="s">
        <v>1131</v>
      </c>
      <c r="J1840" s="30" t="s">
        <v>152</v>
      </c>
      <c r="K1840" s="30" t="s">
        <v>368</v>
      </c>
      <c r="L1840" s="30" t="s">
        <v>152</v>
      </c>
      <c r="M1840" s="30" t="s">
        <v>152</v>
      </c>
      <c r="N1840" s="30" t="s">
        <v>152</v>
      </c>
      <c r="O1840" s="30" t="s">
        <v>152</v>
      </c>
      <c r="P1840" s="30" t="s">
        <v>7632</v>
      </c>
      <c r="Q1840" s="30" t="s">
        <v>166</v>
      </c>
    </row>
    <row r="1841">
      <c r="A1841" s="33" t="str">
        <f>hyperlink("https://issues.sierrawireless.com/browse/OEMPRI-5977", "OEMPRI-5977")</f>
        <v>OEMPRI-5977</v>
      </c>
      <c r="B1841" s="30" t="s">
        <v>175</v>
      </c>
      <c r="C1841" s="30" t="s">
        <v>148</v>
      </c>
      <c r="D1841" s="30" t="s">
        <v>726</v>
      </c>
      <c r="E1841" s="35">
        <v>43123.0</v>
      </c>
      <c r="F1841" s="37" t="s">
        <v>150</v>
      </c>
      <c r="G1841" s="30" t="s">
        <v>1280</v>
      </c>
      <c r="H1841" s="30" t="s">
        <v>223</v>
      </c>
      <c r="I1841" s="30" t="s">
        <v>556</v>
      </c>
      <c r="J1841" s="30" t="s">
        <v>152</v>
      </c>
      <c r="K1841" s="30" t="s">
        <v>213</v>
      </c>
      <c r="L1841" s="30" t="s">
        <v>152</v>
      </c>
      <c r="M1841" s="30" t="s">
        <v>152</v>
      </c>
      <c r="N1841" s="30" t="s">
        <v>152</v>
      </c>
      <c r="O1841" s="30" t="s">
        <v>152</v>
      </c>
      <c r="P1841" s="30" t="s">
        <v>7649</v>
      </c>
      <c r="Q1841" s="30" t="s">
        <v>166</v>
      </c>
    </row>
    <row r="1842">
      <c r="A1842" s="33" t="str">
        <f>hyperlink("https://issues.sierrawireless.com/browse/OEMPRI-5976", "OEMPRI-5976")</f>
        <v>OEMPRI-5976</v>
      </c>
      <c r="B1842" s="30" t="s">
        <v>175</v>
      </c>
      <c r="C1842" s="30" t="s">
        <v>148</v>
      </c>
      <c r="D1842" s="30" t="s">
        <v>726</v>
      </c>
      <c r="E1842" s="35">
        <v>43123.0</v>
      </c>
      <c r="F1842" s="37" t="s">
        <v>150</v>
      </c>
      <c r="G1842" s="30" t="s">
        <v>1453</v>
      </c>
      <c r="H1842" s="30" t="s">
        <v>152</v>
      </c>
      <c r="I1842" s="30" t="s">
        <v>152</v>
      </c>
      <c r="J1842" s="30" t="s">
        <v>152</v>
      </c>
      <c r="K1842" s="30" t="s">
        <v>213</v>
      </c>
      <c r="L1842" s="30" t="s">
        <v>152</v>
      </c>
      <c r="M1842" s="30" t="s">
        <v>152</v>
      </c>
      <c r="N1842" s="30" t="s">
        <v>152</v>
      </c>
      <c r="O1842" s="30" t="s">
        <v>152</v>
      </c>
      <c r="P1842" s="30" t="s">
        <v>7649</v>
      </c>
      <c r="Q1842" s="30" t="s">
        <v>166</v>
      </c>
    </row>
    <row r="1843">
      <c r="A1843" s="33" t="str">
        <f>hyperlink("https://issues.sierrawireless.com/browse/OEMPRI-5978", "OEMPRI-5978")</f>
        <v>OEMPRI-5978</v>
      </c>
      <c r="B1843" s="30" t="s">
        <v>175</v>
      </c>
      <c r="C1843" s="30" t="s">
        <v>148</v>
      </c>
      <c r="D1843" s="30" t="s">
        <v>726</v>
      </c>
      <c r="E1843" s="35">
        <v>43123.0</v>
      </c>
      <c r="F1843" s="37" t="s">
        <v>150</v>
      </c>
      <c r="G1843" s="30" t="s">
        <v>1459</v>
      </c>
      <c r="H1843" s="30" t="s">
        <v>152</v>
      </c>
      <c r="I1843" s="30" t="s">
        <v>1131</v>
      </c>
      <c r="J1843" s="30" t="s">
        <v>152</v>
      </c>
      <c r="K1843" s="30" t="s">
        <v>368</v>
      </c>
      <c r="L1843" s="30" t="s">
        <v>152</v>
      </c>
      <c r="M1843" s="30" t="s">
        <v>152</v>
      </c>
      <c r="N1843" s="30" t="s">
        <v>152</v>
      </c>
      <c r="O1843" s="30" t="s">
        <v>152</v>
      </c>
      <c r="P1843" s="30" t="s">
        <v>7632</v>
      </c>
      <c r="Q1843" s="30" t="s">
        <v>166</v>
      </c>
    </row>
    <row r="1844">
      <c r="A1844" s="33" t="str">
        <f>hyperlink("https://issues.sierrawireless.com/browse/OEMPRI-5958", "OEMPRI-5958")</f>
        <v>OEMPRI-5958</v>
      </c>
      <c r="B1844" s="30" t="s">
        <v>175</v>
      </c>
      <c r="C1844" s="30" t="s">
        <v>148</v>
      </c>
      <c r="D1844" s="30" t="s">
        <v>726</v>
      </c>
      <c r="E1844" s="35">
        <v>43122.0</v>
      </c>
      <c r="F1844" s="37" t="s">
        <v>150</v>
      </c>
      <c r="G1844" s="30" t="s">
        <v>340</v>
      </c>
      <c r="H1844" s="30" t="s">
        <v>152</v>
      </c>
      <c r="I1844" s="30" t="s">
        <v>152</v>
      </c>
      <c r="J1844" s="30" t="s">
        <v>152</v>
      </c>
      <c r="K1844" s="30" t="s">
        <v>151</v>
      </c>
      <c r="L1844" s="30" t="s">
        <v>152</v>
      </c>
      <c r="M1844" s="30" t="s">
        <v>152</v>
      </c>
      <c r="N1844" s="30" t="s">
        <v>152</v>
      </c>
      <c r="O1844" s="30" t="s">
        <v>152</v>
      </c>
      <c r="P1844" s="30" t="s">
        <v>7649</v>
      </c>
      <c r="Q1844" s="30" t="s">
        <v>166</v>
      </c>
    </row>
    <row r="1845">
      <c r="A1845" s="33" t="str">
        <f>hyperlink("https://issues.sierrawireless.com/browse/OEMPRI-5737", "OEMPRI-5737")</f>
        <v>OEMPRI-5737</v>
      </c>
      <c r="B1845" s="30" t="s">
        <v>175</v>
      </c>
      <c r="C1845" s="30" t="s">
        <v>148</v>
      </c>
      <c r="D1845" s="30" t="s">
        <v>177</v>
      </c>
      <c r="E1845" s="35">
        <v>43104.0</v>
      </c>
      <c r="F1845" s="37" t="s">
        <v>150</v>
      </c>
      <c r="G1845" s="30" t="s">
        <v>373</v>
      </c>
      <c r="H1845" s="30" t="s">
        <v>223</v>
      </c>
      <c r="I1845" s="30" t="s">
        <v>146</v>
      </c>
      <c r="J1845" s="30" t="s">
        <v>368</v>
      </c>
      <c r="K1845" s="30" t="s">
        <v>213</v>
      </c>
      <c r="L1845" s="30" t="s">
        <v>152</v>
      </c>
      <c r="M1845" s="30" t="s">
        <v>7668</v>
      </c>
      <c r="N1845" s="30" t="s">
        <v>152</v>
      </c>
      <c r="O1845" s="30" t="s">
        <v>152</v>
      </c>
      <c r="P1845" s="30" t="s">
        <v>7649</v>
      </c>
      <c r="Q1845" s="30" t="s">
        <v>166</v>
      </c>
    </row>
    <row r="1846">
      <c r="A1846" s="33" t="str">
        <f>hyperlink("https://issues.sierrawireless.com/browse/OEMPRI-5652", "OEMPRI-5652")</f>
        <v>OEMPRI-5652</v>
      </c>
      <c r="B1846" s="30" t="s">
        <v>175</v>
      </c>
      <c r="C1846" s="30" t="s">
        <v>148</v>
      </c>
      <c r="D1846" s="30" t="s">
        <v>244</v>
      </c>
      <c r="E1846" s="43">
        <v>43090.0</v>
      </c>
      <c r="F1846" s="44" t="s">
        <v>150</v>
      </c>
      <c r="G1846" s="30" t="s">
        <v>144</v>
      </c>
      <c r="H1846" s="30" t="s">
        <v>145</v>
      </c>
      <c r="I1846" s="30" t="s">
        <v>146</v>
      </c>
      <c r="J1846" s="30" t="s">
        <v>189</v>
      </c>
      <c r="K1846" s="2" t="s">
        <v>213</v>
      </c>
      <c r="L1846" s="30" t="s">
        <v>152</v>
      </c>
      <c r="M1846" s="30" t="s">
        <v>2388</v>
      </c>
      <c r="N1846" s="30" t="s">
        <v>152</v>
      </c>
      <c r="O1846" s="30" t="s">
        <v>152</v>
      </c>
      <c r="P1846" s="30" t="s">
        <v>7669</v>
      </c>
      <c r="Q1846" s="30" t="s">
        <v>166</v>
      </c>
    </row>
    <row r="1847">
      <c r="A1847" s="33" t="str">
        <f>hyperlink("https://issues.sierrawireless.com/browse/OEMPRI-5575", "OEMPRI-5575")</f>
        <v>OEMPRI-5575</v>
      </c>
      <c r="B1847" s="30" t="s">
        <v>86</v>
      </c>
      <c r="C1847" s="30" t="s">
        <v>633</v>
      </c>
      <c r="D1847" s="30" t="s">
        <v>633</v>
      </c>
      <c r="E1847" s="43">
        <v>43082.0</v>
      </c>
      <c r="F1847" s="44" t="s">
        <v>150</v>
      </c>
      <c r="G1847" s="2" t="s">
        <v>7672</v>
      </c>
      <c r="H1847" s="30" t="s">
        <v>166</v>
      </c>
      <c r="I1847" s="30" t="s">
        <v>166</v>
      </c>
      <c r="J1847" s="30" t="s">
        <v>166</v>
      </c>
      <c r="K1847" s="30" t="s">
        <v>166</v>
      </c>
      <c r="L1847" s="30" t="s">
        <v>166</v>
      </c>
      <c r="M1847" s="30" t="s">
        <v>166</v>
      </c>
      <c r="N1847" s="30" t="s">
        <v>166</v>
      </c>
      <c r="O1847" s="30" t="s">
        <v>166</v>
      </c>
      <c r="P1847" s="30" t="s">
        <v>166</v>
      </c>
      <c r="Q1847" s="30" t="s">
        <v>166</v>
      </c>
    </row>
    <row r="1848">
      <c r="A1848" s="33" t="s">
        <v>2551</v>
      </c>
      <c r="B1848" s="30" t="s">
        <v>2554</v>
      </c>
      <c r="C1848" s="30" t="s">
        <v>2197</v>
      </c>
      <c r="D1848" s="30" t="s">
        <v>140</v>
      </c>
      <c r="E1848" s="35">
        <v>43047.0</v>
      </c>
      <c r="F1848" s="37" t="s">
        <v>154</v>
      </c>
      <c r="G1848" s="2" t="s">
        <v>7673</v>
      </c>
      <c r="H1848" s="30" t="s">
        <v>145</v>
      </c>
      <c r="I1848" s="30" t="s">
        <v>145</v>
      </c>
      <c r="J1848" s="30" t="s">
        <v>166</v>
      </c>
      <c r="K1848" s="30" t="s">
        <v>166</v>
      </c>
      <c r="L1848" s="30" t="s">
        <v>166</v>
      </c>
      <c r="M1848" s="30" t="s">
        <v>166</v>
      </c>
      <c r="N1848" s="30" t="s">
        <v>145</v>
      </c>
      <c r="O1848" s="30" t="s">
        <v>145</v>
      </c>
      <c r="P1848" s="30" t="s">
        <v>145</v>
      </c>
    </row>
    <row r="1849">
      <c r="A1849" s="33" t="s">
        <v>2557</v>
      </c>
      <c r="B1849" s="30" t="s">
        <v>2554</v>
      </c>
      <c r="C1849" s="30" t="s">
        <v>2197</v>
      </c>
      <c r="D1849" s="30" t="s">
        <v>216</v>
      </c>
      <c r="E1849" s="35">
        <v>43047.0</v>
      </c>
      <c r="F1849" s="37" t="s">
        <v>154</v>
      </c>
      <c r="G1849" s="2" t="s">
        <v>7673</v>
      </c>
      <c r="H1849" s="30" t="s">
        <v>166</v>
      </c>
      <c r="I1849" s="30" t="s">
        <v>166</v>
      </c>
      <c r="J1849" s="30" t="s">
        <v>166</v>
      </c>
      <c r="K1849" s="30" t="s">
        <v>166</v>
      </c>
      <c r="L1849" s="30" t="s">
        <v>166</v>
      </c>
      <c r="M1849" s="30" t="s">
        <v>166</v>
      </c>
      <c r="N1849" s="30" t="s">
        <v>145</v>
      </c>
      <c r="O1849" s="30" t="s">
        <v>145</v>
      </c>
      <c r="P1849" s="30" t="s">
        <v>145</v>
      </c>
    </row>
    <row r="1850">
      <c r="A1850" s="33" t="s">
        <v>2656</v>
      </c>
      <c r="B1850" s="30" t="s">
        <v>593</v>
      </c>
      <c r="C1850" s="30" t="s">
        <v>2197</v>
      </c>
      <c r="D1850" s="30" t="s">
        <v>122</v>
      </c>
      <c r="E1850" s="35">
        <v>43040.0</v>
      </c>
      <c r="F1850" s="37" t="s">
        <v>150</v>
      </c>
      <c r="G1850" s="30" t="s">
        <v>503</v>
      </c>
      <c r="H1850" s="30" t="s">
        <v>166</v>
      </c>
      <c r="I1850" s="30" t="s">
        <v>166</v>
      </c>
      <c r="J1850" s="30" t="s">
        <v>166</v>
      </c>
      <c r="K1850" s="2" t="s">
        <v>166</v>
      </c>
      <c r="L1850" s="30" t="s">
        <v>166</v>
      </c>
      <c r="M1850" s="30" t="s">
        <v>166</v>
      </c>
      <c r="N1850" s="30" t="s">
        <v>145</v>
      </c>
      <c r="O1850" s="30" t="s">
        <v>145</v>
      </c>
      <c r="P1850" s="30" t="s">
        <v>145</v>
      </c>
    </row>
    <row r="1851">
      <c r="A1851" s="104" t="s">
        <v>2741</v>
      </c>
      <c r="B1851" s="30" t="s">
        <v>175</v>
      </c>
      <c r="C1851" s="30" t="s">
        <v>148</v>
      </c>
      <c r="D1851" s="30" t="s">
        <v>122</v>
      </c>
      <c r="E1851" s="43">
        <v>43038.0</v>
      </c>
      <c r="F1851" s="44" t="s">
        <v>150</v>
      </c>
      <c r="G1851" s="30" t="s">
        <v>438</v>
      </c>
      <c r="H1851" s="30" t="s">
        <v>146</v>
      </c>
      <c r="I1851" s="30" t="s">
        <v>1536</v>
      </c>
      <c r="J1851" s="30" t="s">
        <v>146</v>
      </c>
      <c r="K1851" s="30" t="s">
        <v>7384</v>
      </c>
      <c r="L1851" s="30" t="s">
        <v>687</v>
      </c>
      <c r="M1851" s="30" t="s">
        <v>687</v>
      </c>
      <c r="N1851" s="30" t="s">
        <v>152</v>
      </c>
      <c r="O1851" s="2" t="s">
        <v>152</v>
      </c>
      <c r="P1851" s="2" t="s">
        <v>7678</v>
      </c>
    </row>
    <row r="1852">
      <c r="A1852" s="33" t="s">
        <v>2745</v>
      </c>
      <c r="B1852" s="30" t="s">
        <v>175</v>
      </c>
      <c r="C1852" s="30" t="s">
        <v>148</v>
      </c>
      <c r="D1852" s="30" t="s">
        <v>122</v>
      </c>
      <c r="E1852" s="43">
        <v>43038.0</v>
      </c>
      <c r="F1852" s="44" t="s">
        <v>150</v>
      </c>
      <c r="G1852" s="30" t="s">
        <v>3050</v>
      </c>
      <c r="H1852" s="30" t="s">
        <v>152</v>
      </c>
      <c r="I1852" s="30" t="s">
        <v>352</v>
      </c>
      <c r="J1852" s="30" t="s">
        <v>146</v>
      </c>
      <c r="K1852" s="30" t="s">
        <v>7384</v>
      </c>
      <c r="L1852" s="30" t="s">
        <v>687</v>
      </c>
      <c r="M1852" s="30" t="s">
        <v>687</v>
      </c>
      <c r="N1852" s="30" t="s">
        <v>152</v>
      </c>
      <c r="O1852" s="2" t="s">
        <v>7678</v>
      </c>
      <c r="P1852" s="2" t="s">
        <v>7678</v>
      </c>
    </row>
    <row r="1853">
      <c r="A1853" s="33" t="s">
        <v>4819</v>
      </c>
      <c r="B1853" s="30" t="s">
        <v>2554</v>
      </c>
      <c r="C1853" s="30" t="s">
        <v>244</v>
      </c>
      <c r="D1853" s="30" t="s">
        <v>244</v>
      </c>
      <c r="E1853" s="35">
        <v>42859.0</v>
      </c>
      <c r="F1853" s="37" t="s">
        <v>154</v>
      </c>
      <c r="G1853" s="2" t="s">
        <v>7681</v>
      </c>
      <c r="H1853" s="30" t="s">
        <v>166</v>
      </c>
      <c r="I1853" s="30" t="s">
        <v>166</v>
      </c>
      <c r="J1853" s="30" t="s">
        <v>166</v>
      </c>
      <c r="K1853" s="30" t="s">
        <v>166</v>
      </c>
      <c r="L1853" s="30" t="s">
        <v>166</v>
      </c>
      <c r="M1853" s="30" t="s">
        <v>166</v>
      </c>
      <c r="N1853" s="30" t="s">
        <v>145</v>
      </c>
      <c r="O1853" s="30" t="s">
        <v>145</v>
      </c>
      <c r="P1853" s="30" t="s">
        <v>145</v>
      </c>
    </row>
    <row r="1854">
      <c r="A1854" s="33" t="s">
        <v>5878</v>
      </c>
      <c r="B1854" s="30" t="s">
        <v>2554</v>
      </c>
      <c r="C1854" s="30" t="s">
        <v>233</v>
      </c>
      <c r="D1854" s="30" t="s">
        <v>177</v>
      </c>
      <c r="E1854" s="43">
        <v>42674.0</v>
      </c>
      <c r="F1854" s="44" t="s">
        <v>154</v>
      </c>
      <c r="G1854" s="2" t="s">
        <v>7684</v>
      </c>
      <c r="H1854" s="30" t="s">
        <v>166</v>
      </c>
      <c r="I1854" s="30" t="s">
        <v>166</v>
      </c>
      <c r="J1854" s="30" t="s">
        <v>166</v>
      </c>
      <c r="K1854" s="30" t="s">
        <v>166</v>
      </c>
      <c r="L1854" s="30" t="s">
        <v>166</v>
      </c>
      <c r="M1854" s="30" t="s">
        <v>166</v>
      </c>
      <c r="N1854" s="30" t="s">
        <v>145</v>
      </c>
      <c r="O1854" s="30" t="s">
        <v>145</v>
      </c>
      <c r="P1854" s="30" t="s">
        <v>145</v>
      </c>
      <c r="Q1854" s="30" t="s">
        <v>166</v>
      </c>
    </row>
    <row r="1855">
      <c r="A1855" s="33" t="s">
        <v>6390</v>
      </c>
      <c r="B1855" s="30" t="s">
        <v>86</v>
      </c>
      <c r="C1855" s="30" t="s">
        <v>2687</v>
      </c>
      <c r="D1855" s="30" t="s">
        <v>2687</v>
      </c>
      <c r="E1855" s="35">
        <v>42086.0</v>
      </c>
      <c r="F1855" s="37" t="s">
        <v>184</v>
      </c>
      <c r="G1855" s="30" t="s">
        <v>2687</v>
      </c>
      <c r="H1855" s="30" t="s">
        <v>166</v>
      </c>
      <c r="I1855" s="30" t="s">
        <v>166</v>
      </c>
      <c r="J1855" s="30" t="s">
        <v>166</v>
      </c>
      <c r="K1855" s="30" t="s">
        <v>166</v>
      </c>
      <c r="L1855" s="30" t="s">
        <v>166</v>
      </c>
      <c r="M1855" s="30" t="s">
        <v>166</v>
      </c>
      <c r="N1855" s="30" t="s">
        <v>145</v>
      </c>
      <c r="O1855" s="30" t="s">
        <v>145</v>
      </c>
      <c r="P1855" s="30" t="s">
        <v>145</v>
      </c>
      <c r="Q1855" s="30" t="s">
        <v>166</v>
      </c>
    </row>
    <row r="1856">
      <c r="A1856" s="33" t="str">
        <f>hyperlink("https://issues.sierrawireless.com/browse/OEMPRI-8171", "OEMPRI-8171")</f>
        <v>OEMPRI-8171</v>
      </c>
      <c r="B1856" s="30" t="s">
        <v>277</v>
      </c>
      <c r="C1856" s="30" t="s">
        <v>148</v>
      </c>
      <c r="D1856" s="30" t="s">
        <v>141</v>
      </c>
      <c r="E1856" s="35">
        <v>43332.0</v>
      </c>
      <c r="F1856" s="37" t="s">
        <v>150</v>
      </c>
      <c r="G1856" s="30" t="s">
        <v>152</v>
      </c>
      <c r="H1856" s="30" t="s">
        <v>152</v>
      </c>
      <c r="I1856" s="30" t="s">
        <v>492</v>
      </c>
      <c r="J1856" s="30" t="s">
        <v>166</v>
      </c>
      <c r="K1856" s="30" t="s">
        <v>166</v>
      </c>
      <c r="L1856" s="30" t="s">
        <v>166</v>
      </c>
      <c r="M1856" s="30" t="s">
        <v>166</v>
      </c>
      <c r="N1856" s="30" t="s">
        <v>145</v>
      </c>
      <c r="O1856" s="30" t="s">
        <v>145</v>
      </c>
      <c r="P1856" s="30" t="s">
        <v>145</v>
      </c>
      <c r="Q1856" s="30" t="s">
        <v>166</v>
      </c>
    </row>
  </sheetData>
  <autoFilter ref="$A$2:$AB$1856">
    <filterColumn colId="1">
      <filters>
        <filter val="Assigned"/>
        <filter val="New"/>
        <filter val="To Do"/>
        <filter val="Validated"/>
        <filter val="CCB"/>
        <filter val="Generated"/>
        <filter val="Checked In"/>
        <filter val="Pending Review"/>
        <filter val="In Progress"/>
        <filter val="done"/>
        <filter val="Tested"/>
        <filter val="Open"/>
        <filter val="Analysis"/>
        <filter val="Resolved"/>
        <filter val="Integrated"/>
        <filter val="Reviewed"/>
      </filters>
    </filterColumn>
  </autoFilter>
  <conditionalFormatting sqref="C21">
    <cfRule type="expression" dxfId="10" priority="1">
      <formula>REGEXMATCH(C18:C1253, "Stone|Bing|Mary|Lares|Gerry")</formula>
    </cfRule>
  </conditionalFormatting>
  <conditionalFormatting sqref="C3:C19 C20 C22:C1856">
    <cfRule type="expression" dxfId="10" priority="2">
      <formula>REGEXMATCH(C1:C1236, "Stone|Bing|Mary|Lares|Gerry")</formula>
    </cfRule>
  </conditionalFormatting>
  <conditionalFormatting sqref="E1 F1:Q19 E3:E19 E20:Q1856">
    <cfRule type="expression" dxfId="3" priority="3">
      <formula>REGEXMATCH(A1:L1, "(Stone|Bing|Mary|Lares|Gerry).*[\*][\(]")</formula>
    </cfRule>
  </conditionalFormatting>
  <conditionalFormatting sqref="E1 F1:Q19 E3:E19 E20:Q1856">
    <cfRule type="expression" dxfId="11" priority="4">
      <formula>REGEXMATCH(A1:L1, "[\*][\(]")</formula>
    </cfRule>
  </conditionalFormatting>
  <conditionalFormatting sqref="E1 F1:Q19 E3:E19 E20:Q1856">
    <cfRule type="expression" dxfId="12" priority="5">
      <formula>int(REGEXREPLACE(A1:L1,"[^\d]+",""))&gt;=5</formula>
    </cfRule>
  </conditionalFormatting>
  <conditionalFormatting sqref="E1 F1:Q19 E3:E19 E20:Q1856">
    <cfRule type="expression" dxfId="13" priority="6">
      <formula>int(REGEXREPLACE(A1:L1,"[^\d]+",""))&gt;1</formula>
    </cfRule>
  </conditionalFormatting>
  <conditionalFormatting sqref="A3:AB1856">
    <cfRule type="notContainsBlanks" dxfId="0" priority="7">
      <formula>LEN(TRIM(A3))&gt;0</formula>
    </cfRule>
  </conditionalFormatting>
  <conditionalFormatting sqref="A1">
    <cfRule type="notContainsBlanks" dxfId="0" priority="8">
      <formula>LEN(TRIM(A1))&gt;0</formula>
    </cfRule>
  </conditionalFormatting>
  <dataValidations>
    <dataValidation type="list" allowBlank="1" sqref="I1">
      <formula1>".*,OEMPRI,QTI,COUGAR,CORONADO,EEL,TOOLS,SZAM"</formula1>
    </dataValidation>
    <dataValidation type="list" allowBlank="1" sqref="K1">
      <formula1>".*,Stone,Bing,Lares,Gerry"</formula1>
    </dataValidation>
  </dataValidations>
  <hyperlinks>
    <hyperlink r:id="rId1" ref="A284"/>
    <hyperlink r:id="rId2" ref="A285"/>
    <hyperlink r:id="rId3" ref="A286"/>
    <hyperlink r:id="rId4" ref="A287"/>
    <hyperlink r:id="rId5" ref="A288"/>
    <hyperlink r:id="rId6" ref="A289"/>
    <hyperlink r:id="rId7" ref="A290"/>
    <hyperlink r:id="rId8" ref="A292"/>
    <hyperlink r:id="rId9" ref="A293"/>
    <hyperlink r:id="rId10" ref="A294"/>
    <hyperlink r:id="rId11" ref="A295"/>
    <hyperlink r:id="rId12" ref="A296"/>
    <hyperlink r:id="rId13" ref="A297"/>
    <hyperlink r:id="rId14" ref="A298"/>
    <hyperlink r:id="rId15" ref="A299"/>
    <hyperlink r:id="rId16" ref="A300"/>
    <hyperlink r:id="rId17" ref="A301"/>
    <hyperlink r:id="rId18" ref="A302"/>
    <hyperlink r:id="rId19" ref="A304"/>
    <hyperlink r:id="rId20" ref="A305"/>
    <hyperlink r:id="rId21" ref="A306"/>
    <hyperlink r:id="rId22" ref="A307"/>
    <hyperlink r:id="rId23" ref="A308"/>
    <hyperlink r:id="rId24" ref="A309"/>
    <hyperlink r:id="rId25" ref="A310"/>
    <hyperlink r:id="rId26" ref="A311"/>
    <hyperlink r:id="rId27" ref="A312"/>
    <hyperlink r:id="rId28" ref="A313"/>
    <hyperlink r:id="rId29" ref="A314"/>
    <hyperlink r:id="rId30" ref="A315"/>
    <hyperlink r:id="rId31" ref="A316"/>
    <hyperlink r:id="rId32" ref="A320"/>
    <hyperlink r:id="rId33" ref="A321"/>
    <hyperlink r:id="rId34" ref="A322"/>
    <hyperlink r:id="rId35" ref="A323"/>
    <hyperlink r:id="rId36" ref="A326"/>
    <hyperlink r:id="rId37" ref="A327"/>
    <hyperlink r:id="rId38" ref="A328"/>
    <hyperlink r:id="rId39" ref="A330"/>
    <hyperlink r:id="rId40" ref="A331"/>
    <hyperlink r:id="rId41" ref="A332"/>
    <hyperlink r:id="rId42" ref="A333"/>
    <hyperlink r:id="rId43" ref="A334"/>
    <hyperlink r:id="rId44" ref="A335"/>
    <hyperlink r:id="rId45" ref="A337"/>
    <hyperlink r:id="rId46" ref="A338"/>
    <hyperlink r:id="rId47" ref="A339"/>
    <hyperlink r:id="rId48" ref="A340"/>
    <hyperlink r:id="rId49" ref="A341"/>
    <hyperlink r:id="rId50" ref="A343"/>
    <hyperlink r:id="rId51" ref="A344"/>
    <hyperlink r:id="rId52" ref="A345"/>
    <hyperlink r:id="rId53" ref="A346"/>
    <hyperlink r:id="rId54" ref="A347"/>
    <hyperlink r:id="rId55" ref="A348"/>
    <hyperlink r:id="rId56" ref="A349"/>
    <hyperlink r:id="rId57" ref="A351"/>
    <hyperlink r:id="rId58" ref="A352"/>
    <hyperlink r:id="rId59" ref="A353"/>
    <hyperlink r:id="rId60" ref="A354"/>
    <hyperlink r:id="rId61" ref="A355"/>
    <hyperlink r:id="rId62" ref="A356"/>
    <hyperlink r:id="rId63" ref="A357"/>
    <hyperlink r:id="rId64" ref="A358"/>
    <hyperlink r:id="rId65" ref="A359"/>
    <hyperlink r:id="rId66" ref="A361"/>
    <hyperlink r:id="rId67" ref="A362"/>
    <hyperlink r:id="rId68" ref="A364"/>
    <hyperlink r:id="rId69" ref="A365"/>
    <hyperlink r:id="rId70" ref="A366"/>
    <hyperlink r:id="rId71" ref="A367"/>
    <hyperlink r:id="rId72" ref="A368"/>
    <hyperlink r:id="rId73" ref="A369"/>
    <hyperlink r:id="rId74" ref="A370"/>
    <hyperlink r:id="rId75" ref="A371"/>
    <hyperlink r:id="rId76" ref="A372"/>
    <hyperlink r:id="rId77" ref="A373"/>
    <hyperlink r:id="rId78" ref="A374"/>
    <hyperlink r:id="rId79" ref="A380"/>
    <hyperlink r:id="rId80" ref="A381"/>
    <hyperlink r:id="rId81" ref="A382"/>
    <hyperlink r:id="rId82" ref="A383"/>
    <hyperlink r:id="rId83" ref="A384"/>
    <hyperlink r:id="rId84" ref="A385"/>
    <hyperlink r:id="rId85" ref="A386"/>
    <hyperlink r:id="rId86" ref="A387"/>
    <hyperlink r:id="rId87" ref="A388"/>
    <hyperlink r:id="rId88" ref="A389"/>
    <hyperlink r:id="rId89" ref="A390"/>
    <hyperlink r:id="rId90" ref="A391"/>
    <hyperlink r:id="rId91" ref="A392"/>
    <hyperlink r:id="rId92" ref="A393"/>
    <hyperlink r:id="rId93" ref="A394"/>
    <hyperlink r:id="rId94" ref="A395"/>
    <hyperlink r:id="rId95" ref="A397"/>
    <hyperlink r:id="rId96" ref="A398"/>
    <hyperlink r:id="rId97" ref="A399"/>
    <hyperlink r:id="rId98" ref="A400"/>
    <hyperlink r:id="rId99" ref="A401"/>
    <hyperlink r:id="rId100" ref="A402"/>
    <hyperlink r:id="rId101" ref="A403"/>
    <hyperlink r:id="rId102" ref="A404"/>
    <hyperlink r:id="rId103" ref="A405"/>
    <hyperlink r:id="rId104" ref="A406"/>
    <hyperlink r:id="rId105" ref="A407"/>
    <hyperlink r:id="rId106" ref="A408"/>
    <hyperlink r:id="rId107" ref="A409"/>
    <hyperlink r:id="rId108" ref="A410"/>
    <hyperlink r:id="rId109" ref="A411"/>
    <hyperlink r:id="rId110" ref="A412"/>
    <hyperlink r:id="rId111" ref="A413"/>
    <hyperlink r:id="rId112" ref="A414"/>
    <hyperlink r:id="rId113" ref="A415"/>
    <hyperlink r:id="rId114" ref="A416"/>
    <hyperlink r:id="rId115" ref="A417"/>
    <hyperlink r:id="rId116" ref="A418"/>
    <hyperlink r:id="rId117" ref="A419"/>
    <hyperlink r:id="rId118" ref="A420"/>
    <hyperlink r:id="rId119" ref="A421"/>
    <hyperlink r:id="rId120" ref="A422"/>
    <hyperlink r:id="rId121" ref="A423"/>
    <hyperlink r:id="rId122" ref="A424"/>
    <hyperlink r:id="rId123" ref="A425"/>
    <hyperlink r:id="rId124" ref="A426"/>
    <hyperlink r:id="rId125" ref="A427"/>
    <hyperlink r:id="rId126" ref="A428"/>
    <hyperlink r:id="rId127" ref="A429"/>
    <hyperlink r:id="rId128" ref="A430"/>
    <hyperlink r:id="rId129" ref="A431"/>
    <hyperlink r:id="rId130" ref="A432"/>
    <hyperlink r:id="rId131" ref="A434"/>
    <hyperlink r:id="rId132" ref="A435"/>
    <hyperlink r:id="rId133" ref="A436"/>
    <hyperlink r:id="rId134" ref="A437"/>
    <hyperlink r:id="rId135" ref="A438"/>
    <hyperlink r:id="rId136" ref="A439"/>
    <hyperlink r:id="rId137" ref="A440"/>
    <hyperlink r:id="rId138" ref="A441"/>
    <hyperlink r:id="rId139" ref="A442"/>
    <hyperlink r:id="rId140" ref="A443"/>
    <hyperlink r:id="rId141" ref="A444"/>
    <hyperlink r:id="rId142" ref="A445"/>
    <hyperlink r:id="rId143" ref="A446"/>
    <hyperlink r:id="rId144" ref="A447"/>
    <hyperlink r:id="rId145" ref="A448"/>
    <hyperlink r:id="rId146" ref="A449"/>
    <hyperlink r:id="rId147" ref="A450"/>
    <hyperlink r:id="rId148" ref="A452"/>
    <hyperlink r:id="rId149" ref="A453"/>
    <hyperlink r:id="rId150" ref="A455"/>
    <hyperlink r:id="rId151" ref="A456"/>
    <hyperlink r:id="rId152" ref="A457"/>
    <hyperlink r:id="rId153" ref="A458"/>
    <hyperlink r:id="rId154" ref="A459"/>
    <hyperlink r:id="rId155" ref="A460"/>
    <hyperlink r:id="rId156" ref="A461"/>
    <hyperlink r:id="rId157" ref="A462"/>
    <hyperlink r:id="rId158" ref="A463"/>
    <hyperlink r:id="rId159" ref="A464"/>
    <hyperlink r:id="rId160" ref="A465"/>
    <hyperlink r:id="rId161" ref="A466"/>
    <hyperlink r:id="rId162" ref="A467"/>
    <hyperlink r:id="rId163" ref="A468"/>
    <hyperlink r:id="rId164" ref="A469"/>
    <hyperlink r:id="rId165" ref="A470"/>
    <hyperlink r:id="rId166" ref="A471"/>
    <hyperlink r:id="rId167" ref="A472"/>
    <hyperlink r:id="rId168" ref="A473"/>
    <hyperlink r:id="rId169" ref="A474"/>
    <hyperlink r:id="rId170" ref="A475"/>
    <hyperlink r:id="rId171" ref="A476"/>
    <hyperlink r:id="rId172" ref="A477"/>
    <hyperlink r:id="rId173" ref="A478"/>
    <hyperlink r:id="rId174" ref="A479"/>
    <hyperlink r:id="rId175" ref="A480"/>
    <hyperlink r:id="rId176" ref="A481"/>
    <hyperlink r:id="rId177" ref="A482"/>
    <hyperlink r:id="rId178" ref="A483"/>
    <hyperlink r:id="rId179" ref="A484"/>
    <hyperlink r:id="rId180" ref="A485"/>
    <hyperlink r:id="rId181" ref="A486"/>
    <hyperlink r:id="rId182" ref="A487"/>
    <hyperlink r:id="rId183" ref="A488"/>
    <hyperlink r:id="rId184" ref="A489"/>
    <hyperlink r:id="rId185" ref="A490"/>
    <hyperlink r:id="rId186" ref="A491"/>
    <hyperlink r:id="rId187" ref="A492"/>
    <hyperlink r:id="rId188" ref="A493"/>
    <hyperlink r:id="rId189" ref="A494"/>
    <hyperlink r:id="rId190" ref="A495"/>
    <hyperlink r:id="rId191" ref="A496"/>
    <hyperlink r:id="rId192" ref="A497"/>
    <hyperlink r:id="rId193" ref="A498"/>
    <hyperlink r:id="rId194" ref="A499"/>
    <hyperlink r:id="rId195" ref="A500"/>
    <hyperlink r:id="rId196" ref="A501"/>
    <hyperlink r:id="rId197" ref="A502"/>
    <hyperlink r:id="rId198" ref="A503"/>
    <hyperlink r:id="rId199" ref="A504"/>
    <hyperlink r:id="rId200" ref="A505"/>
    <hyperlink r:id="rId201" ref="A506"/>
    <hyperlink r:id="rId202" ref="A507"/>
    <hyperlink r:id="rId203" ref="A508"/>
    <hyperlink r:id="rId204" ref="A509"/>
    <hyperlink r:id="rId205" ref="A510"/>
    <hyperlink r:id="rId206" ref="A511"/>
    <hyperlink r:id="rId207" ref="A512"/>
    <hyperlink r:id="rId208" ref="A513"/>
    <hyperlink r:id="rId209" ref="A514"/>
    <hyperlink r:id="rId210" ref="A515"/>
    <hyperlink r:id="rId211" ref="A516"/>
    <hyperlink r:id="rId212" ref="A517"/>
    <hyperlink r:id="rId213" ref="A518"/>
    <hyperlink r:id="rId214" ref="A519"/>
    <hyperlink r:id="rId215" ref="A520"/>
    <hyperlink r:id="rId216" ref="A521"/>
    <hyperlink r:id="rId217" ref="A522"/>
    <hyperlink r:id="rId218" ref="A523"/>
    <hyperlink r:id="rId219" ref="A524"/>
    <hyperlink r:id="rId220" ref="A525"/>
    <hyperlink r:id="rId221" ref="A526"/>
    <hyperlink r:id="rId222" ref="A527"/>
    <hyperlink r:id="rId223" ref="A528"/>
    <hyperlink r:id="rId224" ref="A529"/>
    <hyperlink r:id="rId225" ref="A530"/>
    <hyperlink r:id="rId226" ref="A531"/>
    <hyperlink r:id="rId227" ref="A532"/>
    <hyperlink r:id="rId228" ref="A533"/>
    <hyperlink r:id="rId229" ref="A534"/>
    <hyperlink r:id="rId230" ref="A535"/>
    <hyperlink r:id="rId231" ref="A536"/>
    <hyperlink r:id="rId232" ref="A537"/>
    <hyperlink r:id="rId233" ref="A538"/>
    <hyperlink r:id="rId234" ref="A539"/>
    <hyperlink r:id="rId235" ref="A540"/>
    <hyperlink r:id="rId236" ref="A541"/>
    <hyperlink r:id="rId237" ref="A542"/>
    <hyperlink r:id="rId238" ref="A543"/>
    <hyperlink r:id="rId239" ref="A544"/>
    <hyperlink r:id="rId240" ref="A545"/>
    <hyperlink r:id="rId241" ref="A546"/>
    <hyperlink r:id="rId242" ref="A547"/>
    <hyperlink r:id="rId243" ref="A548"/>
    <hyperlink r:id="rId244" ref="A549"/>
    <hyperlink r:id="rId245" ref="A550"/>
    <hyperlink r:id="rId246" ref="A551"/>
    <hyperlink r:id="rId247" ref="A552"/>
    <hyperlink r:id="rId248" ref="A553"/>
    <hyperlink r:id="rId249" ref="A554"/>
    <hyperlink r:id="rId250" ref="A555"/>
    <hyperlink r:id="rId251" ref="A556"/>
    <hyperlink r:id="rId252" ref="A557"/>
    <hyperlink r:id="rId253" ref="A558"/>
    <hyperlink r:id="rId254" ref="A559"/>
    <hyperlink r:id="rId255" ref="A560"/>
    <hyperlink r:id="rId256" ref="A561"/>
    <hyperlink r:id="rId257" ref="A562"/>
    <hyperlink r:id="rId258" ref="A563"/>
    <hyperlink r:id="rId259" ref="A564"/>
    <hyperlink r:id="rId260" ref="A565"/>
    <hyperlink r:id="rId261" ref="A566"/>
    <hyperlink r:id="rId262" ref="A567"/>
    <hyperlink r:id="rId263" ref="A568"/>
    <hyperlink r:id="rId264" ref="A569"/>
    <hyperlink r:id="rId265" ref="A570"/>
    <hyperlink r:id="rId266" ref="A571"/>
    <hyperlink r:id="rId267" ref="A572"/>
    <hyperlink r:id="rId268" ref="A573"/>
    <hyperlink r:id="rId269" ref="A574"/>
    <hyperlink r:id="rId270" ref="A575"/>
    <hyperlink r:id="rId271" ref="A576"/>
    <hyperlink r:id="rId272" ref="A577"/>
    <hyperlink r:id="rId273" ref="A578"/>
    <hyperlink r:id="rId274" ref="A579"/>
    <hyperlink r:id="rId275" ref="A580"/>
    <hyperlink r:id="rId276" ref="A581"/>
    <hyperlink r:id="rId277" ref="A582"/>
    <hyperlink r:id="rId278" ref="A583"/>
    <hyperlink r:id="rId279" ref="A584"/>
    <hyperlink r:id="rId280" ref="A585"/>
    <hyperlink r:id="rId281" ref="A586"/>
    <hyperlink r:id="rId282" ref="A587"/>
    <hyperlink r:id="rId283" ref="A588"/>
    <hyperlink r:id="rId284" ref="A589"/>
    <hyperlink r:id="rId285" ref="A590"/>
    <hyperlink r:id="rId286" ref="A591"/>
    <hyperlink r:id="rId287" ref="A592"/>
    <hyperlink r:id="rId288" ref="A593"/>
    <hyperlink r:id="rId289" ref="A594"/>
    <hyperlink r:id="rId290" ref="A595"/>
    <hyperlink r:id="rId291" ref="A596"/>
    <hyperlink r:id="rId292" ref="A597"/>
    <hyperlink r:id="rId293" ref="A598"/>
    <hyperlink r:id="rId294" ref="A599"/>
    <hyperlink r:id="rId295" ref="A600"/>
    <hyperlink r:id="rId296" ref="A601"/>
    <hyperlink r:id="rId297" ref="A602"/>
    <hyperlink r:id="rId298" ref="A603"/>
    <hyperlink r:id="rId299" ref="A604"/>
    <hyperlink r:id="rId300" ref="A605"/>
    <hyperlink r:id="rId301" ref="A606"/>
    <hyperlink r:id="rId302" ref="A607"/>
    <hyperlink r:id="rId303" ref="A608"/>
    <hyperlink r:id="rId304" ref="A609"/>
    <hyperlink r:id="rId305" ref="A610"/>
    <hyperlink r:id="rId306" ref="A611"/>
    <hyperlink r:id="rId307" ref="A612"/>
    <hyperlink r:id="rId308" ref="A613"/>
    <hyperlink r:id="rId309" ref="A614"/>
    <hyperlink r:id="rId310" ref="A615"/>
    <hyperlink r:id="rId311" ref="A616"/>
    <hyperlink r:id="rId312" ref="A617"/>
    <hyperlink r:id="rId313" ref="A618"/>
    <hyperlink r:id="rId314" ref="A619"/>
    <hyperlink r:id="rId315" ref="A620"/>
    <hyperlink r:id="rId316" ref="A621"/>
    <hyperlink r:id="rId317" ref="A622"/>
    <hyperlink r:id="rId318" ref="A623"/>
    <hyperlink r:id="rId319" ref="A624"/>
    <hyperlink r:id="rId320" ref="A625"/>
    <hyperlink r:id="rId321" ref="A626"/>
    <hyperlink r:id="rId322" ref="A627"/>
    <hyperlink r:id="rId323" ref="A628"/>
    <hyperlink r:id="rId324" ref="A629"/>
    <hyperlink r:id="rId325" ref="A630"/>
    <hyperlink r:id="rId326" ref="A632"/>
    <hyperlink r:id="rId327" ref="A633"/>
    <hyperlink r:id="rId328" ref="A634"/>
    <hyperlink r:id="rId329" ref="A635"/>
    <hyperlink r:id="rId330" ref="A636"/>
    <hyperlink r:id="rId331" ref="A637"/>
    <hyperlink r:id="rId332" ref="A638"/>
    <hyperlink r:id="rId333" ref="A639"/>
    <hyperlink r:id="rId334" ref="A640"/>
    <hyperlink r:id="rId335" ref="A647"/>
    <hyperlink r:id="rId336" ref="A648"/>
    <hyperlink r:id="rId337" ref="A649"/>
    <hyperlink r:id="rId338" ref="A650"/>
    <hyperlink r:id="rId339" ref="A651"/>
    <hyperlink r:id="rId340" ref="A652"/>
    <hyperlink r:id="rId341" ref="A653"/>
    <hyperlink r:id="rId342" ref="A654"/>
    <hyperlink r:id="rId343" ref="A655"/>
    <hyperlink r:id="rId344" ref="A656"/>
    <hyperlink r:id="rId345" ref="A657"/>
    <hyperlink r:id="rId346" ref="A658"/>
    <hyperlink r:id="rId347" ref="A659"/>
    <hyperlink r:id="rId348" ref="A660"/>
    <hyperlink r:id="rId349" ref="A661"/>
    <hyperlink r:id="rId350" ref="A662"/>
    <hyperlink r:id="rId351" ref="A663"/>
    <hyperlink r:id="rId352" ref="A664"/>
    <hyperlink r:id="rId353" ref="A665"/>
    <hyperlink r:id="rId354" ref="A666"/>
    <hyperlink r:id="rId355" ref="A667"/>
    <hyperlink r:id="rId356" ref="A669"/>
    <hyperlink r:id="rId357" ref="A670"/>
    <hyperlink r:id="rId358" ref="A672"/>
    <hyperlink r:id="rId359" ref="A673"/>
    <hyperlink r:id="rId360" ref="A674"/>
    <hyperlink r:id="rId361" ref="A675"/>
    <hyperlink r:id="rId362" ref="A676"/>
    <hyperlink r:id="rId363" ref="A677"/>
    <hyperlink r:id="rId364" ref="A678"/>
    <hyperlink r:id="rId365" ref="A679"/>
    <hyperlink r:id="rId366" ref="A680"/>
    <hyperlink r:id="rId367" ref="A681"/>
    <hyperlink r:id="rId368" ref="A682"/>
    <hyperlink r:id="rId369" ref="A683"/>
    <hyperlink r:id="rId370" ref="A684"/>
    <hyperlink r:id="rId371" ref="A685"/>
    <hyperlink r:id="rId372" ref="A686"/>
    <hyperlink r:id="rId373" ref="A687"/>
    <hyperlink r:id="rId374" ref="A688"/>
    <hyperlink r:id="rId375" ref="A689"/>
    <hyperlink r:id="rId376" ref="A690"/>
    <hyperlink r:id="rId377" ref="A691"/>
    <hyperlink r:id="rId378" ref="A692"/>
    <hyperlink r:id="rId379" ref="A693"/>
    <hyperlink r:id="rId380" ref="A694"/>
    <hyperlink r:id="rId381" ref="A695"/>
    <hyperlink r:id="rId382" ref="A698"/>
    <hyperlink r:id="rId383" ref="A701"/>
    <hyperlink r:id="rId384" ref="A702"/>
    <hyperlink r:id="rId385" ref="A703"/>
    <hyperlink r:id="rId386" ref="A704"/>
    <hyperlink r:id="rId387" ref="A705"/>
    <hyperlink r:id="rId388" ref="A706"/>
    <hyperlink r:id="rId389" ref="A707"/>
    <hyperlink r:id="rId390" ref="A709"/>
    <hyperlink r:id="rId391" ref="A711"/>
    <hyperlink r:id="rId392" ref="A712"/>
    <hyperlink r:id="rId393" ref="A713"/>
    <hyperlink r:id="rId394" ref="A714"/>
    <hyperlink r:id="rId395" ref="A715"/>
    <hyperlink r:id="rId396" ref="A716"/>
    <hyperlink r:id="rId397" ref="A717"/>
    <hyperlink r:id="rId398" ref="A718"/>
    <hyperlink r:id="rId399" ref="A719"/>
    <hyperlink r:id="rId400" ref="A720"/>
    <hyperlink r:id="rId401" ref="A721"/>
    <hyperlink r:id="rId402" ref="A722"/>
    <hyperlink r:id="rId403" ref="A723"/>
    <hyperlink r:id="rId404" ref="A724"/>
    <hyperlink r:id="rId405" ref="A725"/>
    <hyperlink r:id="rId406" ref="A726"/>
    <hyperlink r:id="rId407" ref="A727"/>
    <hyperlink r:id="rId408" ref="A728"/>
    <hyperlink r:id="rId409" ref="A729"/>
    <hyperlink r:id="rId410" ref="A731"/>
    <hyperlink r:id="rId411" ref="A732"/>
    <hyperlink r:id="rId412" ref="A733"/>
    <hyperlink r:id="rId413" ref="A734"/>
    <hyperlink r:id="rId414" ref="A735"/>
    <hyperlink r:id="rId415" ref="A736"/>
    <hyperlink r:id="rId416" ref="A737"/>
    <hyperlink r:id="rId417" ref="A738"/>
    <hyperlink r:id="rId418" ref="A739"/>
    <hyperlink r:id="rId419" ref="A740"/>
    <hyperlink r:id="rId420" ref="A741"/>
    <hyperlink r:id="rId421" ref="A742"/>
    <hyperlink r:id="rId422" ref="A743"/>
    <hyperlink r:id="rId423" ref="A744"/>
    <hyperlink r:id="rId424" ref="A745"/>
    <hyperlink r:id="rId425" ref="A746"/>
    <hyperlink r:id="rId426" ref="A747"/>
    <hyperlink r:id="rId427" ref="A748"/>
    <hyperlink r:id="rId428" ref="A749"/>
    <hyperlink r:id="rId429" ref="A750"/>
    <hyperlink r:id="rId430" ref="A751"/>
    <hyperlink r:id="rId431" ref="A752"/>
    <hyperlink r:id="rId432" ref="A753"/>
    <hyperlink r:id="rId433" ref="A754"/>
    <hyperlink r:id="rId434" ref="A755"/>
    <hyperlink r:id="rId435" ref="A756"/>
    <hyperlink r:id="rId436" ref="A757"/>
    <hyperlink r:id="rId437" ref="A758"/>
    <hyperlink r:id="rId438" ref="A759"/>
    <hyperlink r:id="rId439" ref="A760"/>
    <hyperlink r:id="rId440" ref="A761"/>
    <hyperlink r:id="rId441" ref="A762"/>
    <hyperlink r:id="rId442" ref="A763"/>
    <hyperlink r:id="rId443" ref="A764"/>
    <hyperlink r:id="rId444" ref="A765"/>
    <hyperlink r:id="rId445" ref="A766"/>
    <hyperlink r:id="rId446" ref="A767"/>
    <hyperlink r:id="rId447" ref="A768"/>
    <hyperlink r:id="rId448" ref="A769"/>
    <hyperlink r:id="rId449" ref="A770"/>
    <hyperlink r:id="rId450" ref="A771"/>
    <hyperlink r:id="rId451" ref="A772"/>
    <hyperlink r:id="rId452" ref="A773"/>
    <hyperlink r:id="rId453" ref="A774"/>
    <hyperlink r:id="rId454" ref="A775"/>
    <hyperlink r:id="rId455" ref="A776"/>
    <hyperlink r:id="rId456" ref="A777"/>
    <hyperlink r:id="rId457" ref="A778"/>
    <hyperlink r:id="rId458" ref="A779"/>
    <hyperlink r:id="rId459" ref="A780"/>
    <hyperlink r:id="rId460" ref="A781"/>
    <hyperlink r:id="rId461" ref="A782"/>
    <hyperlink r:id="rId462" ref="A783"/>
    <hyperlink r:id="rId463" ref="A784"/>
    <hyperlink r:id="rId464" ref="A785"/>
    <hyperlink r:id="rId465" ref="A786"/>
    <hyperlink r:id="rId466" ref="A787"/>
    <hyperlink r:id="rId467" ref="A788"/>
    <hyperlink r:id="rId468" ref="A789"/>
    <hyperlink r:id="rId469" ref="A790"/>
    <hyperlink r:id="rId470" ref="A791"/>
    <hyperlink r:id="rId471" ref="A792"/>
    <hyperlink r:id="rId472" ref="A793"/>
    <hyperlink r:id="rId473" ref="A794"/>
    <hyperlink r:id="rId474" ref="A795"/>
    <hyperlink r:id="rId475" ref="A796"/>
    <hyperlink r:id="rId476" ref="A797"/>
    <hyperlink r:id="rId477" ref="A798"/>
    <hyperlink r:id="rId478" ref="A799"/>
    <hyperlink r:id="rId479" ref="A800"/>
    <hyperlink r:id="rId480" ref="A801"/>
    <hyperlink r:id="rId481" ref="A802"/>
    <hyperlink r:id="rId482" ref="A803"/>
    <hyperlink r:id="rId483" ref="A804"/>
    <hyperlink r:id="rId484" ref="A805"/>
    <hyperlink r:id="rId485" ref="A806"/>
    <hyperlink r:id="rId486" ref="A807"/>
    <hyperlink r:id="rId487" ref="A808"/>
    <hyperlink r:id="rId488" ref="A809"/>
    <hyperlink r:id="rId489" ref="A810"/>
    <hyperlink r:id="rId490" ref="A811"/>
    <hyperlink r:id="rId491" ref="A812"/>
    <hyperlink r:id="rId492" ref="A813"/>
    <hyperlink r:id="rId493" ref="A814"/>
    <hyperlink r:id="rId494" ref="A815"/>
    <hyperlink r:id="rId495" ref="A816"/>
    <hyperlink r:id="rId496" ref="A817"/>
    <hyperlink r:id="rId497" ref="A818"/>
    <hyperlink r:id="rId498" ref="A819"/>
    <hyperlink r:id="rId499" ref="A820"/>
    <hyperlink r:id="rId500" ref="A821"/>
    <hyperlink r:id="rId501" ref="A823"/>
    <hyperlink r:id="rId502" ref="A824"/>
    <hyperlink r:id="rId503" ref="A825"/>
    <hyperlink r:id="rId504" ref="A826"/>
    <hyperlink r:id="rId505" ref="A827"/>
    <hyperlink r:id="rId506" ref="A828"/>
    <hyperlink r:id="rId507" ref="A829"/>
    <hyperlink r:id="rId508" ref="A830"/>
    <hyperlink r:id="rId509" ref="A831"/>
    <hyperlink r:id="rId510" ref="A832"/>
    <hyperlink r:id="rId511" ref="A833"/>
    <hyperlink r:id="rId512" ref="A834"/>
    <hyperlink r:id="rId513" ref="A835"/>
    <hyperlink r:id="rId514" ref="A836"/>
    <hyperlink r:id="rId515" ref="A837"/>
    <hyperlink r:id="rId516" ref="A838"/>
    <hyperlink r:id="rId517" ref="A840"/>
    <hyperlink r:id="rId518" ref="A841"/>
    <hyperlink r:id="rId519" ref="A843"/>
    <hyperlink r:id="rId520" ref="A844"/>
    <hyperlink r:id="rId521" ref="A845"/>
    <hyperlink r:id="rId522" ref="A846"/>
    <hyperlink r:id="rId523" ref="A847"/>
    <hyperlink r:id="rId524" ref="A848"/>
    <hyperlink r:id="rId525" ref="A850"/>
    <hyperlink r:id="rId526" ref="A851"/>
    <hyperlink r:id="rId527" ref="A852"/>
    <hyperlink r:id="rId528" ref="A853"/>
    <hyperlink r:id="rId529" ref="A855"/>
    <hyperlink r:id="rId530" ref="A856"/>
    <hyperlink r:id="rId531" ref="A857"/>
    <hyperlink r:id="rId532" ref="A858"/>
    <hyperlink r:id="rId533" ref="A859"/>
    <hyperlink r:id="rId534" ref="A860"/>
    <hyperlink r:id="rId535" ref="A861"/>
    <hyperlink r:id="rId536" ref="A862"/>
    <hyperlink r:id="rId537" ref="A863"/>
    <hyperlink r:id="rId538" ref="A864"/>
    <hyperlink r:id="rId539" ref="A865"/>
    <hyperlink r:id="rId540" ref="A866"/>
    <hyperlink r:id="rId541" ref="A867"/>
    <hyperlink r:id="rId542" ref="A868"/>
    <hyperlink r:id="rId543" ref="A869"/>
    <hyperlink r:id="rId544" ref="A870"/>
    <hyperlink r:id="rId545" ref="A871"/>
    <hyperlink r:id="rId546" ref="A872"/>
    <hyperlink r:id="rId547" ref="A873"/>
    <hyperlink r:id="rId548" ref="A874"/>
    <hyperlink r:id="rId549" ref="A875"/>
    <hyperlink r:id="rId550" ref="A876"/>
    <hyperlink r:id="rId551" ref="A877"/>
    <hyperlink r:id="rId552" ref="A878"/>
    <hyperlink r:id="rId553" ref="A879"/>
    <hyperlink r:id="rId554" ref="A880"/>
    <hyperlink r:id="rId555" ref="A881"/>
    <hyperlink r:id="rId556" ref="A882"/>
    <hyperlink r:id="rId557" ref="A883"/>
    <hyperlink r:id="rId558" ref="A884"/>
    <hyperlink r:id="rId559" ref="A885"/>
    <hyperlink r:id="rId560" ref="A886"/>
    <hyperlink r:id="rId561" ref="A887"/>
    <hyperlink r:id="rId562" ref="A888"/>
    <hyperlink r:id="rId563" ref="A889"/>
    <hyperlink r:id="rId564" ref="A890"/>
    <hyperlink r:id="rId565" ref="A891"/>
    <hyperlink r:id="rId566" ref="A892"/>
    <hyperlink r:id="rId567" ref="A893"/>
    <hyperlink r:id="rId568" ref="A894"/>
    <hyperlink r:id="rId569" ref="A895"/>
    <hyperlink r:id="rId570" ref="A896"/>
    <hyperlink r:id="rId571" ref="A897"/>
    <hyperlink r:id="rId572" ref="A898"/>
    <hyperlink r:id="rId573" ref="A899"/>
    <hyperlink r:id="rId574" ref="A900"/>
    <hyperlink r:id="rId575" ref="A901"/>
    <hyperlink r:id="rId576" ref="A902"/>
    <hyperlink r:id="rId577" ref="A903"/>
    <hyperlink r:id="rId578" ref="A904"/>
    <hyperlink r:id="rId579" ref="A905"/>
    <hyperlink r:id="rId580" ref="A906"/>
    <hyperlink r:id="rId581" ref="A907"/>
    <hyperlink r:id="rId582" ref="A908"/>
    <hyperlink r:id="rId583" ref="A909"/>
    <hyperlink r:id="rId584" ref="A910"/>
    <hyperlink r:id="rId585" ref="A911"/>
    <hyperlink r:id="rId586" ref="A913"/>
    <hyperlink r:id="rId587" ref="A914"/>
    <hyperlink r:id="rId588" ref="A919"/>
    <hyperlink r:id="rId589" ref="A920"/>
    <hyperlink r:id="rId590" ref="A921"/>
    <hyperlink r:id="rId591" ref="A922"/>
    <hyperlink r:id="rId592" ref="A923"/>
    <hyperlink r:id="rId593" ref="A924"/>
    <hyperlink r:id="rId594" ref="A927"/>
    <hyperlink r:id="rId595" ref="A928"/>
    <hyperlink r:id="rId596" ref="A929"/>
    <hyperlink r:id="rId597" ref="A930"/>
    <hyperlink r:id="rId598" ref="A931"/>
    <hyperlink r:id="rId599" ref="A932"/>
    <hyperlink r:id="rId600" ref="A933"/>
    <hyperlink r:id="rId601" ref="A934"/>
    <hyperlink r:id="rId602" ref="A935"/>
    <hyperlink r:id="rId603" ref="A936"/>
    <hyperlink r:id="rId604" ref="A937"/>
    <hyperlink r:id="rId605" ref="A939"/>
    <hyperlink r:id="rId606" ref="A940"/>
    <hyperlink r:id="rId607" ref="A941"/>
    <hyperlink r:id="rId608" ref="A942"/>
    <hyperlink r:id="rId609" ref="A944"/>
    <hyperlink r:id="rId610" ref="A945"/>
    <hyperlink r:id="rId611" ref="A946"/>
    <hyperlink r:id="rId612" ref="A947"/>
    <hyperlink r:id="rId613" ref="A948"/>
    <hyperlink r:id="rId614" ref="A949"/>
    <hyperlink r:id="rId615" ref="A950"/>
    <hyperlink r:id="rId616" ref="A951"/>
    <hyperlink r:id="rId617" ref="A952"/>
    <hyperlink r:id="rId618" ref="A953"/>
    <hyperlink r:id="rId619" ref="A954"/>
    <hyperlink r:id="rId620" ref="A955"/>
    <hyperlink r:id="rId621" ref="A956"/>
    <hyperlink r:id="rId622" ref="A957"/>
    <hyperlink r:id="rId623" ref="A958"/>
    <hyperlink r:id="rId624" ref="A959"/>
    <hyperlink r:id="rId625" ref="A960"/>
    <hyperlink r:id="rId626" ref="A961"/>
    <hyperlink r:id="rId627" ref="A962"/>
    <hyperlink r:id="rId628" ref="A963"/>
    <hyperlink r:id="rId629" ref="A964"/>
    <hyperlink r:id="rId630" ref="A965"/>
    <hyperlink r:id="rId631" ref="A966"/>
    <hyperlink r:id="rId632" ref="A967"/>
    <hyperlink r:id="rId633" ref="A968"/>
    <hyperlink r:id="rId634" ref="A969"/>
    <hyperlink r:id="rId635" ref="A970"/>
    <hyperlink r:id="rId636" ref="A971"/>
    <hyperlink r:id="rId637" ref="A972"/>
    <hyperlink r:id="rId638" ref="A973"/>
    <hyperlink r:id="rId639" ref="A974"/>
    <hyperlink r:id="rId640" ref="A975"/>
    <hyperlink r:id="rId641" ref="A976"/>
    <hyperlink r:id="rId642" ref="A977"/>
    <hyperlink r:id="rId643" ref="A978"/>
    <hyperlink r:id="rId644" ref="A979"/>
    <hyperlink r:id="rId645" ref="A980"/>
    <hyperlink r:id="rId646" ref="A981"/>
    <hyperlink r:id="rId647" ref="A982"/>
    <hyperlink r:id="rId648" ref="A983"/>
    <hyperlink r:id="rId649" ref="A984"/>
    <hyperlink r:id="rId650" ref="A985"/>
    <hyperlink r:id="rId651" ref="A986"/>
    <hyperlink r:id="rId652" ref="A987"/>
    <hyperlink r:id="rId653" ref="A989"/>
    <hyperlink r:id="rId654" ref="A990"/>
    <hyperlink r:id="rId655" ref="A991"/>
    <hyperlink r:id="rId656" ref="A992"/>
    <hyperlink r:id="rId657" ref="A993"/>
    <hyperlink r:id="rId658" ref="A994"/>
    <hyperlink r:id="rId659" ref="A995"/>
    <hyperlink r:id="rId660" ref="A996"/>
    <hyperlink r:id="rId661" ref="A997"/>
    <hyperlink r:id="rId662" ref="A998"/>
    <hyperlink r:id="rId663" ref="A999"/>
    <hyperlink r:id="rId664" ref="A1000"/>
    <hyperlink r:id="rId665" ref="A1001"/>
    <hyperlink r:id="rId666" ref="A1002"/>
    <hyperlink r:id="rId667" ref="A1003"/>
    <hyperlink r:id="rId668" ref="A1004"/>
    <hyperlink r:id="rId669" ref="A1005"/>
    <hyperlink r:id="rId670" ref="A1006"/>
    <hyperlink r:id="rId671" ref="A1007"/>
    <hyperlink r:id="rId672" ref="A1008"/>
    <hyperlink r:id="rId673" ref="A1009"/>
    <hyperlink r:id="rId674" ref="A1010"/>
    <hyperlink r:id="rId675" ref="A1011"/>
    <hyperlink r:id="rId676" ref="A1012"/>
    <hyperlink r:id="rId677" ref="A1013"/>
    <hyperlink r:id="rId678" ref="A1014"/>
    <hyperlink r:id="rId679" ref="A1015"/>
    <hyperlink r:id="rId680" ref="A1016"/>
    <hyperlink r:id="rId681" ref="A1017"/>
    <hyperlink r:id="rId682" ref="A1018"/>
    <hyperlink r:id="rId683" ref="A1019"/>
    <hyperlink r:id="rId684" ref="A1020"/>
    <hyperlink r:id="rId685" ref="A1021"/>
    <hyperlink r:id="rId686" ref="A1022"/>
    <hyperlink r:id="rId687" ref="A1023"/>
    <hyperlink r:id="rId688" ref="A1024"/>
    <hyperlink r:id="rId689" ref="A1025"/>
    <hyperlink r:id="rId690" ref="A1026"/>
    <hyperlink r:id="rId691" ref="A1027"/>
    <hyperlink r:id="rId692" ref="A1028"/>
    <hyperlink r:id="rId693" ref="A1029"/>
    <hyperlink r:id="rId694" ref="A1030"/>
    <hyperlink r:id="rId695" ref="A1031"/>
    <hyperlink r:id="rId696" ref="A1032"/>
    <hyperlink r:id="rId697" ref="A1033"/>
    <hyperlink r:id="rId698" ref="A1034"/>
    <hyperlink r:id="rId699" ref="A1035"/>
    <hyperlink r:id="rId700" ref="A1036"/>
    <hyperlink r:id="rId701" ref="A1037"/>
    <hyperlink r:id="rId702" ref="A1038"/>
    <hyperlink r:id="rId703" ref="A1039"/>
    <hyperlink r:id="rId704" ref="A1040"/>
    <hyperlink r:id="rId705" ref="A1041"/>
    <hyperlink r:id="rId706" ref="A1042"/>
    <hyperlink r:id="rId707" ref="A1043"/>
    <hyperlink r:id="rId708" ref="A1044"/>
    <hyperlink r:id="rId709" ref="A1045"/>
    <hyperlink r:id="rId710" ref="A1046"/>
    <hyperlink r:id="rId711" ref="A1047"/>
    <hyperlink r:id="rId712" ref="A1048"/>
    <hyperlink r:id="rId713" ref="A1049"/>
    <hyperlink r:id="rId714" ref="A1050"/>
    <hyperlink r:id="rId715" ref="A1051"/>
    <hyperlink r:id="rId716" ref="A1052"/>
    <hyperlink r:id="rId717" ref="A1053"/>
    <hyperlink r:id="rId718" ref="A1054"/>
    <hyperlink r:id="rId719" ref="A1055"/>
    <hyperlink r:id="rId720" ref="A1056"/>
    <hyperlink r:id="rId721" ref="A1057"/>
    <hyperlink r:id="rId722" ref="A1058"/>
    <hyperlink r:id="rId723" ref="A1059"/>
    <hyperlink r:id="rId724" ref="A1060"/>
    <hyperlink r:id="rId725" ref="A1061"/>
    <hyperlink r:id="rId726" ref="A1062"/>
    <hyperlink r:id="rId727" ref="A1063"/>
    <hyperlink r:id="rId728" ref="A1064"/>
    <hyperlink r:id="rId729" ref="A1065"/>
    <hyperlink r:id="rId730" ref="A1066"/>
    <hyperlink r:id="rId731" ref="A1067"/>
    <hyperlink r:id="rId732" ref="A1068"/>
    <hyperlink r:id="rId733" ref="A1069"/>
    <hyperlink r:id="rId734" ref="A1070"/>
    <hyperlink r:id="rId735" ref="A1071"/>
    <hyperlink r:id="rId736" ref="A1072"/>
    <hyperlink r:id="rId737" ref="A1073"/>
    <hyperlink r:id="rId738" ref="A1074"/>
    <hyperlink r:id="rId739" ref="A1075"/>
    <hyperlink r:id="rId740" ref="A1076"/>
    <hyperlink r:id="rId741" ref="A1077"/>
    <hyperlink r:id="rId742" ref="A1078"/>
    <hyperlink r:id="rId743" ref="A1079"/>
    <hyperlink r:id="rId744" ref="A1080"/>
    <hyperlink r:id="rId745" ref="A1081"/>
    <hyperlink r:id="rId746" ref="A1082"/>
    <hyperlink r:id="rId747" ref="A1083"/>
    <hyperlink r:id="rId748" ref="A1084"/>
    <hyperlink r:id="rId749" ref="A1085"/>
    <hyperlink r:id="rId750" ref="A1086"/>
    <hyperlink r:id="rId751" ref="A1087"/>
    <hyperlink r:id="rId752" ref="A1088"/>
    <hyperlink r:id="rId753" ref="A1089"/>
    <hyperlink r:id="rId754" ref="A1090"/>
    <hyperlink r:id="rId755" ref="A1091"/>
    <hyperlink r:id="rId756" ref="A1092"/>
    <hyperlink r:id="rId757" ref="A1093"/>
    <hyperlink r:id="rId758" ref="A1094"/>
    <hyperlink r:id="rId759" ref="A1095"/>
    <hyperlink r:id="rId760" ref="A1096"/>
    <hyperlink r:id="rId761" ref="A1097"/>
    <hyperlink r:id="rId762" ref="A1098"/>
    <hyperlink r:id="rId763" ref="A1099"/>
    <hyperlink r:id="rId764" ref="A1100"/>
    <hyperlink r:id="rId765" ref="A1101"/>
    <hyperlink r:id="rId766" ref="A1102"/>
    <hyperlink r:id="rId767" ref="A1103"/>
    <hyperlink r:id="rId768" ref="A1104"/>
    <hyperlink r:id="rId769" ref="A1105"/>
    <hyperlink r:id="rId770" ref="A1106"/>
    <hyperlink r:id="rId771" ref="A1107"/>
    <hyperlink r:id="rId772" ref="A1108"/>
    <hyperlink r:id="rId773" ref="A1109"/>
    <hyperlink r:id="rId774" ref="A1110"/>
    <hyperlink r:id="rId775" ref="A1111"/>
    <hyperlink r:id="rId776" ref="A1112"/>
    <hyperlink r:id="rId777" ref="A1113"/>
    <hyperlink r:id="rId778" ref="A1114"/>
    <hyperlink r:id="rId779" ref="A1115"/>
    <hyperlink r:id="rId780" ref="A1116"/>
    <hyperlink r:id="rId781" ref="A1117"/>
    <hyperlink r:id="rId782" ref="A1118"/>
    <hyperlink r:id="rId783" ref="A1119"/>
    <hyperlink r:id="rId784" ref="A1120"/>
    <hyperlink r:id="rId785" ref="A1121"/>
    <hyperlink r:id="rId786" ref="A1122"/>
    <hyperlink r:id="rId787" ref="A1123"/>
    <hyperlink r:id="rId788" ref="A1124"/>
    <hyperlink r:id="rId789" ref="A1125"/>
    <hyperlink r:id="rId790" ref="A1126"/>
    <hyperlink r:id="rId791" ref="A1127"/>
    <hyperlink r:id="rId792" ref="A1128"/>
    <hyperlink r:id="rId793" ref="A1129"/>
    <hyperlink r:id="rId794" ref="A1130"/>
    <hyperlink r:id="rId795" ref="A1131"/>
    <hyperlink r:id="rId796" ref="A1132"/>
    <hyperlink r:id="rId797" ref="A1133"/>
    <hyperlink r:id="rId798" ref="A1134"/>
    <hyperlink r:id="rId799" ref="A1135"/>
    <hyperlink r:id="rId800" ref="A1136"/>
    <hyperlink r:id="rId801" ref="A1137"/>
    <hyperlink r:id="rId802" ref="A1138"/>
    <hyperlink r:id="rId803" ref="A1139"/>
    <hyperlink r:id="rId804" ref="A1140"/>
    <hyperlink r:id="rId805" ref="A1141"/>
    <hyperlink r:id="rId806" ref="A1142"/>
    <hyperlink r:id="rId807" ref="A1143"/>
    <hyperlink r:id="rId808" ref="A1144"/>
    <hyperlink r:id="rId809" ref="A1145"/>
    <hyperlink r:id="rId810" ref="A1146"/>
    <hyperlink r:id="rId811" ref="A1147"/>
    <hyperlink r:id="rId812" ref="A1148"/>
    <hyperlink r:id="rId813" ref="A1149"/>
    <hyperlink r:id="rId814" ref="A1150"/>
    <hyperlink r:id="rId815" ref="A1151"/>
    <hyperlink r:id="rId816" ref="A1152"/>
    <hyperlink r:id="rId817" ref="A1153"/>
    <hyperlink r:id="rId818" ref="A1154"/>
    <hyperlink r:id="rId819" ref="A1155"/>
    <hyperlink r:id="rId820" ref="A1156"/>
    <hyperlink r:id="rId821" ref="A1157"/>
    <hyperlink r:id="rId822" ref="A1158"/>
    <hyperlink r:id="rId823" ref="A1159"/>
    <hyperlink r:id="rId824" ref="A1160"/>
    <hyperlink r:id="rId825" ref="A1161"/>
    <hyperlink r:id="rId826" ref="A1162"/>
    <hyperlink r:id="rId827" ref="A1163"/>
    <hyperlink r:id="rId828" ref="A1164"/>
    <hyperlink r:id="rId829" ref="A1165"/>
    <hyperlink r:id="rId830" ref="A1166"/>
    <hyperlink r:id="rId831" ref="A1167"/>
    <hyperlink r:id="rId832" ref="A1168"/>
    <hyperlink r:id="rId833" ref="A1169"/>
    <hyperlink r:id="rId834" ref="A1170"/>
    <hyperlink r:id="rId835" ref="A1171"/>
    <hyperlink r:id="rId836" ref="A1174"/>
    <hyperlink r:id="rId837" ref="A1175"/>
    <hyperlink r:id="rId838" ref="A1176"/>
    <hyperlink r:id="rId839" ref="A1177"/>
    <hyperlink r:id="rId840" ref="A1178"/>
    <hyperlink r:id="rId841" ref="A1179"/>
    <hyperlink r:id="rId842" ref="A1180"/>
    <hyperlink r:id="rId843" ref="A1181"/>
    <hyperlink r:id="rId844" ref="A1182"/>
    <hyperlink r:id="rId845" ref="A1184"/>
    <hyperlink r:id="rId846" ref="A1185"/>
    <hyperlink r:id="rId847" ref="A1186"/>
    <hyperlink r:id="rId848" ref="A1187"/>
    <hyperlink r:id="rId849" ref="A1188"/>
    <hyperlink r:id="rId850" ref="A1189"/>
    <hyperlink r:id="rId851" ref="A1190"/>
    <hyperlink r:id="rId852" ref="A1191"/>
    <hyperlink r:id="rId853" ref="A1192"/>
    <hyperlink r:id="rId854" ref="A1193"/>
    <hyperlink r:id="rId855" ref="A1194"/>
    <hyperlink r:id="rId856" ref="A1195"/>
    <hyperlink r:id="rId857" ref="A1196"/>
    <hyperlink r:id="rId858" ref="A1197"/>
    <hyperlink r:id="rId859" ref="A1198"/>
    <hyperlink r:id="rId860" ref="A1199"/>
    <hyperlink r:id="rId861" ref="A1200"/>
    <hyperlink r:id="rId862" ref="A1201"/>
    <hyperlink r:id="rId863" ref="A1202"/>
    <hyperlink r:id="rId864" ref="A1203"/>
    <hyperlink r:id="rId865" ref="A1204"/>
    <hyperlink r:id="rId866" ref="A1205"/>
    <hyperlink r:id="rId867" ref="A1206"/>
    <hyperlink r:id="rId868" ref="A1207"/>
    <hyperlink r:id="rId869" ref="A1208"/>
    <hyperlink r:id="rId870" ref="A1209"/>
    <hyperlink r:id="rId871" ref="A1210"/>
    <hyperlink r:id="rId872" ref="A1211"/>
    <hyperlink r:id="rId873" ref="A1212"/>
    <hyperlink r:id="rId874" ref="A1213"/>
    <hyperlink r:id="rId875" ref="A1214"/>
    <hyperlink r:id="rId876" ref="A1215"/>
    <hyperlink r:id="rId877" ref="A1216"/>
    <hyperlink r:id="rId878" ref="A1217"/>
    <hyperlink r:id="rId879" ref="A1218"/>
    <hyperlink r:id="rId880" ref="A1219"/>
    <hyperlink r:id="rId881" ref="A1220"/>
    <hyperlink r:id="rId882" ref="A1221"/>
    <hyperlink r:id="rId883" ref="A1222"/>
    <hyperlink r:id="rId884" ref="A1223"/>
    <hyperlink r:id="rId885" ref="A1224"/>
    <hyperlink r:id="rId886" ref="A1225"/>
    <hyperlink r:id="rId887" ref="A1226"/>
    <hyperlink r:id="rId888" ref="A1227"/>
    <hyperlink r:id="rId889" ref="A1228"/>
    <hyperlink r:id="rId890" ref="A1229"/>
    <hyperlink r:id="rId891" ref="A1230"/>
    <hyperlink r:id="rId892" ref="A1231"/>
    <hyperlink r:id="rId893" ref="A1232"/>
    <hyperlink r:id="rId894" ref="A1233"/>
    <hyperlink r:id="rId895" ref="A1234"/>
    <hyperlink r:id="rId896" ref="A1235"/>
    <hyperlink r:id="rId897" ref="A1236"/>
    <hyperlink r:id="rId898" ref="A1237"/>
    <hyperlink r:id="rId899" ref="A1238"/>
    <hyperlink r:id="rId900" ref="A1239"/>
    <hyperlink r:id="rId901" ref="A1240"/>
    <hyperlink r:id="rId902" ref="A1241"/>
    <hyperlink r:id="rId903" ref="A1242"/>
    <hyperlink r:id="rId904" ref="A1243"/>
    <hyperlink r:id="rId905" ref="A1244"/>
    <hyperlink r:id="rId906" ref="A1245"/>
    <hyperlink r:id="rId907" ref="A1246"/>
    <hyperlink r:id="rId908" ref="A1247"/>
    <hyperlink r:id="rId909" ref="A1248"/>
    <hyperlink r:id="rId910" ref="A1249"/>
    <hyperlink r:id="rId911" ref="A1250"/>
    <hyperlink r:id="rId912" ref="A1251"/>
    <hyperlink r:id="rId913" ref="A1252"/>
    <hyperlink r:id="rId914" ref="A1253"/>
    <hyperlink r:id="rId915" ref="A1254"/>
    <hyperlink r:id="rId916" ref="A1255"/>
    <hyperlink r:id="rId917" ref="A1256"/>
    <hyperlink r:id="rId918" ref="A1257"/>
    <hyperlink r:id="rId919" ref="A1258"/>
    <hyperlink r:id="rId920" ref="A1259"/>
    <hyperlink r:id="rId921" ref="A1260"/>
    <hyperlink r:id="rId922" ref="A1261"/>
    <hyperlink r:id="rId923" ref="A1262"/>
    <hyperlink r:id="rId924" ref="A1263"/>
    <hyperlink r:id="rId925" ref="A1264"/>
    <hyperlink r:id="rId926" ref="A1265"/>
    <hyperlink r:id="rId927" ref="A1266"/>
    <hyperlink r:id="rId928" ref="A1267"/>
    <hyperlink r:id="rId929" ref="A1268"/>
    <hyperlink r:id="rId930" ref="A1269"/>
    <hyperlink r:id="rId931" ref="A1270"/>
    <hyperlink r:id="rId932" ref="A1271"/>
    <hyperlink r:id="rId933" ref="A1272"/>
    <hyperlink r:id="rId934" ref="A1273"/>
    <hyperlink r:id="rId935" ref="A1274"/>
    <hyperlink r:id="rId936" ref="A1275"/>
    <hyperlink r:id="rId937" ref="A1276"/>
    <hyperlink r:id="rId938" ref="A1277"/>
    <hyperlink r:id="rId939" ref="A1278"/>
    <hyperlink r:id="rId940" ref="A1279"/>
    <hyperlink r:id="rId941" ref="A1280"/>
    <hyperlink r:id="rId942" ref="A1281"/>
    <hyperlink r:id="rId943" ref="A1282"/>
    <hyperlink r:id="rId944" ref="A1283"/>
    <hyperlink r:id="rId945" ref="A1284"/>
    <hyperlink r:id="rId946" ref="A1285"/>
    <hyperlink r:id="rId947" ref="A1286"/>
    <hyperlink r:id="rId948" ref="A1287"/>
    <hyperlink r:id="rId949" ref="A1288"/>
    <hyperlink r:id="rId950" ref="A1289"/>
    <hyperlink r:id="rId951" ref="A1290"/>
    <hyperlink r:id="rId952" ref="A1291"/>
    <hyperlink r:id="rId953" ref="A1292"/>
    <hyperlink r:id="rId954" ref="A1293"/>
    <hyperlink r:id="rId955" ref="A1294"/>
    <hyperlink r:id="rId956" ref="A1295"/>
    <hyperlink r:id="rId957" ref="A1296"/>
    <hyperlink r:id="rId958" ref="A1297"/>
    <hyperlink r:id="rId959" ref="A1298"/>
    <hyperlink r:id="rId960" ref="A1299"/>
    <hyperlink r:id="rId961" ref="A1300"/>
    <hyperlink r:id="rId962" ref="A1301"/>
    <hyperlink r:id="rId963" ref="A1302"/>
    <hyperlink r:id="rId964" ref="A1303"/>
    <hyperlink r:id="rId965" ref="A1304"/>
    <hyperlink r:id="rId966" ref="A1305"/>
    <hyperlink r:id="rId967" ref="A1306"/>
    <hyperlink r:id="rId968" ref="A1307"/>
    <hyperlink r:id="rId969" ref="A1308"/>
    <hyperlink r:id="rId970" ref="A1309"/>
    <hyperlink r:id="rId971" ref="A1310"/>
    <hyperlink r:id="rId972" ref="A1311"/>
    <hyperlink r:id="rId973" ref="A1312"/>
    <hyperlink r:id="rId974" ref="A1313"/>
    <hyperlink r:id="rId975" ref="A1314"/>
    <hyperlink r:id="rId976" ref="A1315"/>
    <hyperlink r:id="rId977" ref="A1316"/>
    <hyperlink r:id="rId978" ref="A1317"/>
    <hyperlink r:id="rId979" ref="A1318"/>
    <hyperlink r:id="rId980" ref="A1319"/>
    <hyperlink r:id="rId981" ref="A1320"/>
    <hyperlink r:id="rId982" ref="A1321"/>
    <hyperlink r:id="rId983" ref="A1322"/>
    <hyperlink r:id="rId984" ref="A1323"/>
    <hyperlink r:id="rId985" ref="A1324"/>
    <hyperlink r:id="rId986" ref="A1325"/>
    <hyperlink r:id="rId987" ref="A1326"/>
    <hyperlink r:id="rId988" ref="A1327"/>
    <hyperlink r:id="rId989" ref="A1328"/>
    <hyperlink r:id="rId990" ref="A1329"/>
    <hyperlink r:id="rId991" ref="A1330"/>
    <hyperlink r:id="rId992" ref="A1331"/>
    <hyperlink r:id="rId993" ref="A1332"/>
    <hyperlink r:id="rId994" ref="A1333"/>
    <hyperlink r:id="rId995" ref="A1334"/>
    <hyperlink r:id="rId996" ref="A1335"/>
    <hyperlink r:id="rId997" ref="A1336"/>
    <hyperlink r:id="rId998" ref="A1337"/>
    <hyperlink r:id="rId999" ref="A1338"/>
    <hyperlink r:id="rId1000" ref="A1339"/>
    <hyperlink r:id="rId1001" ref="A1340"/>
    <hyperlink r:id="rId1002" ref="A1341"/>
    <hyperlink r:id="rId1003" ref="A1342"/>
    <hyperlink r:id="rId1004" ref="A1343"/>
    <hyperlink r:id="rId1005" ref="A1344"/>
    <hyperlink r:id="rId1006" ref="A1345"/>
    <hyperlink r:id="rId1007" ref="A1347"/>
    <hyperlink r:id="rId1008" ref="A1358"/>
    <hyperlink r:id="rId1009" ref="A1360"/>
    <hyperlink r:id="rId1010" ref="A1361"/>
    <hyperlink r:id="rId1011" ref="A1362"/>
    <hyperlink r:id="rId1012" ref="A1363"/>
    <hyperlink r:id="rId1013" ref="A1364"/>
    <hyperlink r:id="rId1014" ref="A1366"/>
    <hyperlink r:id="rId1015" ref="A1367"/>
    <hyperlink r:id="rId1016" ref="A1368"/>
    <hyperlink r:id="rId1017" ref="A1369"/>
    <hyperlink r:id="rId1018" ref="A1370"/>
    <hyperlink r:id="rId1019" ref="A1371"/>
    <hyperlink r:id="rId1020" ref="A1372"/>
    <hyperlink r:id="rId1021" ref="A1374"/>
    <hyperlink r:id="rId1022" ref="A1378"/>
    <hyperlink r:id="rId1023" ref="A1380"/>
    <hyperlink r:id="rId1024" ref="A1381"/>
    <hyperlink r:id="rId1025" ref="A1382"/>
    <hyperlink r:id="rId1026" ref="A1383"/>
    <hyperlink r:id="rId1027" ref="A1384"/>
    <hyperlink r:id="rId1028" ref="A1385"/>
    <hyperlink r:id="rId1029" ref="A1386"/>
    <hyperlink r:id="rId1030" ref="A1387"/>
    <hyperlink r:id="rId1031" ref="A1388"/>
    <hyperlink r:id="rId1032" ref="A1389"/>
    <hyperlink r:id="rId1033" ref="A1394"/>
    <hyperlink r:id="rId1034" ref="A1396"/>
    <hyperlink r:id="rId1035" ref="A1398"/>
    <hyperlink r:id="rId1036" ref="A1400"/>
    <hyperlink r:id="rId1037" ref="A1401"/>
    <hyperlink r:id="rId1038" ref="A1402"/>
    <hyperlink r:id="rId1039" ref="A1404"/>
    <hyperlink r:id="rId1040" ref="A1405"/>
    <hyperlink r:id="rId1041" ref="A1407"/>
    <hyperlink r:id="rId1042" ref="A1409"/>
    <hyperlink r:id="rId1043" ref="A1411"/>
    <hyperlink r:id="rId1044" ref="A1414"/>
    <hyperlink r:id="rId1045" ref="A1417"/>
    <hyperlink r:id="rId1046" ref="A1420"/>
    <hyperlink r:id="rId1047" ref="A1421"/>
    <hyperlink r:id="rId1048" ref="A1422"/>
    <hyperlink r:id="rId1049" ref="A1423"/>
    <hyperlink r:id="rId1050" ref="A1424"/>
    <hyperlink r:id="rId1051" ref="A1425"/>
    <hyperlink r:id="rId1052" ref="A1426"/>
    <hyperlink r:id="rId1053" ref="A1427"/>
    <hyperlink r:id="rId1054" ref="A1428"/>
    <hyperlink r:id="rId1055" ref="A1429"/>
    <hyperlink r:id="rId1056" ref="A1430"/>
    <hyperlink r:id="rId1057" ref="A1431"/>
    <hyperlink r:id="rId1058" ref="A1432"/>
    <hyperlink r:id="rId1059" ref="A1433"/>
    <hyperlink r:id="rId1060" ref="A1434"/>
    <hyperlink r:id="rId1061" ref="A1435"/>
    <hyperlink r:id="rId1062" ref="A1436"/>
    <hyperlink r:id="rId1063" ref="A1437"/>
    <hyperlink r:id="rId1064" ref="A1440"/>
    <hyperlink r:id="rId1065" ref="A1441"/>
    <hyperlink r:id="rId1066" ref="A1442"/>
    <hyperlink r:id="rId1067" ref="A1443"/>
    <hyperlink r:id="rId1068" ref="A1444"/>
    <hyperlink r:id="rId1069" ref="A1445"/>
    <hyperlink r:id="rId1070" ref="A1446"/>
    <hyperlink r:id="rId1071" ref="A1447"/>
    <hyperlink r:id="rId1072" ref="A1448"/>
    <hyperlink r:id="rId1073" ref="A1449"/>
    <hyperlink r:id="rId1074" ref="A1450"/>
    <hyperlink r:id="rId1075" ref="A1451"/>
    <hyperlink r:id="rId1076" ref="A1452"/>
    <hyperlink r:id="rId1077" ref="A1453"/>
    <hyperlink r:id="rId1078" ref="A1456"/>
    <hyperlink r:id="rId1079" ref="A1457"/>
    <hyperlink r:id="rId1080" ref="A1458"/>
    <hyperlink r:id="rId1081" ref="A1460"/>
    <hyperlink r:id="rId1082" ref="A1461"/>
    <hyperlink r:id="rId1083" ref="A1462"/>
    <hyperlink r:id="rId1084" ref="A1464"/>
    <hyperlink r:id="rId1085" ref="A1465"/>
    <hyperlink r:id="rId1086" ref="A1467"/>
    <hyperlink r:id="rId1087" ref="A1468"/>
    <hyperlink r:id="rId1088" ref="A1469"/>
    <hyperlink r:id="rId1089" ref="A1470"/>
    <hyperlink r:id="rId1090" ref="A1471"/>
    <hyperlink r:id="rId1091" ref="A1472"/>
    <hyperlink r:id="rId1092" ref="A1473"/>
    <hyperlink r:id="rId1093" ref="A1474"/>
    <hyperlink r:id="rId1094" ref="A1475"/>
    <hyperlink r:id="rId1095" ref="A1476"/>
    <hyperlink r:id="rId1096" ref="A1477"/>
    <hyperlink r:id="rId1097" ref="A1478"/>
    <hyperlink r:id="rId1098" ref="A1479"/>
    <hyperlink r:id="rId1099" ref="A1480"/>
    <hyperlink r:id="rId1100" ref="A1481"/>
    <hyperlink r:id="rId1101" ref="A1482"/>
    <hyperlink r:id="rId1102" ref="A1483"/>
    <hyperlink r:id="rId1103" ref="A1487"/>
    <hyperlink r:id="rId1104" ref="A1488"/>
    <hyperlink r:id="rId1105" ref="A1489"/>
    <hyperlink r:id="rId1106" ref="A1492"/>
    <hyperlink r:id="rId1107" ref="A1493"/>
    <hyperlink r:id="rId1108" ref="A1494"/>
    <hyperlink r:id="rId1109" ref="A1495"/>
    <hyperlink r:id="rId1110" ref="A1496"/>
    <hyperlink r:id="rId1111" ref="A1497"/>
    <hyperlink r:id="rId1112" ref="A1498"/>
    <hyperlink r:id="rId1113" ref="A1499"/>
    <hyperlink r:id="rId1114" ref="A1501"/>
    <hyperlink r:id="rId1115" ref="A1502"/>
    <hyperlink r:id="rId1116" ref="A1503"/>
    <hyperlink r:id="rId1117" ref="A1504"/>
    <hyperlink r:id="rId1118" ref="A1505"/>
    <hyperlink r:id="rId1119" ref="A1507"/>
    <hyperlink r:id="rId1120" ref="A1508"/>
    <hyperlink r:id="rId1121" ref="A1513"/>
    <hyperlink r:id="rId1122" ref="A1514"/>
    <hyperlink r:id="rId1123" ref="A1515"/>
    <hyperlink r:id="rId1124" ref="A1516"/>
    <hyperlink r:id="rId1125" ref="A1517"/>
    <hyperlink r:id="rId1126" ref="A1518"/>
    <hyperlink r:id="rId1127" ref="A1519"/>
    <hyperlink r:id="rId1128" ref="A1520"/>
    <hyperlink r:id="rId1129" ref="A1521"/>
    <hyperlink r:id="rId1130" ref="A1522"/>
    <hyperlink r:id="rId1131" ref="A1523"/>
    <hyperlink r:id="rId1132" ref="A1524"/>
    <hyperlink r:id="rId1133" ref="A1525"/>
    <hyperlink r:id="rId1134" ref="A1526"/>
    <hyperlink r:id="rId1135" ref="A1528"/>
    <hyperlink r:id="rId1136" ref="A1529"/>
    <hyperlink r:id="rId1137" ref="A1530"/>
    <hyperlink r:id="rId1138" ref="A1531"/>
    <hyperlink r:id="rId1139" ref="A1532"/>
    <hyperlink r:id="rId1140" ref="A1533"/>
    <hyperlink r:id="rId1141" ref="A1534"/>
    <hyperlink r:id="rId1142" ref="A1535"/>
    <hyperlink r:id="rId1143" ref="A1536"/>
    <hyperlink r:id="rId1144" ref="A1537"/>
    <hyperlink r:id="rId1145" ref="A1538"/>
    <hyperlink r:id="rId1146" ref="A1539"/>
    <hyperlink r:id="rId1147" ref="A1540"/>
    <hyperlink r:id="rId1148" ref="A1541"/>
    <hyperlink r:id="rId1149" ref="A1542"/>
    <hyperlink r:id="rId1150" ref="A1543"/>
    <hyperlink r:id="rId1151" ref="A1544"/>
    <hyperlink r:id="rId1152" ref="A1545"/>
    <hyperlink r:id="rId1153" ref="A1546"/>
    <hyperlink r:id="rId1154" ref="A1548"/>
    <hyperlink r:id="rId1155" ref="A1550"/>
    <hyperlink r:id="rId1156" ref="A1551"/>
    <hyperlink r:id="rId1157" ref="A1552"/>
    <hyperlink r:id="rId1158" ref="A1553"/>
    <hyperlink r:id="rId1159" ref="A1554"/>
    <hyperlink r:id="rId1160" ref="A1557"/>
    <hyperlink r:id="rId1161" ref="A1558"/>
    <hyperlink r:id="rId1162" ref="A1559"/>
    <hyperlink r:id="rId1163" ref="A1561"/>
    <hyperlink r:id="rId1164" ref="A1562"/>
    <hyperlink r:id="rId1165" ref="A1563"/>
    <hyperlink r:id="rId1166" ref="A1569"/>
    <hyperlink r:id="rId1167" ref="A1573"/>
    <hyperlink r:id="rId1168" ref="A1574"/>
    <hyperlink r:id="rId1169" ref="A1575"/>
    <hyperlink r:id="rId1170" ref="A1576"/>
    <hyperlink r:id="rId1171" ref="A1577"/>
    <hyperlink r:id="rId1172" ref="A1579"/>
    <hyperlink r:id="rId1173" ref="A1580"/>
    <hyperlink r:id="rId1174" ref="A1581"/>
    <hyperlink r:id="rId1175" ref="A1582"/>
    <hyperlink r:id="rId1176" ref="A1583"/>
    <hyperlink r:id="rId1177" ref="A1584"/>
    <hyperlink r:id="rId1178" ref="A1585"/>
    <hyperlink r:id="rId1179" ref="A1586"/>
    <hyperlink r:id="rId1180" ref="A1587"/>
    <hyperlink r:id="rId1181" ref="A1588"/>
    <hyperlink r:id="rId1182" ref="A1589"/>
    <hyperlink r:id="rId1183" ref="A1590"/>
    <hyperlink r:id="rId1184" ref="A1591"/>
    <hyperlink r:id="rId1185" ref="A1592"/>
    <hyperlink r:id="rId1186" ref="A1593"/>
    <hyperlink r:id="rId1187" ref="A1594"/>
    <hyperlink r:id="rId1188" ref="A1595"/>
    <hyperlink r:id="rId1189" ref="A1596"/>
    <hyperlink r:id="rId1190" ref="A1597"/>
    <hyperlink r:id="rId1191" ref="A1600"/>
    <hyperlink r:id="rId1192" ref="A1601"/>
    <hyperlink r:id="rId1193" ref="A1605"/>
    <hyperlink r:id="rId1194" ref="A1652"/>
    <hyperlink r:id="rId1195" ref="A1653"/>
    <hyperlink r:id="rId1196" ref="A1654"/>
    <hyperlink r:id="rId1197" ref="A1658"/>
    <hyperlink r:id="rId1198" ref="A1659"/>
    <hyperlink r:id="rId1199" ref="A1700"/>
    <hyperlink r:id="rId1200" ref="A1701"/>
    <hyperlink r:id="rId1201" ref="A1754"/>
    <hyperlink r:id="rId1202" ref="A1848"/>
    <hyperlink r:id="rId1203" ref="A1849"/>
    <hyperlink r:id="rId1204" ref="A1850"/>
    <hyperlink r:id="rId1205" ref="A1851"/>
    <hyperlink r:id="rId1206" ref="A1852"/>
    <hyperlink r:id="rId1207" ref="A1853"/>
    <hyperlink r:id="rId1208" ref="A1854"/>
    <hyperlink r:id="rId1209" ref="A1855"/>
  </hyperlinks>
  <drawing r:id="rId12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6.57"/>
    <col customWidth="1" min="2" max="2" width="97.14"/>
    <col customWidth="1" min="3" max="3" width="11.71"/>
    <col customWidth="1" min="4" max="4" width="12.57"/>
    <col customWidth="1" min="5" max="5" width="13.0"/>
    <col customWidth="1" min="6" max="6" width="11.43"/>
    <col customWidth="1" min="7" max="7" width="11.29"/>
    <col customWidth="1" min="8" max="8" width="18.14"/>
    <col customWidth="1" min="9" max="9" width="15.57"/>
    <col customWidth="1" min="11" max="11" width="20.29"/>
  </cols>
  <sheetData>
    <row r="1">
      <c r="A1" s="6"/>
      <c r="B1" s="6" t="s">
        <v>181</v>
      </c>
      <c r="C1" s="6"/>
      <c r="D1" s="6"/>
      <c r="E1" s="6"/>
      <c r="F1" s="6"/>
      <c r="G1" s="6"/>
      <c r="H1" s="6"/>
      <c r="I1" s="6"/>
      <c r="J1" s="6"/>
      <c r="K1" s="22">
        <v>43333.676770833335</v>
      </c>
    </row>
    <row r="2">
      <c r="A2" s="45" t="s">
        <v>183</v>
      </c>
      <c r="B2" s="45" t="s">
        <v>34</v>
      </c>
      <c r="C2" s="45" t="s">
        <v>187</v>
      </c>
      <c r="D2" s="45" t="s">
        <v>188</v>
      </c>
      <c r="E2" s="45" t="s">
        <v>45</v>
      </c>
      <c r="F2" s="45" t="s">
        <v>190</v>
      </c>
      <c r="G2" s="45" t="s">
        <v>48</v>
      </c>
      <c r="H2" s="45" t="s">
        <v>192</v>
      </c>
      <c r="I2" s="45" t="s">
        <v>193</v>
      </c>
      <c r="J2" s="45" t="s">
        <v>194</v>
      </c>
      <c r="K2" s="46">
        <v>43301.86131944445</v>
      </c>
      <c r="L2" s="47"/>
      <c r="M2" s="47"/>
      <c r="N2" s="47"/>
      <c r="O2" s="47"/>
      <c r="P2" s="47"/>
      <c r="Q2" s="47"/>
      <c r="R2" s="47"/>
      <c r="S2" s="47"/>
      <c r="T2" s="47"/>
      <c r="U2" s="47"/>
      <c r="V2" s="47"/>
      <c r="W2" s="47"/>
      <c r="X2" s="47"/>
      <c r="Y2" s="47"/>
      <c r="Z2" s="47"/>
    </row>
    <row r="3">
      <c r="A3" s="48" t="s">
        <v>200</v>
      </c>
      <c r="B3" s="49" t="s">
        <v>202</v>
      </c>
      <c r="C3" s="49" t="s">
        <v>203</v>
      </c>
      <c r="D3" s="49" t="s">
        <v>166</v>
      </c>
      <c r="E3" s="49" t="s">
        <v>204</v>
      </c>
      <c r="F3" s="50" t="s">
        <v>92</v>
      </c>
      <c r="G3" s="50" t="s">
        <v>92</v>
      </c>
      <c r="H3" s="51">
        <v>43073.85486111111</v>
      </c>
      <c r="I3" s="52">
        <v>0.0</v>
      </c>
      <c r="J3" s="53"/>
      <c r="K3" s="53"/>
    </row>
    <row r="4">
      <c r="A4" s="48" t="s">
        <v>217</v>
      </c>
      <c r="B4" s="49" t="s">
        <v>218</v>
      </c>
      <c r="C4" s="49" t="s">
        <v>203</v>
      </c>
      <c r="D4" s="49" t="s">
        <v>166</v>
      </c>
      <c r="E4" s="49" t="s">
        <v>204</v>
      </c>
      <c r="F4" s="50" t="s">
        <v>92</v>
      </c>
      <c r="G4" s="50" t="s">
        <v>92</v>
      </c>
      <c r="H4" s="51">
        <v>43313.58541666667</v>
      </c>
      <c r="I4" s="52">
        <v>0.0</v>
      </c>
      <c r="J4" s="53"/>
      <c r="K4" s="53"/>
    </row>
    <row r="5">
      <c r="A5" s="48" t="s">
        <v>219</v>
      </c>
      <c r="B5" s="49" t="s">
        <v>220</v>
      </c>
      <c r="C5" s="49" t="s">
        <v>221</v>
      </c>
      <c r="D5" s="49" t="s">
        <v>166</v>
      </c>
      <c r="E5" s="49" t="s">
        <v>204</v>
      </c>
      <c r="F5" s="50" t="s">
        <v>92</v>
      </c>
      <c r="G5" s="50" t="s">
        <v>92</v>
      </c>
      <c r="H5" s="51">
        <v>43313.58541666667</v>
      </c>
      <c r="I5" s="52">
        <v>0.0</v>
      </c>
      <c r="J5" s="53"/>
      <c r="K5" s="53"/>
    </row>
    <row r="6">
      <c r="A6" s="48" t="s">
        <v>226</v>
      </c>
      <c r="B6" s="49" t="s">
        <v>227</v>
      </c>
      <c r="C6" s="49" t="s">
        <v>203</v>
      </c>
      <c r="D6" s="49" t="s">
        <v>166</v>
      </c>
      <c r="E6" s="49" t="s">
        <v>204</v>
      </c>
      <c r="F6" s="50" t="s">
        <v>92</v>
      </c>
      <c r="G6" s="50" t="s">
        <v>92</v>
      </c>
      <c r="H6" s="51">
        <v>43313.58541666667</v>
      </c>
      <c r="I6" s="52">
        <v>0.0</v>
      </c>
      <c r="J6" s="53"/>
      <c r="K6" s="53"/>
    </row>
    <row r="7">
      <c r="A7" s="48" t="s">
        <v>230</v>
      </c>
      <c r="B7" s="49" t="s">
        <v>231</v>
      </c>
      <c r="C7" s="49" t="s">
        <v>203</v>
      </c>
      <c r="D7" s="49" t="s">
        <v>166</v>
      </c>
      <c r="E7" s="49" t="s">
        <v>204</v>
      </c>
      <c r="F7" s="50" t="s">
        <v>92</v>
      </c>
      <c r="G7" s="50" t="s">
        <v>92</v>
      </c>
      <c r="H7" s="51">
        <v>43313.58541666667</v>
      </c>
      <c r="I7" s="52">
        <v>0.0</v>
      </c>
      <c r="J7" s="53"/>
      <c r="K7" s="53"/>
    </row>
    <row r="8" ht="17.25" customHeight="1">
      <c r="A8" s="48" t="s">
        <v>234</v>
      </c>
      <c r="B8" s="49" t="s">
        <v>235</v>
      </c>
      <c r="C8" s="49" t="s">
        <v>203</v>
      </c>
      <c r="D8" s="49" t="s">
        <v>166</v>
      </c>
      <c r="E8" s="49" t="s">
        <v>204</v>
      </c>
      <c r="F8" s="50" t="s">
        <v>92</v>
      </c>
      <c r="G8" s="50" t="s">
        <v>92</v>
      </c>
      <c r="H8" s="51">
        <v>43073.85486111111</v>
      </c>
      <c r="I8" s="52">
        <v>0.0</v>
      </c>
      <c r="J8" s="53"/>
      <c r="K8" s="53"/>
    </row>
    <row r="9">
      <c r="A9" s="48" t="s">
        <v>236</v>
      </c>
      <c r="B9" s="49" t="s">
        <v>237</v>
      </c>
      <c r="C9" s="49" t="s">
        <v>238</v>
      </c>
      <c r="D9" s="49" t="s">
        <v>166</v>
      </c>
      <c r="E9" s="49" t="s">
        <v>204</v>
      </c>
      <c r="F9" s="50" t="s">
        <v>92</v>
      </c>
      <c r="G9" s="50" t="s">
        <v>92</v>
      </c>
      <c r="H9" s="51">
        <v>42963.46041666667</v>
      </c>
      <c r="I9" s="52">
        <v>0.0</v>
      </c>
      <c r="J9" s="53"/>
      <c r="K9" s="53"/>
    </row>
    <row r="10">
      <c r="A10" s="48" t="s">
        <v>241</v>
      </c>
      <c r="B10" s="49" t="s">
        <v>242</v>
      </c>
      <c r="C10" s="49" t="s">
        <v>243</v>
      </c>
      <c r="D10" s="49" t="s">
        <v>148</v>
      </c>
      <c r="E10" s="49" t="s">
        <v>245</v>
      </c>
      <c r="F10" s="50">
        <v>43329.0</v>
      </c>
      <c r="G10" s="50">
        <v>43336.0</v>
      </c>
      <c r="H10" s="51">
        <v>43329.64236111111</v>
      </c>
      <c r="I10" s="52">
        <v>1.0</v>
      </c>
      <c r="J10" s="53"/>
      <c r="K10" s="53"/>
    </row>
    <row r="11">
      <c r="A11" s="48" t="s">
        <v>247</v>
      </c>
      <c r="B11" s="49" t="s">
        <v>248</v>
      </c>
      <c r="C11" s="49" t="s">
        <v>243</v>
      </c>
      <c r="D11" s="49" t="s">
        <v>148</v>
      </c>
      <c r="E11" s="49" t="s">
        <v>245</v>
      </c>
      <c r="F11" s="50">
        <v>43328.0</v>
      </c>
      <c r="G11" s="50">
        <v>43335.0</v>
      </c>
      <c r="H11" s="51">
        <v>43328.70972222222</v>
      </c>
      <c r="I11" s="52">
        <v>1.0</v>
      </c>
      <c r="J11" s="53"/>
      <c r="K11" s="53"/>
    </row>
    <row r="12">
      <c r="A12" s="48" t="s">
        <v>249</v>
      </c>
      <c r="B12" s="49" t="s">
        <v>250</v>
      </c>
      <c r="C12" s="49" t="s">
        <v>243</v>
      </c>
      <c r="D12" s="49" t="s">
        <v>148</v>
      </c>
      <c r="E12" s="49" t="s">
        <v>245</v>
      </c>
      <c r="F12" s="50">
        <v>43328.0</v>
      </c>
      <c r="G12" s="50">
        <v>43335.0</v>
      </c>
      <c r="H12" s="51">
        <v>43328.69861111111</v>
      </c>
      <c r="I12" s="52">
        <v>1.0</v>
      </c>
      <c r="J12" s="53"/>
      <c r="K12" s="53"/>
    </row>
    <row r="13">
      <c r="A13" s="48" t="s">
        <v>255</v>
      </c>
      <c r="B13" s="49" t="s">
        <v>256</v>
      </c>
      <c r="C13" s="49" t="s">
        <v>257</v>
      </c>
      <c r="D13" s="49" t="s">
        <v>153</v>
      </c>
      <c r="E13" s="49" t="s">
        <v>245</v>
      </c>
      <c r="F13" s="50">
        <v>43328.0</v>
      </c>
      <c r="G13" s="50">
        <v>43328.0</v>
      </c>
      <c r="H13" s="51">
        <v>43328.49791666667</v>
      </c>
      <c r="I13" s="52">
        <v>1.0</v>
      </c>
      <c r="J13" s="53"/>
      <c r="K13" s="53"/>
    </row>
    <row r="14">
      <c r="A14" s="48" t="s">
        <v>258</v>
      </c>
      <c r="B14" s="49" t="s">
        <v>259</v>
      </c>
      <c r="C14" s="49" t="s">
        <v>221</v>
      </c>
      <c r="D14" s="49" t="s">
        <v>153</v>
      </c>
      <c r="E14" s="49" t="s">
        <v>245</v>
      </c>
      <c r="F14" s="50">
        <v>43328.0</v>
      </c>
      <c r="G14" s="50">
        <v>43328.0</v>
      </c>
      <c r="H14" s="51">
        <v>43328.49791666667</v>
      </c>
      <c r="I14" s="52">
        <v>1.0</v>
      </c>
      <c r="J14" s="53"/>
      <c r="K14" s="53"/>
    </row>
    <row r="15">
      <c r="A15" s="48" t="s">
        <v>260</v>
      </c>
      <c r="B15" s="49" t="s">
        <v>261</v>
      </c>
      <c r="C15" s="49" t="s">
        <v>257</v>
      </c>
      <c r="D15" s="49" t="s">
        <v>153</v>
      </c>
      <c r="E15" s="49" t="s">
        <v>245</v>
      </c>
      <c r="F15" s="50">
        <v>43328.0</v>
      </c>
      <c r="G15" s="50">
        <v>43328.0</v>
      </c>
      <c r="H15" s="51">
        <v>43328.498611111114</v>
      </c>
      <c r="I15" s="52">
        <v>1.0</v>
      </c>
      <c r="J15" s="53"/>
      <c r="K15" s="53"/>
    </row>
    <row r="16">
      <c r="A16" s="48" t="s">
        <v>262</v>
      </c>
      <c r="B16" s="49" t="s">
        <v>263</v>
      </c>
      <c r="C16" s="49" t="s">
        <v>257</v>
      </c>
      <c r="D16" s="49" t="s">
        <v>153</v>
      </c>
      <c r="E16" s="49" t="s">
        <v>245</v>
      </c>
      <c r="F16" s="50">
        <v>43328.0</v>
      </c>
      <c r="G16" s="50">
        <v>43328.0</v>
      </c>
      <c r="H16" s="51">
        <v>43328.49791666667</v>
      </c>
      <c r="I16" s="52">
        <v>1.0</v>
      </c>
      <c r="J16" s="53"/>
      <c r="K16" s="53"/>
    </row>
    <row r="17">
      <c r="A17" s="48" t="s">
        <v>266</v>
      </c>
      <c r="B17" s="49" t="s">
        <v>267</v>
      </c>
      <c r="C17" s="49" t="s">
        <v>243</v>
      </c>
      <c r="D17" s="49" t="s">
        <v>148</v>
      </c>
      <c r="E17" s="49" t="s">
        <v>245</v>
      </c>
      <c r="F17" s="50">
        <v>43328.0</v>
      </c>
      <c r="G17" s="50">
        <v>43328.0</v>
      </c>
      <c r="H17" s="51">
        <v>43329.84305555555</v>
      </c>
      <c r="I17" s="52">
        <v>1.0</v>
      </c>
      <c r="J17" s="53"/>
      <c r="K17" s="53"/>
    </row>
    <row r="18">
      <c r="A18" s="48" t="s">
        <v>268</v>
      </c>
      <c r="B18" s="49" t="s">
        <v>270</v>
      </c>
      <c r="C18" s="49" t="s">
        <v>243</v>
      </c>
      <c r="D18" s="49" t="s">
        <v>148</v>
      </c>
      <c r="E18" s="49" t="s">
        <v>204</v>
      </c>
      <c r="F18" s="50">
        <v>43328.0</v>
      </c>
      <c r="G18" s="50">
        <v>43335.0</v>
      </c>
      <c r="H18" s="51">
        <v>43328.71944444445</v>
      </c>
      <c r="I18" s="52">
        <v>0.0</v>
      </c>
      <c r="J18" s="53"/>
      <c r="K18" s="53"/>
    </row>
    <row r="19">
      <c r="A19" s="48" t="s">
        <v>271</v>
      </c>
      <c r="B19" s="49" t="s">
        <v>272</v>
      </c>
      <c r="C19" s="49" t="s">
        <v>243</v>
      </c>
      <c r="D19" s="49" t="s">
        <v>148</v>
      </c>
      <c r="E19" s="49" t="s">
        <v>204</v>
      </c>
      <c r="F19" s="50">
        <v>43328.0</v>
      </c>
      <c r="G19" s="50">
        <v>43335.0</v>
      </c>
      <c r="H19" s="51">
        <v>43328.71944444445</v>
      </c>
      <c r="I19" s="52">
        <v>0.0</v>
      </c>
      <c r="J19" s="53"/>
      <c r="K19" s="53"/>
    </row>
    <row r="20">
      <c r="A20" s="48" t="s">
        <v>275</v>
      </c>
      <c r="B20" s="49" t="s">
        <v>276</v>
      </c>
      <c r="C20" s="49" t="s">
        <v>166</v>
      </c>
      <c r="D20" s="49" t="s">
        <v>140</v>
      </c>
      <c r="E20" s="49" t="s">
        <v>277</v>
      </c>
      <c r="F20" s="50">
        <v>43328.0</v>
      </c>
      <c r="G20" s="50">
        <v>43328.0</v>
      </c>
      <c r="H20" s="51">
        <v>43329.69027777778</v>
      </c>
      <c r="I20" s="52">
        <v>0.0</v>
      </c>
      <c r="J20" s="53"/>
      <c r="K20" s="53"/>
    </row>
    <row r="21">
      <c r="A21" s="48" t="s">
        <v>279</v>
      </c>
      <c r="B21" s="49" t="s">
        <v>280</v>
      </c>
      <c r="C21" s="49" t="s">
        <v>203</v>
      </c>
      <c r="D21" s="49" t="s">
        <v>120</v>
      </c>
      <c r="E21" s="49" t="s">
        <v>245</v>
      </c>
      <c r="F21" s="50">
        <v>43327.0</v>
      </c>
      <c r="G21" s="50">
        <v>43328.0</v>
      </c>
      <c r="H21" s="51">
        <v>43328.38263888889</v>
      </c>
      <c r="I21" s="52">
        <v>1.0</v>
      </c>
      <c r="J21" s="53"/>
      <c r="K21" s="53"/>
    </row>
    <row r="22">
      <c r="A22" s="48" t="s">
        <v>282</v>
      </c>
      <c r="B22" s="49" t="s">
        <v>284</v>
      </c>
      <c r="C22" s="49" t="s">
        <v>257</v>
      </c>
      <c r="D22" s="49" t="s">
        <v>153</v>
      </c>
      <c r="E22" s="49" t="s">
        <v>245</v>
      </c>
      <c r="F22" s="50">
        <v>43327.0</v>
      </c>
      <c r="G22" s="50">
        <v>43327.0</v>
      </c>
      <c r="H22" s="51">
        <v>43327.5875</v>
      </c>
      <c r="I22" s="52">
        <v>1.0</v>
      </c>
      <c r="J22" s="53"/>
      <c r="K22" s="53"/>
    </row>
    <row r="23">
      <c r="A23" s="48" t="s">
        <v>287</v>
      </c>
      <c r="B23" s="49" t="s">
        <v>288</v>
      </c>
      <c r="C23" s="49" t="s">
        <v>257</v>
      </c>
      <c r="D23" s="49" t="s">
        <v>153</v>
      </c>
      <c r="E23" s="49" t="s">
        <v>245</v>
      </c>
      <c r="F23" s="50">
        <v>43327.0</v>
      </c>
      <c r="G23" s="50">
        <v>43327.0</v>
      </c>
      <c r="H23" s="51">
        <v>43327.58819444444</v>
      </c>
      <c r="I23" s="52">
        <v>1.0</v>
      </c>
      <c r="J23" s="53"/>
      <c r="K23" s="53"/>
    </row>
    <row r="24">
      <c r="A24" s="48" t="s">
        <v>290</v>
      </c>
      <c r="B24" s="49" t="s">
        <v>291</v>
      </c>
      <c r="C24" s="49" t="s">
        <v>166</v>
      </c>
      <c r="D24" s="49" t="s">
        <v>140</v>
      </c>
      <c r="E24" s="49" t="s">
        <v>245</v>
      </c>
      <c r="F24" s="50">
        <v>43327.0</v>
      </c>
      <c r="G24" s="50">
        <v>43328.0</v>
      </c>
      <c r="H24" s="51">
        <v>43329.68819444445</v>
      </c>
      <c r="I24" s="52">
        <v>1.0</v>
      </c>
      <c r="J24" s="53"/>
      <c r="K24" s="53"/>
    </row>
    <row r="25">
      <c r="A25" s="48" t="s">
        <v>293</v>
      </c>
      <c r="B25" s="49" t="s">
        <v>294</v>
      </c>
      <c r="C25" s="49" t="s">
        <v>243</v>
      </c>
      <c r="D25" s="49" t="s">
        <v>148</v>
      </c>
      <c r="E25" s="49" t="s">
        <v>245</v>
      </c>
      <c r="F25" s="50">
        <v>43326.0</v>
      </c>
      <c r="G25" s="50">
        <v>43333.0</v>
      </c>
      <c r="H25" s="51">
        <v>43326.41527777778</v>
      </c>
      <c r="I25" s="52">
        <v>1.0</v>
      </c>
      <c r="J25" s="53"/>
      <c r="K25" s="53"/>
    </row>
    <row r="26">
      <c r="A26" s="48" t="s">
        <v>296</v>
      </c>
      <c r="B26" s="49" t="s">
        <v>297</v>
      </c>
      <c r="C26" s="49" t="s">
        <v>243</v>
      </c>
      <c r="D26" s="49" t="s">
        <v>148</v>
      </c>
      <c r="E26" s="49" t="s">
        <v>245</v>
      </c>
      <c r="F26" s="50">
        <v>43326.0</v>
      </c>
      <c r="G26" s="50">
        <v>43333.0</v>
      </c>
      <c r="H26" s="51">
        <v>43326.41527777778</v>
      </c>
      <c r="I26" s="52">
        <v>1.0</v>
      </c>
      <c r="J26" s="53"/>
      <c r="K26" s="53"/>
    </row>
    <row r="27">
      <c r="A27" s="48" t="s">
        <v>298</v>
      </c>
      <c r="B27" s="49" t="s">
        <v>299</v>
      </c>
      <c r="C27" s="49" t="s">
        <v>243</v>
      </c>
      <c r="D27" s="49" t="s">
        <v>148</v>
      </c>
      <c r="E27" s="49" t="s">
        <v>245</v>
      </c>
      <c r="F27" s="50">
        <v>43326.0</v>
      </c>
      <c r="G27" s="50">
        <v>43333.0</v>
      </c>
      <c r="H27" s="51">
        <v>43326.41736111111</v>
      </c>
      <c r="I27" s="52">
        <v>1.0</v>
      </c>
      <c r="J27" s="53"/>
      <c r="K27" s="53"/>
    </row>
    <row r="28">
      <c r="A28" s="48" t="s">
        <v>301</v>
      </c>
      <c r="B28" s="49" t="s">
        <v>302</v>
      </c>
      <c r="C28" s="49" t="s">
        <v>243</v>
      </c>
      <c r="D28" s="49" t="s">
        <v>148</v>
      </c>
      <c r="E28" s="49" t="s">
        <v>245</v>
      </c>
      <c r="F28" s="50">
        <v>43326.0</v>
      </c>
      <c r="G28" s="50">
        <v>43333.0</v>
      </c>
      <c r="H28" s="51">
        <v>43326.479166666664</v>
      </c>
      <c r="I28" s="52">
        <v>1.0</v>
      </c>
      <c r="J28" s="53"/>
      <c r="K28" s="53"/>
    </row>
    <row r="29">
      <c r="A29" s="48" t="s">
        <v>303</v>
      </c>
      <c r="B29" s="49" t="s">
        <v>304</v>
      </c>
      <c r="C29" s="49" t="s">
        <v>257</v>
      </c>
      <c r="D29" s="49" t="s">
        <v>153</v>
      </c>
      <c r="E29" s="49" t="s">
        <v>245</v>
      </c>
      <c r="F29" s="50">
        <v>43326.0</v>
      </c>
      <c r="G29" s="50">
        <v>43326.0</v>
      </c>
      <c r="H29" s="51">
        <v>43327.42013888889</v>
      </c>
      <c r="I29" s="52">
        <v>1.0</v>
      </c>
      <c r="J29" s="53"/>
      <c r="K29" s="53"/>
    </row>
    <row r="30">
      <c r="A30" s="48" t="s">
        <v>306</v>
      </c>
      <c r="B30" s="49" t="s">
        <v>307</v>
      </c>
      <c r="C30" s="49" t="s">
        <v>257</v>
      </c>
      <c r="D30" s="49" t="s">
        <v>120</v>
      </c>
      <c r="E30" s="49" t="s">
        <v>245</v>
      </c>
      <c r="F30" s="50">
        <v>43326.0</v>
      </c>
      <c r="G30" s="50">
        <v>43326.0</v>
      </c>
      <c r="H30" s="51">
        <v>43328.38125</v>
      </c>
      <c r="I30" s="52">
        <v>1.0</v>
      </c>
      <c r="J30" s="53"/>
      <c r="K30" s="53"/>
    </row>
    <row r="31">
      <c r="A31" s="48" t="s">
        <v>308</v>
      </c>
      <c r="B31" s="49" t="s">
        <v>309</v>
      </c>
      <c r="C31" s="49" t="s">
        <v>166</v>
      </c>
      <c r="D31" s="49" t="s">
        <v>140</v>
      </c>
      <c r="E31" s="49" t="s">
        <v>277</v>
      </c>
      <c r="F31" s="50">
        <v>43326.0</v>
      </c>
      <c r="G31" s="50">
        <v>43326.0</v>
      </c>
      <c r="H31" s="51">
        <v>43329.69236111111</v>
      </c>
      <c r="I31" s="52">
        <v>0.0</v>
      </c>
      <c r="J31" s="53"/>
      <c r="K31" s="53"/>
    </row>
    <row r="32">
      <c r="A32" s="48" t="s">
        <v>311</v>
      </c>
      <c r="B32" s="49" t="s">
        <v>313</v>
      </c>
      <c r="C32" s="49" t="s">
        <v>243</v>
      </c>
      <c r="D32" s="49" t="s">
        <v>148</v>
      </c>
      <c r="E32" s="49" t="s">
        <v>245</v>
      </c>
      <c r="F32" s="50">
        <v>43325.0</v>
      </c>
      <c r="G32" s="50">
        <v>43332.0</v>
      </c>
      <c r="H32" s="51">
        <v>43325.69930555556</v>
      </c>
      <c r="I32" s="52">
        <v>1.0</v>
      </c>
      <c r="J32" s="53"/>
      <c r="K32" s="53"/>
    </row>
    <row r="33">
      <c r="A33" s="48" t="s">
        <v>315</v>
      </c>
      <c r="B33" s="49" t="s">
        <v>316</v>
      </c>
      <c r="C33" s="49" t="s">
        <v>243</v>
      </c>
      <c r="D33" s="49" t="s">
        <v>148</v>
      </c>
      <c r="E33" s="49" t="s">
        <v>245</v>
      </c>
      <c r="F33" s="50">
        <v>43325.0</v>
      </c>
      <c r="G33" s="50">
        <v>43332.0</v>
      </c>
      <c r="H33" s="51">
        <v>43325.70138888889</v>
      </c>
      <c r="I33" s="52">
        <v>1.0</v>
      </c>
      <c r="J33" s="53"/>
      <c r="K33" s="53"/>
    </row>
    <row r="34">
      <c r="A34" s="48" t="s">
        <v>317</v>
      </c>
      <c r="B34" s="49" t="s">
        <v>319</v>
      </c>
      <c r="C34" s="49" t="s">
        <v>257</v>
      </c>
      <c r="D34" s="49" t="s">
        <v>153</v>
      </c>
      <c r="E34" s="49" t="s">
        <v>245</v>
      </c>
      <c r="F34" s="50">
        <v>43325.0</v>
      </c>
      <c r="G34" s="50">
        <v>43325.0</v>
      </c>
      <c r="H34" s="51">
        <v>43325.60486111111</v>
      </c>
      <c r="I34" s="52">
        <v>1.0</v>
      </c>
      <c r="J34" s="53"/>
      <c r="K34" s="53"/>
    </row>
    <row r="35">
      <c r="A35" s="48" t="s">
        <v>321</v>
      </c>
      <c r="B35" s="49" t="s">
        <v>322</v>
      </c>
      <c r="C35" s="49" t="s">
        <v>221</v>
      </c>
      <c r="D35" s="49" t="s">
        <v>153</v>
      </c>
      <c r="E35" s="49" t="s">
        <v>245</v>
      </c>
      <c r="F35" s="50">
        <v>43325.0</v>
      </c>
      <c r="G35" s="50">
        <v>43325.0</v>
      </c>
      <c r="H35" s="51">
        <v>43325.60486111111</v>
      </c>
      <c r="I35" s="52">
        <v>1.0</v>
      </c>
      <c r="J35" s="53"/>
      <c r="K35" s="53"/>
    </row>
    <row r="36">
      <c r="A36" s="48" t="s">
        <v>326</v>
      </c>
      <c r="B36" s="49" t="s">
        <v>327</v>
      </c>
      <c r="C36" s="49" t="s">
        <v>203</v>
      </c>
      <c r="D36" s="49" t="s">
        <v>153</v>
      </c>
      <c r="E36" s="49" t="s">
        <v>245</v>
      </c>
      <c r="F36" s="50">
        <v>43325.0</v>
      </c>
      <c r="G36" s="50">
        <v>43325.0</v>
      </c>
      <c r="H36" s="51">
        <v>43325.60486111111</v>
      </c>
      <c r="I36" s="52">
        <v>1.0</v>
      </c>
      <c r="J36" s="53"/>
      <c r="K36" s="53"/>
    </row>
    <row r="37">
      <c r="A37" s="48" t="s">
        <v>330</v>
      </c>
      <c r="B37" s="49" t="s">
        <v>331</v>
      </c>
      <c r="C37" s="49" t="s">
        <v>243</v>
      </c>
      <c r="D37" s="49" t="s">
        <v>148</v>
      </c>
      <c r="E37" s="49" t="s">
        <v>245</v>
      </c>
      <c r="F37" s="50">
        <v>43325.0</v>
      </c>
      <c r="G37" s="50">
        <v>43325.0</v>
      </c>
      <c r="H37" s="51">
        <v>43325.70138888889</v>
      </c>
      <c r="I37" s="52">
        <v>1.0</v>
      </c>
      <c r="J37" s="53"/>
      <c r="K37" s="53"/>
    </row>
    <row r="38">
      <c r="A38" s="48" t="s">
        <v>335</v>
      </c>
      <c r="B38" s="49" t="s">
        <v>336</v>
      </c>
      <c r="C38" s="49" t="s">
        <v>243</v>
      </c>
      <c r="D38" s="49" t="s">
        <v>148</v>
      </c>
      <c r="E38" s="49" t="s">
        <v>245</v>
      </c>
      <c r="F38" s="50">
        <v>43333.0</v>
      </c>
      <c r="G38" s="50">
        <v>43340.0</v>
      </c>
      <c r="H38" s="51">
        <v>43333.63402777778</v>
      </c>
      <c r="I38" s="52">
        <v>1.0</v>
      </c>
      <c r="J38" s="53"/>
      <c r="K38" s="53"/>
    </row>
    <row r="39">
      <c r="A39" s="48" t="s">
        <v>338</v>
      </c>
      <c r="B39" s="49" t="s">
        <v>339</v>
      </c>
      <c r="C39" s="49" t="s">
        <v>243</v>
      </c>
      <c r="D39" s="49" t="s">
        <v>148</v>
      </c>
      <c r="E39" s="49" t="s">
        <v>245</v>
      </c>
      <c r="F39" s="50">
        <v>43325.0</v>
      </c>
      <c r="G39" s="50">
        <v>43325.0</v>
      </c>
      <c r="H39" s="51">
        <v>43325.71111111111</v>
      </c>
      <c r="I39" s="52">
        <v>1.0</v>
      </c>
      <c r="J39" s="53"/>
      <c r="K39" s="53"/>
    </row>
    <row r="40">
      <c r="A40" s="48" t="s">
        <v>341</v>
      </c>
      <c r="B40" s="49" t="s">
        <v>342</v>
      </c>
      <c r="C40" s="49" t="s">
        <v>243</v>
      </c>
      <c r="D40" s="49" t="s">
        <v>148</v>
      </c>
      <c r="E40" s="49" t="s">
        <v>204</v>
      </c>
      <c r="F40" s="50">
        <v>43325.0</v>
      </c>
      <c r="G40" s="50">
        <v>43332.0</v>
      </c>
      <c r="H40" s="51">
        <v>43325.709027777775</v>
      </c>
      <c r="I40" s="52">
        <v>0.0</v>
      </c>
      <c r="J40" s="53"/>
      <c r="K40" s="53"/>
    </row>
    <row r="41">
      <c r="A41" s="48" t="s">
        <v>343</v>
      </c>
      <c r="B41" s="49" t="s">
        <v>344</v>
      </c>
      <c r="C41" s="49" t="s">
        <v>257</v>
      </c>
      <c r="D41" s="49" t="s">
        <v>120</v>
      </c>
      <c r="E41" s="49" t="s">
        <v>245</v>
      </c>
      <c r="F41" s="50">
        <v>43325.0</v>
      </c>
      <c r="G41" s="50">
        <v>43325.0</v>
      </c>
      <c r="H41" s="51">
        <v>43326.45416666667</v>
      </c>
      <c r="I41" s="52">
        <v>1.0</v>
      </c>
      <c r="J41" s="53"/>
      <c r="K41" s="53"/>
    </row>
    <row r="42">
      <c r="A42" s="48" t="s">
        <v>347</v>
      </c>
      <c r="B42" s="49" t="s">
        <v>348</v>
      </c>
      <c r="C42" s="49" t="s">
        <v>203</v>
      </c>
      <c r="D42" s="49" t="s">
        <v>349</v>
      </c>
      <c r="E42" s="49" t="s">
        <v>245</v>
      </c>
      <c r="F42" s="50">
        <v>43325.0</v>
      </c>
      <c r="G42" s="50">
        <v>43329.0</v>
      </c>
      <c r="H42" s="51">
        <v>43333.39791666667</v>
      </c>
      <c r="I42" s="52">
        <v>1.0</v>
      </c>
      <c r="J42" s="53"/>
      <c r="K42" s="53"/>
    </row>
    <row r="43">
      <c r="A43" s="48" t="s">
        <v>350</v>
      </c>
      <c r="B43" s="49" t="s">
        <v>351</v>
      </c>
      <c r="C43" s="49" t="s">
        <v>243</v>
      </c>
      <c r="D43" s="49" t="s">
        <v>148</v>
      </c>
      <c r="E43" s="49" t="s">
        <v>245</v>
      </c>
      <c r="F43" s="50">
        <v>43322.0</v>
      </c>
      <c r="G43" s="50">
        <v>43322.0</v>
      </c>
      <c r="H43" s="51">
        <v>43322.49513888889</v>
      </c>
      <c r="I43" s="52">
        <v>1.0</v>
      </c>
      <c r="J43" s="53"/>
      <c r="K43" s="53"/>
    </row>
    <row r="44">
      <c r="A44" s="48" t="s">
        <v>354</v>
      </c>
      <c r="B44" s="49" t="s">
        <v>355</v>
      </c>
      <c r="C44" s="49" t="s">
        <v>243</v>
      </c>
      <c r="D44" s="49" t="s">
        <v>148</v>
      </c>
      <c r="E44" s="49" t="s">
        <v>245</v>
      </c>
      <c r="F44" s="50">
        <v>43322.0</v>
      </c>
      <c r="G44" s="50">
        <v>43329.0</v>
      </c>
      <c r="H44" s="51">
        <v>43322.643055555556</v>
      </c>
      <c r="I44" s="52">
        <v>1.0</v>
      </c>
      <c r="J44" s="53"/>
      <c r="K44" s="53"/>
    </row>
    <row r="45">
      <c r="A45" s="48" t="s">
        <v>356</v>
      </c>
      <c r="B45" s="49" t="s">
        <v>357</v>
      </c>
      <c r="C45" s="49" t="s">
        <v>257</v>
      </c>
      <c r="D45" s="49" t="s">
        <v>120</v>
      </c>
      <c r="E45" s="49" t="s">
        <v>245</v>
      </c>
      <c r="F45" s="50">
        <v>43322.0</v>
      </c>
      <c r="G45" s="50">
        <v>43322.0</v>
      </c>
      <c r="H45" s="51">
        <v>43326.64444444444</v>
      </c>
      <c r="I45" s="52">
        <v>1.0</v>
      </c>
      <c r="J45" s="53"/>
      <c r="K45" s="53"/>
    </row>
    <row r="46">
      <c r="A46" s="48" t="s">
        <v>359</v>
      </c>
      <c r="B46" s="49" t="s">
        <v>360</v>
      </c>
      <c r="C46" s="49" t="s">
        <v>243</v>
      </c>
      <c r="D46" s="49" t="s">
        <v>140</v>
      </c>
      <c r="E46" s="49" t="s">
        <v>245</v>
      </c>
      <c r="F46" s="50">
        <v>43321.0</v>
      </c>
      <c r="G46" s="50">
        <v>43321.0</v>
      </c>
      <c r="H46" s="51">
        <v>43315.49513888889</v>
      </c>
      <c r="I46" s="52">
        <v>1.0</v>
      </c>
      <c r="J46" s="53"/>
      <c r="K46" s="53"/>
    </row>
    <row r="47">
      <c r="A47" s="48" t="s">
        <v>362</v>
      </c>
      <c r="B47" s="49" t="s">
        <v>363</v>
      </c>
      <c r="C47" s="49" t="s">
        <v>364</v>
      </c>
      <c r="D47" s="49" t="s">
        <v>349</v>
      </c>
      <c r="E47" s="49" t="s">
        <v>277</v>
      </c>
      <c r="F47" s="50">
        <v>43321.0</v>
      </c>
      <c r="G47" s="50">
        <v>43322.0</v>
      </c>
      <c r="H47" s="51">
        <v>43322.39166666667</v>
      </c>
      <c r="I47" s="52">
        <v>0.25</v>
      </c>
      <c r="J47" s="53"/>
      <c r="K47" s="53"/>
    </row>
    <row r="48">
      <c r="A48" s="48" t="s">
        <v>365</v>
      </c>
      <c r="B48" s="49" t="s">
        <v>366</v>
      </c>
      <c r="C48" s="49" t="s">
        <v>243</v>
      </c>
      <c r="D48" s="49" t="s">
        <v>148</v>
      </c>
      <c r="E48" s="49" t="s">
        <v>245</v>
      </c>
      <c r="F48" s="50">
        <v>43320.0</v>
      </c>
      <c r="G48" s="50">
        <v>43327.0</v>
      </c>
      <c r="H48" s="51">
        <v>43320.42013888889</v>
      </c>
      <c r="I48" s="52">
        <v>1.0</v>
      </c>
      <c r="J48" s="53"/>
      <c r="K48" s="53"/>
    </row>
    <row r="49">
      <c r="A49" s="48" t="s">
        <v>369</v>
      </c>
      <c r="B49" s="49" t="s">
        <v>371</v>
      </c>
      <c r="C49" s="49" t="s">
        <v>243</v>
      </c>
      <c r="D49" s="49" t="s">
        <v>148</v>
      </c>
      <c r="E49" s="49" t="s">
        <v>245</v>
      </c>
      <c r="F49" s="50">
        <v>43320.0</v>
      </c>
      <c r="G49" s="50">
        <v>43327.0</v>
      </c>
      <c r="H49" s="51">
        <v>43320.42291666667</v>
      </c>
      <c r="I49" s="52">
        <v>1.0</v>
      </c>
      <c r="J49" s="53"/>
      <c r="K49" s="53"/>
    </row>
    <row r="50">
      <c r="A50" s="48" t="s">
        <v>372</v>
      </c>
      <c r="B50" s="49" t="s">
        <v>374</v>
      </c>
      <c r="C50" s="49" t="s">
        <v>243</v>
      </c>
      <c r="D50" s="49" t="s">
        <v>148</v>
      </c>
      <c r="E50" s="49" t="s">
        <v>245</v>
      </c>
      <c r="F50" s="50">
        <v>43320.0</v>
      </c>
      <c r="G50" s="50">
        <v>43327.0</v>
      </c>
      <c r="H50" s="51">
        <v>43320.41736111111</v>
      </c>
      <c r="I50" s="52">
        <v>1.0</v>
      </c>
      <c r="J50" s="53"/>
      <c r="K50" s="53"/>
    </row>
    <row r="51">
      <c r="A51" s="48" t="s">
        <v>377</v>
      </c>
      <c r="B51" s="49" t="s">
        <v>378</v>
      </c>
      <c r="C51" s="49" t="s">
        <v>379</v>
      </c>
      <c r="D51" s="49" t="s">
        <v>140</v>
      </c>
      <c r="E51" s="49" t="s">
        <v>277</v>
      </c>
      <c r="F51" s="50">
        <v>43320.0</v>
      </c>
      <c r="G51" s="50">
        <v>43320.0</v>
      </c>
      <c r="H51" s="51">
        <v>43321.4</v>
      </c>
      <c r="I51" s="52">
        <v>0.0</v>
      </c>
      <c r="J51" s="53"/>
      <c r="K51" s="53"/>
    </row>
    <row r="52">
      <c r="A52" s="48" t="s">
        <v>380</v>
      </c>
      <c r="B52" s="49" t="s">
        <v>381</v>
      </c>
      <c r="C52" s="49" t="s">
        <v>257</v>
      </c>
      <c r="D52" s="49" t="s">
        <v>120</v>
      </c>
      <c r="E52" s="49" t="s">
        <v>382</v>
      </c>
      <c r="F52" s="50">
        <v>43320.0</v>
      </c>
      <c r="G52" s="50">
        <v>43322.0</v>
      </c>
      <c r="H52" s="51">
        <v>43320.65902777778</v>
      </c>
      <c r="I52" s="52">
        <v>0.0</v>
      </c>
      <c r="J52" s="53"/>
      <c r="K52" s="53"/>
    </row>
    <row r="53">
      <c r="A53" s="48" t="s">
        <v>384</v>
      </c>
      <c r="B53" s="49" t="s">
        <v>385</v>
      </c>
      <c r="C53" s="49" t="s">
        <v>203</v>
      </c>
      <c r="D53" s="49" t="s">
        <v>349</v>
      </c>
      <c r="E53" s="49" t="s">
        <v>245</v>
      </c>
      <c r="F53" s="50">
        <v>43319.0</v>
      </c>
      <c r="G53" s="50">
        <v>43319.0</v>
      </c>
      <c r="H53" s="51">
        <v>43322.63402777778</v>
      </c>
      <c r="I53" s="52">
        <v>1.0</v>
      </c>
      <c r="J53" s="53"/>
      <c r="K53" s="53"/>
    </row>
    <row r="54">
      <c r="A54" s="48" t="s">
        <v>386</v>
      </c>
      <c r="B54" s="49" t="s">
        <v>387</v>
      </c>
      <c r="C54" s="49" t="s">
        <v>243</v>
      </c>
      <c r="D54" s="49" t="s">
        <v>140</v>
      </c>
      <c r="E54" s="49" t="s">
        <v>245</v>
      </c>
      <c r="F54" s="50">
        <v>43319.0</v>
      </c>
      <c r="G54" s="50">
        <v>43319.0</v>
      </c>
      <c r="H54" s="51">
        <v>43321.399305555555</v>
      </c>
      <c r="I54" s="52">
        <v>1.0</v>
      </c>
      <c r="J54" s="53"/>
      <c r="K54" s="53"/>
    </row>
    <row r="55">
      <c r="A55" s="48" t="s">
        <v>388</v>
      </c>
      <c r="B55" s="49" t="s">
        <v>390</v>
      </c>
      <c r="C55" s="49" t="s">
        <v>203</v>
      </c>
      <c r="D55" s="49" t="s">
        <v>148</v>
      </c>
      <c r="E55" s="49" t="s">
        <v>277</v>
      </c>
      <c r="F55" s="50">
        <v>43318.0</v>
      </c>
      <c r="G55" s="50">
        <v>43318.0</v>
      </c>
      <c r="H55" s="51">
        <v>43318.82847222222</v>
      </c>
      <c r="I55" s="52">
        <v>0.0</v>
      </c>
      <c r="J55" s="53"/>
      <c r="K55" s="53"/>
    </row>
    <row r="56">
      <c r="A56" s="48" t="s">
        <v>392</v>
      </c>
      <c r="B56" s="49" t="s">
        <v>393</v>
      </c>
      <c r="C56" s="49" t="s">
        <v>203</v>
      </c>
      <c r="D56" s="49" t="s">
        <v>148</v>
      </c>
      <c r="E56" s="49" t="s">
        <v>277</v>
      </c>
      <c r="F56" s="50">
        <v>43318.0</v>
      </c>
      <c r="G56" s="50">
        <v>43318.0</v>
      </c>
      <c r="H56" s="51">
        <v>43318.82708333333</v>
      </c>
      <c r="I56" s="52">
        <v>0.0</v>
      </c>
      <c r="J56" s="53"/>
      <c r="K56" s="53"/>
    </row>
    <row r="57">
      <c r="A57" s="48" t="s">
        <v>394</v>
      </c>
      <c r="B57" s="49" t="s">
        <v>395</v>
      </c>
      <c r="C57" s="49" t="s">
        <v>203</v>
      </c>
      <c r="D57" s="49" t="s">
        <v>148</v>
      </c>
      <c r="E57" s="49" t="s">
        <v>277</v>
      </c>
      <c r="F57" s="50">
        <v>43318.0</v>
      </c>
      <c r="G57" s="50">
        <v>43318.0</v>
      </c>
      <c r="H57" s="51">
        <v>43318.82986111111</v>
      </c>
      <c r="I57" s="52">
        <v>0.0</v>
      </c>
      <c r="J57" s="53"/>
      <c r="K57" s="53"/>
    </row>
    <row r="58">
      <c r="A58" s="48" t="s">
        <v>400</v>
      </c>
      <c r="B58" s="49" t="s">
        <v>401</v>
      </c>
      <c r="C58" s="49" t="s">
        <v>203</v>
      </c>
      <c r="D58" s="49" t="s">
        <v>148</v>
      </c>
      <c r="E58" s="49" t="s">
        <v>277</v>
      </c>
      <c r="F58" s="50">
        <v>43318.0</v>
      </c>
      <c r="G58" s="50">
        <v>43318.0</v>
      </c>
      <c r="H58" s="51">
        <v>43318.82916666667</v>
      </c>
      <c r="I58" s="52">
        <v>0.0</v>
      </c>
      <c r="J58" s="53"/>
      <c r="K58" s="53"/>
    </row>
    <row r="59">
      <c r="A59" s="48" t="s">
        <v>402</v>
      </c>
      <c r="B59" s="49" t="s">
        <v>406</v>
      </c>
      <c r="C59" s="49" t="s">
        <v>203</v>
      </c>
      <c r="D59" s="49" t="s">
        <v>148</v>
      </c>
      <c r="E59" s="49" t="s">
        <v>277</v>
      </c>
      <c r="F59" s="50">
        <v>43318.0</v>
      </c>
      <c r="G59" s="50">
        <v>43318.0</v>
      </c>
      <c r="H59" s="51">
        <v>43318.82986111111</v>
      </c>
      <c r="I59" s="52">
        <v>0.0</v>
      </c>
      <c r="J59" s="53"/>
      <c r="K59" s="53"/>
    </row>
    <row r="60">
      <c r="A60" s="48" t="s">
        <v>410</v>
      </c>
      <c r="B60" s="49" t="s">
        <v>411</v>
      </c>
      <c r="C60" s="49" t="s">
        <v>243</v>
      </c>
      <c r="D60" s="49" t="s">
        <v>148</v>
      </c>
      <c r="E60" s="49" t="s">
        <v>245</v>
      </c>
      <c r="F60" s="50">
        <v>43318.0</v>
      </c>
      <c r="G60" s="50">
        <v>43318.0</v>
      </c>
      <c r="H60" s="51">
        <v>43318.82361111111</v>
      </c>
      <c r="I60" s="52">
        <v>1.0</v>
      </c>
      <c r="J60" s="53"/>
      <c r="K60" s="53"/>
    </row>
    <row r="61">
      <c r="A61" s="48" t="s">
        <v>412</v>
      </c>
      <c r="B61" s="49" t="s">
        <v>414</v>
      </c>
      <c r="C61" s="49" t="s">
        <v>203</v>
      </c>
      <c r="D61" s="49" t="s">
        <v>349</v>
      </c>
      <c r="E61" s="49" t="s">
        <v>245</v>
      </c>
      <c r="F61" s="50">
        <v>43318.0</v>
      </c>
      <c r="G61" s="50">
        <v>43318.0</v>
      </c>
      <c r="H61" s="51">
        <v>43329.63958333333</v>
      </c>
      <c r="I61" s="52">
        <v>1.0</v>
      </c>
      <c r="J61" s="53"/>
      <c r="K61" s="53"/>
    </row>
    <row r="62">
      <c r="A62" s="48" t="s">
        <v>415</v>
      </c>
      <c r="B62" s="49" t="s">
        <v>416</v>
      </c>
      <c r="C62" s="49" t="s">
        <v>166</v>
      </c>
      <c r="D62" s="49" t="s">
        <v>140</v>
      </c>
      <c r="E62" s="49" t="s">
        <v>245</v>
      </c>
      <c r="F62" s="50">
        <v>43318.0</v>
      </c>
      <c r="G62" s="50">
        <v>43318.0</v>
      </c>
      <c r="H62" s="51">
        <v>43321.40069444444</v>
      </c>
      <c r="I62" s="52">
        <v>1.0</v>
      </c>
      <c r="J62" s="53"/>
      <c r="K62" s="53"/>
    </row>
    <row r="63">
      <c r="A63" s="48" t="s">
        <v>418</v>
      </c>
      <c r="B63" s="49" t="s">
        <v>420</v>
      </c>
      <c r="C63" s="49" t="s">
        <v>257</v>
      </c>
      <c r="D63" s="49" t="s">
        <v>120</v>
      </c>
      <c r="E63" s="49" t="s">
        <v>245</v>
      </c>
      <c r="F63" s="50">
        <v>43318.0</v>
      </c>
      <c r="G63" s="50">
        <v>43319.0</v>
      </c>
      <c r="H63" s="51">
        <v>43320.65833333333</v>
      </c>
      <c r="I63" s="52">
        <v>1.0</v>
      </c>
      <c r="J63" s="53"/>
      <c r="K63" s="53"/>
    </row>
    <row r="64">
      <c r="A64" s="48" t="s">
        <v>423</v>
      </c>
      <c r="B64" s="49" t="s">
        <v>424</v>
      </c>
      <c r="C64" s="49" t="s">
        <v>203</v>
      </c>
      <c r="D64" s="49" t="s">
        <v>425</v>
      </c>
      <c r="E64" s="49" t="s">
        <v>204</v>
      </c>
      <c r="F64" s="50">
        <v>43315.0</v>
      </c>
      <c r="G64" s="50">
        <v>43318.0</v>
      </c>
      <c r="H64" s="51">
        <v>43315.75208333333</v>
      </c>
      <c r="I64" s="52">
        <v>0.0</v>
      </c>
      <c r="J64" s="53"/>
      <c r="K64" s="53"/>
    </row>
    <row r="65">
      <c r="A65" s="48" t="s">
        <v>426</v>
      </c>
      <c r="B65" s="49" t="s">
        <v>427</v>
      </c>
      <c r="C65" s="49" t="s">
        <v>243</v>
      </c>
      <c r="D65" s="49" t="s">
        <v>148</v>
      </c>
      <c r="E65" s="49" t="s">
        <v>245</v>
      </c>
      <c r="F65" s="50">
        <v>43315.0</v>
      </c>
      <c r="G65" s="50">
        <v>43322.0</v>
      </c>
      <c r="H65" s="51">
        <v>43328.40694444445</v>
      </c>
      <c r="I65" s="52">
        <v>1.0</v>
      </c>
      <c r="J65" s="53"/>
      <c r="K65" s="53"/>
    </row>
    <row r="66">
      <c r="A66" s="49" t="s">
        <v>428</v>
      </c>
      <c r="B66" s="49" t="s">
        <v>430</v>
      </c>
      <c r="C66" s="49" t="s">
        <v>243</v>
      </c>
      <c r="D66" s="49" t="s">
        <v>148</v>
      </c>
      <c r="E66" s="49" t="s">
        <v>245</v>
      </c>
      <c r="F66" s="54">
        <v>43315.0</v>
      </c>
      <c r="G66" s="54">
        <v>43326.0</v>
      </c>
      <c r="H66" s="55">
        <v>43315.66875</v>
      </c>
      <c r="I66" s="56">
        <v>1.0</v>
      </c>
      <c r="J66" s="49"/>
      <c r="K66" s="57"/>
    </row>
    <row r="67">
      <c r="A67" s="48" t="s">
        <v>436</v>
      </c>
      <c r="B67" s="49" t="s">
        <v>437</v>
      </c>
      <c r="C67" s="49" t="s">
        <v>243</v>
      </c>
      <c r="D67" s="49" t="s">
        <v>148</v>
      </c>
      <c r="E67" s="49" t="s">
        <v>245</v>
      </c>
      <c r="F67" s="50">
        <v>43315.0</v>
      </c>
      <c r="G67" s="50">
        <v>43315.0</v>
      </c>
      <c r="H67" s="51">
        <v>43315.46319444444</v>
      </c>
      <c r="I67" s="52">
        <v>1.0</v>
      </c>
      <c r="J67" s="53"/>
      <c r="K67" s="53"/>
    </row>
    <row r="68">
      <c r="A68" s="48" t="s">
        <v>440</v>
      </c>
      <c r="B68" s="49" t="s">
        <v>441</v>
      </c>
      <c r="C68" s="49" t="s">
        <v>243</v>
      </c>
      <c r="D68" s="49" t="s">
        <v>148</v>
      </c>
      <c r="E68" s="49" t="s">
        <v>245</v>
      </c>
      <c r="F68" s="50">
        <v>43315.0</v>
      </c>
      <c r="G68" s="50">
        <v>43322.0</v>
      </c>
      <c r="H68" s="51">
        <v>43315.51527777778</v>
      </c>
      <c r="I68" s="52">
        <v>1.0</v>
      </c>
      <c r="J68" s="53"/>
      <c r="K68" s="53"/>
    </row>
    <row r="69">
      <c r="A69" s="48" t="s">
        <v>442</v>
      </c>
      <c r="B69" s="49" t="s">
        <v>443</v>
      </c>
      <c r="C69" s="49" t="s">
        <v>243</v>
      </c>
      <c r="D69" s="49" t="s">
        <v>148</v>
      </c>
      <c r="E69" s="49" t="s">
        <v>245</v>
      </c>
      <c r="F69" s="50">
        <v>43315.0</v>
      </c>
      <c r="G69" s="50">
        <v>43322.0</v>
      </c>
      <c r="H69" s="51">
        <v>43315.78472222222</v>
      </c>
      <c r="I69" s="52">
        <v>1.0</v>
      </c>
      <c r="J69" s="53"/>
      <c r="K69" s="53"/>
    </row>
    <row r="70">
      <c r="A70" s="48" t="s">
        <v>445</v>
      </c>
      <c r="B70" s="49" t="s">
        <v>446</v>
      </c>
      <c r="C70" s="49" t="s">
        <v>243</v>
      </c>
      <c r="D70" s="49" t="s">
        <v>148</v>
      </c>
      <c r="E70" s="49" t="s">
        <v>245</v>
      </c>
      <c r="F70" s="50">
        <v>43315.0</v>
      </c>
      <c r="G70" s="50">
        <v>43315.0</v>
      </c>
      <c r="H70" s="51">
        <v>43315.475</v>
      </c>
      <c r="I70" s="52">
        <v>1.0</v>
      </c>
      <c r="J70" s="53"/>
      <c r="K70" s="53"/>
    </row>
    <row r="71">
      <c r="A71" s="48" t="s">
        <v>447</v>
      </c>
      <c r="B71" s="49" t="s">
        <v>448</v>
      </c>
      <c r="C71" s="49" t="s">
        <v>243</v>
      </c>
      <c r="D71" s="49" t="s">
        <v>148</v>
      </c>
      <c r="E71" s="49" t="s">
        <v>245</v>
      </c>
      <c r="F71" s="50">
        <v>43315.0</v>
      </c>
      <c r="G71" s="50">
        <v>43322.0</v>
      </c>
      <c r="H71" s="51">
        <v>43315.78055555555</v>
      </c>
      <c r="I71" s="52">
        <v>1.0</v>
      </c>
      <c r="J71" s="53"/>
      <c r="K71" s="53"/>
    </row>
    <row r="72">
      <c r="A72" s="48" t="s">
        <v>450</v>
      </c>
      <c r="B72" s="49" t="s">
        <v>451</v>
      </c>
      <c r="C72" s="49" t="s">
        <v>452</v>
      </c>
      <c r="D72" s="49" t="s">
        <v>140</v>
      </c>
      <c r="E72" s="49" t="s">
        <v>245</v>
      </c>
      <c r="F72" s="50">
        <v>43315.0</v>
      </c>
      <c r="G72" s="50">
        <v>43315.0</v>
      </c>
      <c r="H72" s="51">
        <v>43315.495833333334</v>
      </c>
      <c r="I72" s="52">
        <v>1.0</v>
      </c>
      <c r="J72" s="53"/>
      <c r="K72" s="53"/>
    </row>
    <row r="73">
      <c r="A73" s="48" t="s">
        <v>454</v>
      </c>
      <c r="B73" s="49" t="s">
        <v>456</v>
      </c>
      <c r="C73" s="49" t="s">
        <v>243</v>
      </c>
      <c r="D73" s="49" t="s">
        <v>148</v>
      </c>
      <c r="E73" s="49" t="s">
        <v>245</v>
      </c>
      <c r="F73" s="50">
        <v>43315.0</v>
      </c>
      <c r="G73" s="50">
        <v>43322.0</v>
      </c>
      <c r="H73" s="51">
        <v>43315.78680555556</v>
      </c>
      <c r="I73" s="52">
        <v>1.0</v>
      </c>
      <c r="J73" s="53"/>
      <c r="K73" s="53"/>
    </row>
    <row r="74">
      <c r="A74" s="48" t="s">
        <v>458</v>
      </c>
      <c r="B74" s="49" t="s">
        <v>459</v>
      </c>
      <c r="C74" s="49" t="s">
        <v>243</v>
      </c>
      <c r="D74" s="49" t="s">
        <v>148</v>
      </c>
      <c r="E74" s="49" t="s">
        <v>245</v>
      </c>
      <c r="F74" s="50">
        <v>43315.0</v>
      </c>
      <c r="G74" s="50">
        <v>43315.0</v>
      </c>
      <c r="H74" s="51">
        <v>43315.475</v>
      </c>
      <c r="I74" s="52">
        <v>1.0</v>
      </c>
      <c r="J74" s="53"/>
      <c r="K74" s="53"/>
    </row>
    <row r="75">
      <c r="A75" s="48" t="s">
        <v>461</v>
      </c>
      <c r="B75" s="49" t="s">
        <v>462</v>
      </c>
      <c r="C75" s="49" t="s">
        <v>243</v>
      </c>
      <c r="D75" s="49" t="s">
        <v>148</v>
      </c>
      <c r="E75" s="49" t="s">
        <v>245</v>
      </c>
      <c r="F75" s="50">
        <v>43315.0</v>
      </c>
      <c r="G75" s="50">
        <v>43315.0</v>
      </c>
      <c r="H75" s="51">
        <v>43315.475</v>
      </c>
      <c r="I75" s="52">
        <v>1.0</v>
      </c>
      <c r="J75" s="53"/>
      <c r="K75" s="53"/>
    </row>
    <row r="76">
      <c r="A76" s="48" t="s">
        <v>464</v>
      </c>
      <c r="B76" s="49" t="s">
        <v>465</v>
      </c>
      <c r="C76" s="49" t="s">
        <v>243</v>
      </c>
      <c r="D76" s="49" t="s">
        <v>148</v>
      </c>
      <c r="E76" s="49" t="s">
        <v>245</v>
      </c>
      <c r="F76" s="50">
        <v>43315.0</v>
      </c>
      <c r="G76" s="50">
        <v>43315.0</v>
      </c>
      <c r="H76" s="51">
        <v>43315.774305555555</v>
      </c>
      <c r="I76" s="52">
        <v>1.0</v>
      </c>
      <c r="J76" s="53"/>
      <c r="K76" s="53"/>
    </row>
    <row r="77">
      <c r="A77" s="48" t="s">
        <v>466</v>
      </c>
      <c r="B77" s="49" t="s">
        <v>467</v>
      </c>
      <c r="C77" s="49" t="s">
        <v>243</v>
      </c>
      <c r="D77" s="49" t="s">
        <v>148</v>
      </c>
      <c r="E77" s="49" t="s">
        <v>245</v>
      </c>
      <c r="F77" s="50">
        <v>43315.0</v>
      </c>
      <c r="G77" s="50">
        <v>43315.0</v>
      </c>
      <c r="H77" s="51">
        <v>43315.77847222222</v>
      </c>
      <c r="I77" s="52">
        <v>1.0</v>
      </c>
      <c r="J77" s="53"/>
      <c r="K77" s="53"/>
    </row>
    <row r="78">
      <c r="A78" s="49" t="s">
        <v>470</v>
      </c>
      <c r="B78" s="49" t="s">
        <v>471</v>
      </c>
      <c r="C78" s="49" t="s">
        <v>243</v>
      </c>
      <c r="D78" s="49" t="s">
        <v>148</v>
      </c>
      <c r="E78" s="49" t="s">
        <v>245</v>
      </c>
      <c r="F78" s="54">
        <v>43314.0</v>
      </c>
      <c r="G78" s="54">
        <v>43322.0</v>
      </c>
      <c r="H78" s="55">
        <v>43314.725694444445</v>
      </c>
      <c r="I78" s="56">
        <v>1.0</v>
      </c>
      <c r="J78" s="49"/>
      <c r="K78" s="57"/>
    </row>
    <row r="79">
      <c r="A79" s="48" t="s">
        <v>472</v>
      </c>
      <c r="B79" s="49" t="s">
        <v>473</v>
      </c>
      <c r="C79" s="49" t="s">
        <v>379</v>
      </c>
      <c r="D79" s="49" t="s">
        <v>140</v>
      </c>
      <c r="E79" s="49" t="s">
        <v>245</v>
      </c>
      <c r="F79" s="50">
        <v>43314.0</v>
      </c>
      <c r="G79" s="50">
        <v>43314.0</v>
      </c>
      <c r="H79" s="51">
        <v>43315.49652777778</v>
      </c>
      <c r="I79" s="52">
        <v>1.0</v>
      </c>
      <c r="J79" s="53"/>
      <c r="K79" s="53"/>
    </row>
    <row r="80">
      <c r="A80" s="48" t="s">
        <v>475</v>
      </c>
      <c r="B80" s="49" t="s">
        <v>476</v>
      </c>
      <c r="C80" s="49" t="s">
        <v>243</v>
      </c>
      <c r="D80" s="49" t="s">
        <v>349</v>
      </c>
      <c r="E80" s="49" t="s">
        <v>245</v>
      </c>
      <c r="F80" s="50">
        <v>43314.0</v>
      </c>
      <c r="G80" s="50">
        <v>43321.0</v>
      </c>
      <c r="H80" s="51">
        <v>43318.725</v>
      </c>
      <c r="I80" s="52">
        <v>1.0</v>
      </c>
      <c r="J80" s="53"/>
      <c r="K80" s="53"/>
    </row>
    <row r="81">
      <c r="A81" s="48" t="s">
        <v>478</v>
      </c>
      <c r="B81" s="49" t="s">
        <v>479</v>
      </c>
      <c r="C81" s="49" t="s">
        <v>257</v>
      </c>
      <c r="D81" s="49" t="s">
        <v>153</v>
      </c>
      <c r="E81" s="49" t="s">
        <v>245</v>
      </c>
      <c r="F81" s="50">
        <v>43313.0</v>
      </c>
      <c r="G81" s="50">
        <v>43313.0</v>
      </c>
      <c r="H81" s="51">
        <v>43313.58611111111</v>
      </c>
      <c r="I81" s="52">
        <v>1.0</v>
      </c>
      <c r="J81" s="53"/>
      <c r="K81" s="53"/>
    </row>
    <row r="82">
      <c r="A82" s="48" t="s">
        <v>480</v>
      </c>
      <c r="B82" s="49" t="s">
        <v>481</v>
      </c>
      <c r="C82" s="49" t="s">
        <v>257</v>
      </c>
      <c r="D82" s="49" t="s">
        <v>153</v>
      </c>
      <c r="E82" s="49" t="s">
        <v>245</v>
      </c>
      <c r="F82" s="50">
        <v>43313.0</v>
      </c>
      <c r="G82" s="50">
        <v>43313.0</v>
      </c>
      <c r="H82" s="51">
        <v>43313.58611111111</v>
      </c>
      <c r="I82" s="52">
        <v>1.0</v>
      </c>
      <c r="J82" s="53"/>
      <c r="K82" s="53"/>
    </row>
    <row r="83">
      <c r="A83" s="48" t="s">
        <v>482</v>
      </c>
      <c r="B83" s="49" t="s">
        <v>484</v>
      </c>
      <c r="C83" s="49" t="s">
        <v>485</v>
      </c>
      <c r="D83" s="49" t="s">
        <v>153</v>
      </c>
      <c r="E83" s="49" t="s">
        <v>245</v>
      </c>
      <c r="F83" s="50">
        <v>43313.0</v>
      </c>
      <c r="G83" s="50">
        <v>43313.0</v>
      </c>
      <c r="H83" s="51">
        <v>43313.58611111111</v>
      </c>
      <c r="I83" s="52">
        <v>1.0</v>
      </c>
      <c r="J83" s="53"/>
      <c r="K83" s="53"/>
    </row>
    <row r="84">
      <c r="A84" s="48" t="s">
        <v>486</v>
      </c>
      <c r="B84" s="49" t="s">
        <v>487</v>
      </c>
      <c r="C84" s="49" t="s">
        <v>203</v>
      </c>
      <c r="D84" s="49" t="s">
        <v>148</v>
      </c>
      <c r="E84" s="49" t="s">
        <v>245</v>
      </c>
      <c r="F84" s="50">
        <v>43313.0</v>
      </c>
      <c r="G84" s="50">
        <v>43313.0</v>
      </c>
      <c r="H84" s="51">
        <v>43313.825</v>
      </c>
      <c r="I84" s="52">
        <v>1.0</v>
      </c>
      <c r="J84" s="53"/>
      <c r="K84" s="53"/>
    </row>
    <row r="85">
      <c r="A85" s="48" t="s">
        <v>488</v>
      </c>
      <c r="B85" s="49" t="s">
        <v>489</v>
      </c>
      <c r="C85" s="49" t="s">
        <v>203</v>
      </c>
      <c r="D85" s="49" t="s">
        <v>148</v>
      </c>
      <c r="E85" s="49" t="s">
        <v>245</v>
      </c>
      <c r="F85" s="50">
        <v>43313.0</v>
      </c>
      <c r="G85" s="50">
        <v>43313.0</v>
      </c>
      <c r="H85" s="51">
        <v>43313.825</v>
      </c>
      <c r="I85" s="52">
        <v>1.0</v>
      </c>
      <c r="J85" s="53"/>
      <c r="K85" s="53"/>
    </row>
    <row r="86">
      <c r="A86" s="48" t="s">
        <v>494</v>
      </c>
      <c r="B86" s="49" t="s">
        <v>495</v>
      </c>
      <c r="C86" s="49" t="s">
        <v>203</v>
      </c>
      <c r="D86" s="49" t="s">
        <v>148</v>
      </c>
      <c r="E86" s="49" t="s">
        <v>245</v>
      </c>
      <c r="F86" s="50">
        <v>43313.0</v>
      </c>
      <c r="G86" s="50">
        <v>43313.0</v>
      </c>
      <c r="H86" s="51">
        <v>43313.825</v>
      </c>
      <c r="I86" s="52">
        <v>1.0</v>
      </c>
      <c r="J86" s="53"/>
      <c r="K86" s="53"/>
    </row>
    <row r="87">
      <c r="A87" s="48" t="s">
        <v>499</v>
      </c>
      <c r="B87" s="49" t="s">
        <v>500</v>
      </c>
      <c r="C87" s="49" t="s">
        <v>243</v>
      </c>
      <c r="D87" s="49" t="s">
        <v>148</v>
      </c>
      <c r="E87" s="49" t="s">
        <v>245</v>
      </c>
      <c r="F87" s="50">
        <v>43313.0</v>
      </c>
      <c r="G87" s="50">
        <v>43313.0</v>
      </c>
      <c r="H87" s="51">
        <v>43313.77222222222</v>
      </c>
      <c r="I87" s="52">
        <v>1.0</v>
      </c>
      <c r="J87" s="53"/>
      <c r="K87" s="53"/>
    </row>
    <row r="88">
      <c r="A88" s="48" t="s">
        <v>501</v>
      </c>
      <c r="B88" s="49" t="s">
        <v>502</v>
      </c>
      <c r="C88" s="49" t="s">
        <v>203</v>
      </c>
      <c r="D88" s="49" t="s">
        <v>153</v>
      </c>
      <c r="E88" s="49" t="s">
        <v>245</v>
      </c>
      <c r="F88" s="50">
        <v>43313.0</v>
      </c>
      <c r="G88" s="50">
        <v>43314.0</v>
      </c>
      <c r="H88" s="51">
        <v>43315.592361111114</v>
      </c>
      <c r="I88" s="52">
        <v>1.0</v>
      </c>
      <c r="J88" s="53"/>
      <c r="K88" s="53"/>
    </row>
    <row r="89">
      <c r="A89" s="48" t="s">
        <v>505</v>
      </c>
      <c r="B89" s="49" t="s">
        <v>507</v>
      </c>
      <c r="C89" s="49" t="s">
        <v>221</v>
      </c>
      <c r="D89" s="49" t="s">
        <v>153</v>
      </c>
      <c r="E89" s="49" t="s">
        <v>245</v>
      </c>
      <c r="F89" s="50">
        <v>43313.0</v>
      </c>
      <c r="G89" s="50">
        <v>43313.0</v>
      </c>
      <c r="H89" s="51">
        <v>43315.592361111114</v>
      </c>
      <c r="I89" s="52">
        <v>1.0</v>
      </c>
      <c r="J89" s="53"/>
      <c r="K89" s="53"/>
    </row>
    <row r="90">
      <c r="A90" s="48" t="s">
        <v>509</v>
      </c>
      <c r="B90" s="49" t="s">
        <v>510</v>
      </c>
      <c r="C90" s="49" t="s">
        <v>257</v>
      </c>
      <c r="D90" s="49" t="s">
        <v>153</v>
      </c>
      <c r="E90" s="49" t="s">
        <v>245</v>
      </c>
      <c r="F90" s="50">
        <v>43313.0</v>
      </c>
      <c r="G90" s="50">
        <v>43313.0</v>
      </c>
      <c r="H90" s="51">
        <v>43315.59166666667</v>
      </c>
      <c r="I90" s="52">
        <v>1.0</v>
      </c>
      <c r="J90" s="53"/>
      <c r="K90" s="53"/>
    </row>
    <row r="91">
      <c r="A91" s="48" t="s">
        <v>512</v>
      </c>
      <c r="B91" s="49" t="s">
        <v>513</v>
      </c>
      <c r="C91" s="49" t="s">
        <v>515</v>
      </c>
      <c r="D91" s="49" t="s">
        <v>140</v>
      </c>
      <c r="E91" s="49" t="s">
        <v>277</v>
      </c>
      <c r="F91" s="50">
        <v>43313.0</v>
      </c>
      <c r="G91" s="50">
        <v>43313.0</v>
      </c>
      <c r="H91" s="51">
        <v>43315.498611111114</v>
      </c>
      <c r="I91" s="52">
        <v>0.0</v>
      </c>
      <c r="J91" s="53"/>
      <c r="K91" s="53"/>
    </row>
    <row r="92">
      <c r="A92" s="48" t="s">
        <v>516</v>
      </c>
      <c r="B92" s="49" t="s">
        <v>517</v>
      </c>
      <c r="C92" s="49" t="s">
        <v>379</v>
      </c>
      <c r="D92" s="49" t="s">
        <v>140</v>
      </c>
      <c r="E92" s="49" t="s">
        <v>245</v>
      </c>
      <c r="F92" s="50">
        <v>43313.0</v>
      </c>
      <c r="G92" s="50">
        <v>43313.0</v>
      </c>
      <c r="H92" s="51">
        <v>43315.49652777778</v>
      </c>
      <c r="I92" s="52">
        <v>1.0</v>
      </c>
      <c r="J92" s="53"/>
      <c r="K92" s="53"/>
    </row>
    <row r="93">
      <c r="A93" s="48" t="s">
        <v>519</v>
      </c>
      <c r="B93" s="49" t="s">
        <v>520</v>
      </c>
      <c r="C93" s="49" t="s">
        <v>257</v>
      </c>
      <c r="D93" s="49" t="s">
        <v>120</v>
      </c>
      <c r="E93" s="49" t="s">
        <v>245</v>
      </c>
      <c r="F93" s="50">
        <v>43313.0</v>
      </c>
      <c r="G93" s="50">
        <v>43322.0</v>
      </c>
      <c r="H93" s="51">
        <v>43320.65416666667</v>
      </c>
      <c r="I93" s="52">
        <v>1.0</v>
      </c>
      <c r="J93" s="53"/>
      <c r="K93" s="53"/>
    </row>
    <row r="94">
      <c r="A94" s="48" t="s">
        <v>522</v>
      </c>
      <c r="B94" s="49" t="s">
        <v>523</v>
      </c>
      <c r="C94" s="49" t="s">
        <v>257</v>
      </c>
      <c r="D94" s="49" t="s">
        <v>153</v>
      </c>
      <c r="E94" s="49" t="s">
        <v>204</v>
      </c>
      <c r="F94" s="50">
        <v>43312.0</v>
      </c>
      <c r="G94" s="50">
        <v>43312.0</v>
      </c>
      <c r="H94" s="51">
        <v>43315.59027777778</v>
      </c>
      <c r="I94" s="52">
        <v>0.0</v>
      </c>
      <c r="J94" s="53"/>
      <c r="K94" s="53"/>
    </row>
    <row r="95">
      <c r="A95" s="48" t="s">
        <v>524</v>
      </c>
      <c r="B95" s="49" t="s">
        <v>525</v>
      </c>
      <c r="C95" s="49" t="s">
        <v>203</v>
      </c>
      <c r="D95" s="49" t="s">
        <v>120</v>
      </c>
      <c r="E95" s="49" t="s">
        <v>245</v>
      </c>
      <c r="F95" s="50">
        <v>43312.0</v>
      </c>
      <c r="G95" s="50">
        <v>43312.0</v>
      </c>
      <c r="H95" s="51">
        <v>43312.67013888889</v>
      </c>
      <c r="I95" s="52">
        <v>1.0</v>
      </c>
      <c r="J95" s="53"/>
      <c r="K95" s="53"/>
    </row>
    <row r="96">
      <c r="A96" s="48" t="s">
        <v>526</v>
      </c>
      <c r="B96" s="49" t="s">
        <v>527</v>
      </c>
      <c r="C96" s="49" t="s">
        <v>203</v>
      </c>
      <c r="D96" s="49" t="s">
        <v>120</v>
      </c>
      <c r="E96" s="49" t="s">
        <v>245</v>
      </c>
      <c r="F96" s="50">
        <v>43312.0</v>
      </c>
      <c r="G96" s="50">
        <v>43312.0</v>
      </c>
      <c r="H96" s="51">
        <v>43312.67222222222</v>
      </c>
      <c r="I96" s="52">
        <v>1.0</v>
      </c>
      <c r="J96" s="53"/>
      <c r="K96" s="53"/>
    </row>
    <row r="97">
      <c r="A97" s="48" t="s">
        <v>529</v>
      </c>
      <c r="B97" s="49" t="s">
        <v>530</v>
      </c>
      <c r="C97" s="49" t="s">
        <v>203</v>
      </c>
      <c r="D97" s="49" t="s">
        <v>148</v>
      </c>
      <c r="E97" s="49" t="s">
        <v>245</v>
      </c>
      <c r="F97" s="50">
        <v>43312.0</v>
      </c>
      <c r="G97" s="50">
        <v>43312.0</v>
      </c>
      <c r="H97" s="51">
        <v>43313.825</v>
      </c>
      <c r="I97" s="52">
        <v>1.0</v>
      </c>
      <c r="J97" s="53"/>
      <c r="K97" s="53"/>
    </row>
    <row r="98">
      <c r="A98" s="48" t="s">
        <v>533</v>
      </c>
      <c r="B98" s="49" t="s">
        <v>534</v>
      </c>
      <c r="C98" s="49" t="s">
        <v>221</v>
      </c>
      <c r="D98" s="49" t="s">
        <v>153</v>
      </c>
      <c r="E98" s="49" t="s">
        <v>245</v>
      </c>
      <c r="F98" s="50">
        <v>43312.0</v>
      </c>
      <c r="G98" s="50">
        <v>43312.0</v>
      </c>
      <c r="H98" s="51">
        <v>43315.59166666667</v>
      </c>
      <c r="I98" s="52">
        <v>1.0</v>
      </c>
      <c r="J98" s="53"/>
      <c r="K98" s="53"/>
    </row>
    <row r="99">
      <c r="A99" s="48" t="s">
        <v>538</v>
      </c>
      <c r="B99" s="49" t="s">
        <v>539</v>
      </c>
      <c r="C99" s="49" t="s">
        <v>257</v>
      </c>
      <c r="D99" s="49" t="s">
        <v>153</v>
      </c>
      <c r="E99" s="49" t="s">
        <v>245</v>
      </c>
      <c r="F99" s="50">
        <v>43312.0</v>
      </c>
      <c r="G99" s="50">
        <v>43312.0</v>
      </c>
      <c r="H99" s="51">
        <v>43315.59097222222</v>
      </c>
      <c r="I99" s="52">
        <v>1.0</v>
      </c>
      <c r="J99" s="53"/>
      <c r="K99" s="53"/>
    </row>
    <row r="100">
      <c r="A100" s="48" t="s">
        <v>541</v>
      </c>
      <c r="B100" s="49" t="s">
        <v>542</v>
      </c>
      <c r="C100" s="49" t="s">
        <v>221</v>
      </c>
      <c r="D100" s="49" t="s">
        <v>153</v>
      </c>
      <c r="E100" s="49" t="s">
        <v>245</v>
      </c>
      <c r="F100" s="50">
        <v>43312.0</v>
      </c>
      <c r="G100" s="50">
        <v>43312.0</v>
      </c>
      <c r="H100" s="51">
        <v>43315.59097222222</v>
      </c>
      <c r="I100" s="52">
        <v>1.0</v>
      </c>
      <c r="J100" s="53"/>
      <c r="K100" s="53"/>
    </row>
    <row r="101">
      <c r="A101" s="48" t="s">
        <v>544</v>
      </c>
      <c r="B101" s="49" t="s">
        <v>545</v>
      </c>
      <c r="C101" s="49" t="s">
        <v>203</v>
      </c>
      <c r="D101" s="49" t="s">
        <v>140</v>
      </c>
      <c r="E101" s="49" t="s">
        <v>245</v>
      </c>
      <c r="F101" s="50">
        <v>43312.0</v>
      </c>
      <c r="G101" s="50">
        <v>43312.0</v>
      </c>
      <c r="H101" s="51">
        <v>43315.49791666667</v>
      </c>
      <c r="I101" s="52">
        <v>1.0</v>
      </c>
      <c r="J101" s="53"/>
      <c r="K101" s="53"/>
    </row>
    <row r="102">
      <c r="A102" s="48" t="s">
        <v>546</v>
      </c>
      <c r="B102" s="49" t="s">
        <v>547</v>
      </c>
      <c r="C102" s="49" t="s">
        <v>548</v>
      </c>
      <c r="D102" s="49" t="s">
        <v>140</v>
      </c>
      <c r="E102" s="49" t="s">
        <v>245</v>
      </c>
      <c r="F102" s="50">
        <v>43311.0</v>
      </c>
      <c r="G102" s="50">
        <v>43315.0</v>
      </c>
      <c r="H102" s="51">
        <v>43315.49444444444</v>
      </c>
      <c r="I102" s="52">
        <v>1.0</v>
      </c>
      <c r="J102" s="53"/>
      <c r="K102" s="53"/>
    </row>
    <row r="103">
      <c r="A103" s="48" t="s">
        <v>551</v>
      </c>
      <c r="B103" s="49" t="s">
        <v>552</v>
      </c>
      <c r="C103" s="49" t="s">
        <v>221</v>
      </c>
      <c r="D103" s="49" t="s">
        <v>153</v>
      </c>
      <c r="E103" s="49" t="s">
        <v>245</v>
      </c>
      <c r="F103" s="50">
        <v>43311.0</v>
      </c>
      <c r="G103" s="50">
        <v>43311.0</v>
      </c>
      <c r="H103" s="51">
        <v>43315.59027777778</v>
      </c>
      <c r="I103" s="52">
        <v>1.0</v>
      </c>
      <c r="J103" s="53"/>
      <c r="K103" s="53"/>
    </row>
    <row r="104">
      <c r="A104" s="48" t="s">
        <v>553</v>
      </c>
      <c r="B104" s="49" t="s">
        <v>554</v>
      </c>
      <c r="C104" s="49" t="s">
        <v>257</v>
      </c>
      <c r="D104" s="49" t="s">
        <v>153</v>
      </c>
      <c r="E104" s="49" t="s">
        <v>245</v>
      </c>
      <c r="F104" s="50">
        <v>43311.0</v>
      </c>
      <c r="G104" s="50">
        <v>43311.0</v>
      </c>
      <c r="H104" s="51">
        <v>43315.589583333334</v>
      </c>
      <c r="I104" s="52">
        <v>1.0</v>
      </c>
      <c r="J104" s="53"/>
      <c r="K104" s="53"/>
    </row>
    <row r="105">
      <c r="A105" s="48" t="s">
        <v>557</v>
      </c>
      <c r="B105" s="49" t="s">
        <v>558</v>
      </c>
      <c r="C105" s="49" t="s">
        <v>203</v>
      </c>
      <c r="D105" s="49" t="s">
        <v>120</v>
      </c>
      <c r="E105" s="49" t="s">
        <v>245</v>
      </c>
      <c r="F105" s="50">
        <v>43308.0</v>
      </c>
      <c r="G105" s="50">
        <v>43311.0</v>
      </c>
      <c r="H105" s="51">
        <v>43312.67013888889</v>
      </c>
      <c r="I105" s="52">
        <v>1.0</v>
      </c>
      <c r="J105" s="53"/>
      <c r="K105" s="53"/>
    </row>
    <row r="106">
      <c r="A106" s="48" t="s">
        <v>559</v>
      </c>
      <c r="B106" s="49" t="s">
        <v>560</v>
      </c>
      <c r="C106" s="49" t="s">
        <v>243</v>
      </c>
      <c r="D106" s="49" t="s">
        <v>140</v>
      </c>
      <c r="E106" s="49" t="s">
        <v>245</v>
      </c>
      <c r="F106" s="50">
        <v>43308.0</v>
      </c>
      <c r="G106" s="50">
        <v>43308.0</v>
      </c>
      <c r="H106" s="51">
        <v>43313.77222222222</v>
      </c>
      <c r="I106" s="52">
        <v>1.0</v>
      </c>
      <c r="J106" s="53"/>
      <c r="K106" s="53"/>
    </row>
    <row r="107">
      <c r="A107" s="48" t="s">
        <v>562</v>
      </c>
      <c r="B107" s="49" t="s">
        <v>563</v>
      </c>
      <c r="C107" s="49" t="s">
        <v>243</v>
      </c>
      <c r="D107" s="49" t="s">
        <v>140</v>
      </c>
      <c r="E107" s="49" t="s">
        <v>245</v>
      </c>
      <c r="F107" s="50">
        <v>43308.0</v>
      </c>
      <c r="G107" s="50">
        <v>43308.0</v>
      </c>
      <c r="H107" s="51">
        <v>43313.771527777775</v>
      </c>
      <c r="I107" s="52">
        <v>1.0</v>
      </c>
      <c r="J107" s="53"/>
      <c r="K107" s="53"/>
    </row>
    <row r="108">
      <c r="A108" s="48" t="s">
        <v>564</v>
      </c>
      <c r="B108" s="49" t="s">
        <v>565</v>
      </c>
      <c r="C108" s="49" t="s">
        <v>257</v>
      </c>
      <c r="D108" s="49" t="s">
        <v>566</v>
      </c>
      <c r="E108" s="49" t="s">
        <v>204</v>
      </c>
      <c r="F108" s="50">
        <v>43307.0</v>
      </c>
      <c r="G108" s="50">
        <v>43317.0</v>
      </c>
      <c r="H108" s="51">
        <v>43307.69930555556</v>
      </c>
      <c r="I108" s="52">
        <v>0.0</v>
      </c>
      <c r="J108" s="53"/>
      <c r="K108" s="53"/>
    </row>
    <row r="109">
      <c r="A109" s="48" t="s">
        <v>567</v>
      </c>
      <c r="B109" s="49" t="s">
        <v>568</v>
      </c>
      <c r="C109" s="49" t="s">
        <v>257</v>
      </c>
      <c r="D109" s="49" t="s">
        <v>120</v>
      </c>
      <c r="E109" s="49" t="s">
        <v>245</v>
      </c>
      <c r="F109" s="50">
        <v>43306.0</v>
      </c>
      <c r="G109" s="50">
        <v>43306.0</v>
      </c>
      <c r="H109" s="51">
        <v>43308.663194444445</v>
      </c>
      <c r="I109" s="52">
        <v>1.0</v>
      </c>
      <c r="J109" s="53"/>
      <c r="K109" s="53"/>
    </row>
    <row r="110">
      <c r="A110" s="7" t="s">
        <v>569</v>
      </c>
      <c r="B110" s="5" t="s">
        <v>570</v>
      </c>
      <c r="C110" s="6" t="s">
        <v>243</v>
      </c>
      <c r="D110" s="6" t="s">
        <v>148</v>
      </c>
      <c r="E110" s="6" t="s">
        <v>245</v>
      </c>
      <c r="F110" s="58">
        <v>43305.0</v>
      </c>
      <c r="G110" s="58">
        <v>43316.0</v>
      </c>
      <c r="H110" s="59">
        <v>43305.62847222222</v>
      </c>
      <c r="I110" s="60">
        <v>1.0</v>
      </c>
      <c r="J110" s="7"/>
      <c r="K110" s="8"/>
    </row>
    <row r="111">
      <c r="A111" s="7" t="s">
        <v>575</v>
      </c>
      <c r="B111" s="5" t="s">
        <v>576</v>
      </c>
      <c r="C111" s="6" t="s">
        <v>379</v>
      </c>
      <c r="D111" s="6" t="s">
        <v>148</v>
      </c>
      <c r="E111" s="6" t="s">
        <v>245</v>
      </c>
      <c r="F111" s="58">
        <v>43305.0</v>
      </c>
      <c r="G111" s="58">
        <v>43306.0</v>
      </c>
      <c r="H111" s="59">
        <v>43306.42083333333</v>
      </c>
      <c r="I111" s="60">
        <v>1.0</v>
      </c>
      <c r="J111" s="7"/>
      <c r="K111" s="8"/>
    </row>
    <row r="112">
      <c r="A112" s="7" t="s">
        <v>578</v>
      </c>
      <c r="B112" s="5" t="s">
        <v>579</v>
      </c>
      <c r="C112" s="6" t="s">
        <v>379</v>
      </c>
      <c r="D112" s="6" t="s">
        <v>148</v>
      </c>
      <c r="E112" s="6" t="s">
        <v>245</v>
      </c>
      <c r="F112" s="58">
        <v>43305.0</v>
      </c>
      <c r="G112" s="58">
        <v>43305.0</v>
      </c>
      <c r="H112" s="59">
        <v>43306.686111111114</v>
      </c>
      <c r="I112" s="60">
        <v>1.0</v>
      </c>
      <c r="J112" s="7"/>
      <c r="K112" s="8"/>
    </row>
    <row r="113">
      <c r="A113" s="7" t="s">
        <v>580</v>
      </c>
      <c r="B113" s="5" t="s">
        <v>581</v>
      </c>
      <c r="C113" s="6" t="s">
        <v>203</v>
      </c>
      <c r="D113" s="6" t="s">
        <v>120</v>
      </c>
      <c r="E113" s="6" t="s">
        <v>245</v>
      </c>
      <c r="F113" s="58">
        <v>43305.0</v>
      </c>
      <c r="G113" s="58">
        <v>43305.0</v>
      </c>
      <c r="H113" s="59">
        <v>43308.66527777778</v>
      </c>
      <c r="I113" s="60">
        <v>1.0</v>
      </c>
      <c r="J113" s="7"/>
      <c r="K113" s="8"/>
    </row>
    <row r="114">
      <c r="A114" s="48" t="s">
        <v>582</v>
      </c>
      <c r="B114" s="49" t="s">
        <v>583</v>
      </c>
      <c r="C114" s="49" t="s">
        <v>203</v>
      </c>
      <c r="D114" s="49" t="s">
        <v>120</v>
      </c>
      <c r="E114" s="49" t="s">
        <v>245</v>
      </c>
      <c r="F114" s="50">
        <v>43305.0</v>
      </c>
      <c r="G114" s="50">
        <v>43307.0</v>
      </c>
      <c r="H114" s="51">
        <v>43308.663194444445</v>
      </c>
      <c r="I114" s="52">
        <v>1.0</v>
      </c>
      <c r="J114" s="53"/>
      <c r="K114" s="53"/>
    </row>
    <row r="115">
      <c r="A115" s="7" t="s">
        <v>584</v>
      </c>
      <c r="B115" s="5" t="s">
        <v>585</v>
      </c>
      <c r="C115" s="6" t="s">
        <v>243</v>
      </c>
      <c r="D115" s="6" t="s">
        <v>148</v>
      </c>
      <c r="E115" s="6" t="s">
        <v>245</v>
      </c>
      <c r="F115" s="58">
        <v>43304.0</v>
      </c>
      <c r="G115" s="58">
        <v>43314.0</v>
      </c>
      <c r="H115" s="59">
        <v>43304.68402777778</v>
      </c>
      <c r="I115" s="60">
        <v>1.0</v>
      </c>
      <c r="J115" s="7"/>
      <c r="K115" s="8"/>
    </row>
    <row r="116">
      <c r="A116" s="7" t="s">
        <v>586</v>
      </c>
      <c r="B116" s="5" t="s">
        <v>587</v>
      </c>
      <c r="C116" s="6" t="s">
        <v>243</v>
      </c>
      <c r="D116" s="6" t="s">
        <v>148</v>
      </c>
      <c r="E116" s="6" t="s">
        <v>245</v>
      </c>
      <c r="F116" s="58">
        <v>43304.0</v>
      </c>
      <c r="G116" s="58">
        <v>43304.0</v>
      </c>
      <c r="H116" s="59">
        <v>43304.709027777775</v>
      </c>
      <c r="I116" s="60">
        <v>1.0</v>
      </c>
      <c r="J116" s="7"/>
      <c r="K116" s="8"/>
    </row>
    <row r="117">
      <c r="A117" s="49" t="s">
        <v>589</v>
      </c>
      <c r="B117" s="49" t="s">
        <v>590</v>
      </c>
      <c r="C117" s="49" t="s">
        <v>243</v>
      </c>
      <c r="D117" s="49" t="s">
        <v>148</v>
      </c>
      <c r="E117" s="49" t="s">
        <v>245</v>
      </c>
      <c r="F117" s="54">
        <v>43304.0</v>
      </c>
      <c r="G117" s="54">
        <v>43315.0</v>
      </c>
      <c r="H117" s="55">
        <v>43315.66875</v>
      </c>
      <c r="I117" s="56">
        <v>1.0</v>
      </c>
      <c r="J117" s="49"/>
      <c r="K117" s="57"/>
    </row>
    <row r="118">
      <c r="A118" s="7" t="s">
        <v>594</v>
      </c>
      <c r="B118" s="5" t="s">
        <v>595</v>
      </c>
      <c r="C118" s="6" t="s">
        <v>203</v>
      </c>
      <c r="D118" s="6" t="s">
        <v>120</v>
      </c>
      <c r="E118" s="6" t="s">
        <v>245</v>
      </c>
      <c r="F118" s="58">
        <v>43304.0</v>
      </c>
      <c r="G118" s="58">
        <v>43305.0</v>
      </c>
      <c r="H118" s="59">
        <v>43305.364583333336</v>
      </c>
      <c r="I118" s="60">
        <v>1.0</v>
      </c>
      <c r="J118" s="7"/>
      <c r="K118" s="8"/>
    </row>
    <row r="119">
      <c r="A119" s="7" t="s">
        <v>596</v>
      </c>
      <c r="B119" s="5" t="s">
        <v>597</v>
      </c>
      <c r="C119" s="6" t="s">
        <v>203</v>
      </c>
      <c r="D119" s="6" t="s">
        <v>148</v>
      </c>
      <c r="E119" s="6" t="s">
        <v>245</v>
      </c>
      <c r="F119" s="58">
        <v>43304.0</v>
      </c>
      <c r="G119" s="58">
        <v>43307.0</v>
      </c>
      <c r="H119" s="59">
        <v>43306.73125</v>
      </c>
      <c r="I119" s="60">
        <v>1.0</v>
      </c>
      <c r="J119" s="7"/>
      <c r="K119" s="8"/>
    </row>
    <row r="120">
      <c r="A120" s="7" t="s">
        <v>598</v>
      </c>
      <c r="B120" s="5" t="s">
        <v>599</v>
      </c>
      <c r="C120" s="6" t="s">
        <v>203</v>
      </c>
      <c r="D120" s="6" t="s">
        <v>148</v>
      </c>
      <c r="E120" s="6" t="s">
        <v>245</v>
      </c>
      <c r="F120" s="58">
        <v>43303.0</v>
      </c>
      <c r="G120" s="58">
        <v>43306.0</v>
      </c>
      <c r="H120" s="59">
        <v>43313.58263888889</v>
      </c>
      <c r="I120" s="60">
        <v>1.0</v>
      </c>
      <c r="J120" s="7"/>
      <c r="K120" s="8"/>
    </row>
    <row r="121">
      <c r="A121" s="7" t="s">
        <v>601</v>
      </c>
      <c r="B121" s="5" t="s">
        <v>602</v>
      </c>
      <c r="C121" s="6" t="s">
        <v>379</v>
      </c>
      <c r="D121" s="6" t="s">
        <v>148</v>
      </c>
      <c r="E121" s="6" t="s">
        <v>245</v>
      </c>
      <c r="F121" s="58">
        <v>43301.0</v>
      </c>
      <c r="G121" s="58">
        <v>43301.0</v>
      </c>
      <c r="H121" s="59">
        <v>43301.83194444444</v>
      </c>
      <c r="I121" s="60">
        <v>1.0</v>
      </c>
      <c r="J121" s="7"/>
      <c r="K121" s="8"/>
    </row>
    <row r="122">
      <c r="A122" s="7" t="s">
        <v>603</v>
      </c>
      <c r="B122" s="5" t="s">
        <v>604</v>
      </c>
      <c r="C122" s="6" t="s">
        <v>605</v>
      </c>
      <c r="D122" s="6" t="s">
        <v>349</v>
      </c>
      <c r="E122" s="6" t="s">
        <v>245</v>
      </c>
      <c r="F122" s="58">
        <v>43300.0</v>
      </c>
      <c r="G122" s="58">
        <v>43308.0</v>
      </c>
      <c r="H122" s="59">
        <v>43318.725</v>
      </c>
      <c r="I122" s="60">
        <v>1.0</v>
      </c>
      <c r="J122" s="7"/>
      <c r="K122" s="8"/>
    </row>
    <row r="123">
      <c r="A123" s="7" t="s">
        <v>607</v>
      </c>
      <c r="B123" s="5" t="s">
        <v>608</v>
      </c>
      <c r="C123" s="6" t="s">
        <v>243</v>
      </c>
      <c r="D123" s="6" t="s">
        <v>349</v>
      </c>
      <c r="E123" s="6" t="s">
        <v>277</v>
      </c>
      <c r="F123" s="58">
        <v>43299.0</v>
      </c>
      <c r="G123" s="58">
        <v>43299.0</v>
      </c>
      <c r="H123" s="59">
        <v>43299.47083333333</v>
      </c>
      <c r="I123" s="60">
        <v>0.0</v>
      </c>
      <c r="J123" s="7"/>
      <c r="K123" s="8"/>
    </row>
    <row r="124">
      <c r="A124" s="7" t="s">
        <v>612</v>
      </c>
      <c r="B124" s="5" t="s">
        <v>613</v>
      </c>
      <c r="C124" s="6" t="s">
        <v>203</v>
      </c>
      <c r="D124" s="6" t="s">
        <v>120</v>
      </c>
      <c r="E124" s="6" t="s">
        <v>245</v>
      </c>
      <c r="F124" s="58">
        <v>43299.0</v>
      </c>
      <c r="G124" s="58">
        <v>43304.0</v>
      </c>
      <c r="H124" s="59">
        <v>43305.364583333336</v>
      </c>
      <c r="I124" s="60">
        <v>1.0</v>
      </c>
      <c r="J124" s="7"/>
      <c r="K124" s="8"/>
    </row>
    <row r="125">
      <c r="A125" s="7" t="s">
        <v>614</v>
      </c>
      <c r="B125" s="5" t="s">
        <v>615</v>
      </c>
      <c r="C125" s="6" t="s">
        <v>379</v>
      </c>
      <c r="D125" s="6" t="s">
        <v>148</v>
      </c>
      <c r="E125" s="6" t="s">
        <v>245</v>
      </c>
      <c r="F125" s="58">
        <v>43299.0</v>
      </c>
      <c r="G125" s="58">
        <v>43299.0</v>
      </c>
      <c r="H125" s="59">
        <v>43301.86041666667</v>
      </c>
      <c r="I125" s="60">
        <v>1.0</v>
      </c>
      <c r="J125" s="7"/>
      <c r="K125" s="8"/>
    </row>
    <row r="126">
      <c r="A126" s="7" t="s">
        <v>616</v>
      </c>
      <c r="B126" s="5" t="s">
        <v>617</v>
      </c>
      <c r="C126" s="6" t="s">
        <v>379</v>
      </c>
      <c r="D126" s="6" t="s">
        <v>148</v>
      </c>
      <c r="E126" s="6" t="s">
        <v>245</v>
      </c>
      <c r="F126" s="58">
        <v>43299.0</v>
      </c>
      <c r="G126" s="58">
        <v>43299.0</v>
      </c>
      <c r="H126" s="59">
        <v>43301.86041666667</v>
      </c>
      <c r="I126" s="60">
        <v>1.0</v>
      </c>
      <c r="J126" s="7"/>
      <c r="K126" s="8"/>
    </row>
    <row r="127">
      <c r="A127" s="7" t="s">
        <v>619</v>
      </c>
      <c r="B127" s="5" t="s">
        <v>620</v>
      </c>
      <c r="C127" s="6" t="s">
        <v>379</v>
      </c>
      <c r="D127" s="6" t="s">
        <v>148</v>
      </c>
      <c r="E127" s="6" t="s">
        <v>245</v>
      </c>
      <c r="F127" s="58">
        <v>43299.0</v>
      </c>
      <c r="G127" s="58">
        <v>43299.0</v>
      </c>
      <c r="H127" s="59">
        <v>43299.69097222222</v>
      </c>
      <c r="I127" s="60">
        <v>1.0</v>
      </c>
      <c r="J127" s="7"/>
      <c r="K127" s="8"/>
    </row>
    <row r="128">
      <c r="A128" s="7" t="s">
        <v>622</v>
      </c>
      <c r="B128" s="5" t="s">
        <v>623</v>
      </c>
      <c r="C128" s="6" t="s">
        <v>221</v>
      </c>
      <c r="D128" s="6" t="s">
        <v>153</v>
      </c>
      <c r="E128" s="6" t="s">
        <v>245</v>
      </c>
      <c r="F128" s="58">
        <v>43299.0</v>
      </c>
      <c r="G128" s="58">
        <v>43299.0</v>
      </c>
      <c r="H128" s="59">
        <v>43299.629166666666</v>
      </c>
      <c r="I128" s="60">
        <v>1.0</v>
      </c>
      <c r="J128" s="7"/>
      <c r="K128" s="8"/>
    </row>
    <row r="129">
      <c r="A129" s="7" t="s">
        <v>625</v>
      </c>
      <c r="B129" s="5" t="s">
        <v>627</v>
      </c>
      <c r="C129" s="6" t="s">
        <v>257</v>
      </c>
      <c r="D129" s="6" t="s">
        <v>153</v>
      </c>
      <c r="E129" s="6" t="s">
        <v>245</v>
      </c>
      <c r="F129" s="58">
        <v>43299.0</v>
      </c>
      <c r="G129" s="58">
        <v>43299.0</v>
      </c>
      <c r="H129" s="59">
        <v>43299.629166666666</v>
      </c>
      <c r="I129" s="60">
        <v>1.0</v>
      </c>
      <c r="J129" s="7"/>
      <c r="K129" s="8"/>
    </row>
    <row r="130">
      <c r="A130" s="7" t="s">
        <v>628</v>
      </c>
      <c r="B130" s="5" t="s">
        <v>629</v>
      </c>
      <c r="C130" s="6" t="s">
        <v>257</v>
      </c>
      <c r="D130" s="6" t="s">
        <v>153</v>
      </c>
      <c r="E130" s="6" t="s">
        <v>245</v>
      </c>
      <c r="F130" s="58">
        <v>43299.0</v>
      </c>
      <c r="G130" s="58">
        <v>43299.0</v>
      </c>
      <c r="H130" s="59">
        <v>43299.63055555556</v>
      </c>
      <c r="I130" s="60">
        <v>1.0</v>
      </c>
      <c r="J130" s="7"/>
      <c r="K130" s="8"/>
    </row>
    <row r="131">
      <c r="A131" s="7" t="s">
        <v>631</v>
      </c>
      <c r="B131" s="5" t="s">
        <v>632</v>
      </c>
      <c r="C131" s="6" t="s">
        <v>257</v>
      </c>
      <c r="D131" s="6" t="s">
        <v>153</v>
      </c>
      <c r="E131" s="6" t="s">
        <v>245</v>
      </c>
      <c r="F131" s="58">
        <v>43299.0</v>
      </c>
      <c r="G131" s="58">
        <v>43299.0</v>
      </c>
      <c r="H131" s="59">
        <v>43299.63055555556</v>
      </c>
      <c r="I131" s="60">
        <v>1.0</v>
      </c>
      <c r="J131" s="7"/>
      <c r="K131" s="8"/>
    </row>
    <row r="132">
      <c r="A132" s="7" t="s">
        <v>634</v>
      </c>
      <c r="B132" s="5" t="s">
        <v>635</v>
      </c>
      <c r="C132" s="6" t="s">
        <v>221</v>
      </c>
      <c r="D132" s="6" t="s">
        <v>153</v>
      </c>
      <c r="E132" s="6" t="s">
        <v>245</v>
      </c>
      <c r="F132" s="58">
        <v>43299.0</v>
      </c>
      <c r="G132" s="58">
        <v>43299.0</v>
      </c>
      <c r="H132" s="59">
        <v>43299.63125</v>
      </c>
      <c r="I132" s="60">
        <v>1.0</v>
      </c>
      <c r="J132" s="7"/>
      <c r="K132" s="8"/>
    </row>
    <row r="133">
      <c r="A133" s="7" t="s">
        <v>636</v>
      </c>
      <c r="B133" s="5" t="s">
        <v>637</v>
      </c>
      <c r="C133" s="6" t="s">
        <v>221</v>
      </c>
      <c r="D133" s="6" t="s">
        <v>153</v>
      </c>
      <c r="E133" s="6" t="s">
        <v>245</v>
      </c>
      <c r="F133" s="58">
        <v>43299.0</v>
      </c>
      <c r="G133" s="58">
        <v>43299.0</v>
      </c>
      <c r="H133" s="59">
        <v>43299.63125</v>
      </c>
      <c r="I133" s="60">
        <v>1.0</v>
      </c>
      <c r="J133" s="7"/>
      <c r="K133" s="8"/>
    </row>
    <row r="134">
      <c r="A134" s="7" t="s">
        <v>638</v>
      </c>
      <c r="B134" s="5" t="s">
        <v>639</v>
      </c>
      <c r="C134" s="6" t="s">
        <v>221</v>
      </c>
      <c r="D134" s="6" t="s">
        <v>153</v>
      </c>
      <c r="E134" s="6" t="s">
        <v>245</v>
      </c>
      <c r="F134" s="58">
        <v>43299.0</v>
      </c>
      <c r="G134" s="58">
        <v>43299.0</v>
      </c>
      <c r="H134" s="59">
        <v>43299.63055555556</v>
      </c>
      <c r="I134" s="60">
        <v>1.0</v>
      </c>
      <c r="J134" s="7"/>
      <c r="K134" s="8"/>
    </row>
    <row r="135">
      <c r="A135" s="7" t="s">
        <v>640</v>
      </c>
      <c r="B135" s="5" t="s">
        <v>641</v>
      </c>
      <c r="C135" s="6" t="s">
        <v>221</v>
      </c>
      <c r="D135" s="6" t="s">
        <v>153</v>
      </c>
      <c r="E135" s="6" t="s">
        <v>245</v>
      </c>
      <c r="F135" s="58">
        <v>43299.0</v>
      </c>
      <c r="G135" s="58">
        <v>43299.0</v>
      </c>
      <c r="H135" s="59">
        <v>43299.63125</v>
      </c>
      <c r="I135" s="60">
        <v>1.0</v>
      </c>
      <c r="J135" s="7"/>
      <c r="K135" s="8"/>
    </row>
    <row r="136">
      <c r="A136" s="7" t="s">
        <v>643</v>
      </c>
      <c r="B136" s="5" t="s">
        <v>644</v>
      </c>
      <c r="C136" s="6" t="s">
        <v>257</v>
      </c>
      <c r="D136" s="6" t="s">
        <v>153</v>
      </c>
      <c r="E136" s="6" t="s">
        <v>245</v>
      </c>
      <c r="F136" s="58">
        <v>43299.0</v>
      </c>
      <c r="G136" s="58">
        <v>43299.0</v>
      </c>
      <c r="H136" s="59">
        <v>43299.631944444445</v>
      </c>
      <c r="I136" s="60">
        <v>1.0</v>
      </c>
      <c r="J136" s="7"/>
      <c r="K136" s="8"/>
    </row>
    <row r="137">
      <c r="A137" s="7" t="s">
        <v>645</v>
      </c>
      <c r="B137" s="5" t="s">
        <v>646</v>
      </c>
      <c r="C137" s="6" t="s">
        <v>379</v>
      </c>
      <c r="D137" s="6" t="s">
        <v>148</v>
      </c>
      <c r="E137" s="6" t="s">
        <v>245</v>
      </c>
      <c r="F137" s="58">
        <v>43299.0</v>
      </c>
      <c r="G137" s="58">
        <v>43299.0</v>
      </c>
      <c r="H137" s="59">
        <v>43301.833333333336</v>
      </c>
      <c r="I137" s="60">
        <v>1.0</v>
      </c>
      <c r="J137" s="7"/>
      <c r="K137" s="8"/>
    </row>
    <row r="138">
      <c r="A138" s="7" t="s">
        <v>648</v>
      </c>
      <c r="B138" s="5" t="s">
        <v>649</v>
      </c>
      <c r="C138" s="6" t="s">
        <v>379</v>
      </c>
      <c r="D138" s="6" t="s">
        <v>148</v>
      </c>
      <c r="E138" s="6" t="s">
        <v>245</v>
      </c>
      <c r="F138" s="58">
        <v>43298.0</v>
      </c>
      <c r="G138" s="58">
        <v>43298.0</v>
      </c>
      <c r="H138" s="59">
        <v>43301.86041666667</v>
      </c>
      <c r="I138" s="60">
        <v>1.0</v>
      </c>
      <c r="J138" s="7"/>
      <c r="K138" s="8"/>
    </row>
    <row r="139">
      <c r="A139" s="7" t="s">
        <v>650</v>
      </c>
      <c r="B139" s="5" t="s">
        <v>651</v>
      </c>
      <c r="C139" s="6" t="s">
        <v>379</v>
      </c>
      <c r="D139" s="6" t="s">
        <v>148</v>
      </c>
      <c r="E139" s="6" t="s">
        <v>245</v>
      </c>
      <c r="F139" s="58">
        <v>43298.0</v>
      </c>
      <c r="G139" s="58">
        <v>43298.0</v>
      </c>
      <c r="H139" s="59">
        <v>43301.86041666667</v>
      </c>
      <c r="I139" s="60">
        <v>1.0</v>
      </c>
      <c r="J139" s="7"/>
      <c r="K139" s="8"/>
    </row>
    <row r="140">
      <c r="A140" s="7" t="s">
        <v>655</v>
      </c>
      <c r="B140" s="5" t="s">
        <v>656</v>
      </c>
      <c r="C140" s="6" t="s">
        <v>257</v>
      </c>
      <c r="D140" s="6" t="s">
        <v>153</v>
      </c>
      <c r="E140" s="6" t="s">
        <v>245</v>
      </c>
      <c r="F140" s="58">
        <v>43298.0</v>
      </c>
      <c r="G140" s="58">
        <v>43298.0</v>
      </c>
      <c r="H140" s="59">
        <v>43299.62847222222</v>
      </c>
      <c r="I140" s="60">
        <v>1.0</v>
      </c>
      <c r="J140" s="7"/>
      <c r="K140" s="8"/>
    </row>
    <row r="141">
      <c r="A141" s="7" t="s">
        <v>658</v>
      </c>
      <c r="B141" s="5" t="s">
        <v>659</v>
      </c>
      <c r="C141" s="6" t="s">
        <v>221</v>
      </c>
      <c r="D141" s="6" t="s">
        <v>153</v>
      </c>
      <c r="E141" s="6" t="s">
        <v>245</v>
      </c>
      <c r="F141" s="58">
        <v>43298.0</v>
      </c>
      <c r="G141" s="58">
        <v>43298.0</v>
      </c>
      <c r="H141" s="59">
        <v>43299.629166666666</v>
      </c>
      <c r="I141" s="60">
        <v>1.0</v>
      </c>
      <c r="J141" s="7"/>
      <c r="K141" s="8"/>
    </row>
    <row r="142">
      <c r="A142" s="7" t="s">
        <v>662</v>
      </c>
      <c r="B142" s="5" t="s">
        <v>663</v>
      </c>
      <c r="C142" s="6" t="s">
        <v>257</v>
      </c>
      <c r="D142" s="6" t="s">
        <v>153</v>
      </c>
      <c r="E142" s="6" t="s">
        <v>245</v>
      </c>
      <c r="F142" s="58">
        <v>43298.0</v>
      </c>
      <c r="G142" s="58">
        <v>43298.0</v>
      </c>
      <c r="H142" s="59">
        <v>43299.629166666666</v>
      </c>
      <c r="I142" s="60">
        <v>1.0</v>
      </c>
      <c r="J142" s="7"/>
      <c r="K142" s="8"/>
    </row>
    <row r="143">
      <c r="A143" s="7" t="s">
        <v>666</v>
      </c>
      <c r="B143" s="5" t="s">
        <v>667</v>
      </c>
      <c r="C143" s="6" t="s">
        <v>203</v>
      </c>
      <c r="D143" s="6" t="s">
        <v>120</v>
      </c>
      <c r="E143" s="6" t="s">
        <v>245</v>
      </c>
      <c r="F143" s="58">
        <v>43297.0</v>
      </c>
      <c r="G143" s="58">
        <v>43300.0</v>
      </c>
      <c r="H143" s="59">
        <v>43313.74236111111</v>
      </c>
      <c r="I143" s="60">
        <v>1.0</v>
      </c>
      <c r="J143" s="7"/>
      <c r="K143" s="8"/>
    </row>
    <row r="144">
      <c r="A144" s="7" t="s">
        <v>669</v>
      </c>
      <c r="B144" s="5" t="s">
        <v>670</v>
      </c>
      <c r="C144" s="6" t="s">
        <v>257</v>
      </c>
      <c r="D144" s="6" t="s">
        <v>153</v>
      </c>
      <c r="E144" s="6" t="s">
        <v>245</v>
      </c>
      <c r="F144" s="58">
        <v>43297.0</v>
      </c>
      <c r="G144" s="58">
        <v>43297.0</v>
      </c>
      <c r="H144" s="59">
        <v>43297.44375</v>
      </c>
      <c r="I144" s="60">
        <v>1.0</v>
      </c>
      <c r="J144" s="7"/>
      <c r="K144" s="8"/>
    </row>
    <row r="145">
      <c r="A145" s="7" t="s">
        <v>672</v>
      </c>
      <c r="B145" s="5" t="s">
        <v>673</v>
      </c>
      <c r="C145" s="6" t="s">
        <v>221</v>
      </c>
      <c r="D145" s="6" t="s">
        <v>153</v>
      </c>
      <c r="E145" s="6" t="s">
        <v>245</v>
      </c>
      <c r="F145" s="58">
        <v>43297.0</v>
      </c>
      <c r="G145" s="58">
        <v>43297.0</v>
      </c>
      <c r="H145" s="59">
        <v>43297.44513888889</v>
      </c>
      <c r="I145" s="60">
        <v>1.0</v>
      </c>
      <c r="J145" s="7"/>
      <c r="K145" s="8"/>
    </row>
    <row r="146">
      <c r="A146" s="7" t="s">
        <v>675</v>
      </c>
      <c r="B146" s="5" t="s">
        <v>677</v>
      </c>
      <c r="C146" s="6" t="s">
        <v>379</v>
      </c>
      <c r="D146" s="6" t="s">
        <v>148</v>
      </c>
      <c r="E146" s="6" t="s">
        <v>245</v>
      </c>
      <c r="F146" s="58">
        <v>43297.0</v>
      </c>
      <c r="G146" s="58">
        <v>43297.0</v>
      </c>
      <c r="H146" s="59">
        <v>43301.86041666667</v>
      </c>
      <c r="I146" s="60">
        <v>1.0</v>
      </c>
      <c r="J146" s="7"/>
      <c r="K146" s="8"/>
    </row>
    <row r="147">
      <c r="A147" s="7" t="s">
        <v>680</v>
      </c>
      <c r="B147" s="5" t="s">
        <v>681</v>
      </c>
      <c r="C147" s="6" t="s">
        <v>257</v>
      </c>
      <c r="D147" s="6" t="s">
        <v>153</v>
      </c>
      <c r="E147" s="6" t="s">
        <v>245</v>
      </c>
      <c r="F147" s="58">
        <v>43297.0</v>
      </c>
      <c r="G147" s="58">
        <v>43297.0</v>
      </c>
      <c r="H147" s="59">
        <v>43297.475694444445</v>
      </c>
      <c r="I147" s="60">
        <v>1.0</v>
      </c>
      <c r="J147" s="7"/>
      <c r="K147" s="8"/>
    </row>
    <row r="148">
      <c r="A148" s="7" t="s">
        <v>683</v>
      </c>
      <c r="B148" s="5" t="s">
        <v>684</v>
      </c>
      <c r="C148" s="6" t="s">
        <v>221</v>
      </c>
      <c r="D148" s="6" t="s">
        <v>153</v>
      </c>
      <c r="E148" s="6" t="s">
        <v>245</v>
      </c>
      <c r="F148" s="58">
        <v>43297.0</v>
      </c>
      <c r="G148" s="58">
        <v>43297.0</v>
      </c>
      <c r="H148" s="59">
        <v>43297.475694444445</v>
      </c>
      <c r="I148" s="60">
        <v>1.0</v>
      </c>
      <c r="J148" s="7"/>
      <c r="K148" s="8"/>
    </row>
    <row r="149">
      <c r="A149" s="7" t="s">
        <v>688</v>
      </c>
      <c r="B149" s="5" t="s">
        <v>689</v>
      </c>
      <c r="C149" s="6" t="s">
        <v>221</v>
      </c>
      <c r="D149" s="6" t="s">
        <v>153</v>
      </c>
      <c r="E149" s="6" t="s">
        <v>245</v>
      </c>
      <c r="F149" s="58">
        <v>43294.0</v>
      </c>
      <c r="G149" s="58">
        <v>43294.0</v>
      </c>
      <c r="H149" s="59">
        <v>43294.748611111114</v>
      </c>
      <c r="I149" s="60">
        <v>1.0</v>
      </c>
      <c r="J149" s="7"/>
      <c r="K149" s="8"/>
    </row>
    <row r="150">
      <c r="A150" s="7" t="s">
        <v>691</v>
      </c>
      <c r="B150" s="5" t="s">
        <v>692</v>
      </c>
      <c r="C150" s="6" t="s">
        <v>257</v>
      </c>
      <c r="D150" s="6" t="s">
        <v>153</v>
      </c>
      <c r="E150" s="6" t="s">
        <v>245</v>
      </c>
      <c r="F150" s="58">
        <v>43294.0</v>
      </c>
      <c r="G150" s="58">
        <v>43294.0</v>
      </c>
      <c r="H150" s="59">
        <v>43294.748611111114</v>
      </c>
      <c r="I150" s="60">
        <v>1.0</v>
      </c>
      <c r="J150" s="7"/>
      <c r="K150" s="8"/>
    </row>
    <row r="151">
      <c r="A151" s="7" t="s">
        <v>693</v>
      </c>
      <c r="B151" s="5" t="s">
        <v>694</v>
      </c>
      <c r="C151" s="6" t="s">
        <v>257</v>
      </c>
      <c r="D151" s="6" t="s">
        <v>120</v>
      </c>
      <c r="E151" s="6" t="s">
        <v>245</v>
      </c>
      <c r="F151" s="58">
        <v>43294.0</v>
      </c>
      <c r="G151" s="58">
        <v>43299.0</v>
      </c>
      <c r="H151" s="59">
        <v>43300.59722222222</v>
      </c>
      <c r="I151" s="60">
        <v>1.0</v>
      </c>
      <c r="J151" s="7"/>
      <c r="K151" s="8"/>
    </row>
    <row r="152">
      <c r="A152" s="7" t="s">
        <v>695</v>
      </c>
      <c r="B152" s="5" t="s">
        <v>696</v>
      </c>
      <c r="C152" s="6" t="s">
        <v>243</v>
      </c>
      <c r="D152" s="6" t="s">
        <v>148</v>
      </c>
      <c r="E152" s="6" t="s">
        <v>245</v>
      </c>
      <c r="F152" s="58">
        <v>43293.0</v>
      </c>
      <c r="G152" s="58">
        <v>43293.0</v>
      </c>
      <c r="H152" s="59">
        <v>43293.743055555555</v>
      </c>
      <c r="I152" s="60">
        <v>1.0</v>
      </c>
      <c r="J152" s="7"/>
      <c r="K152" s="8"/>
    </row>
    <row r="153">
      <c r="A153" s="7" t="s">
        <v>698</v>
      </c>
      <c r="B153" s="5" t="s">
        <v>699</v>
      </c>
      <c r="C153" s="6" t="s">
        <v>243</v>
      </c>
      <c r="D153" s="6" t="s">
        <v>148</v>
      </c>
      <c r="E153" s="6" t="s">
        <v>245</v>
      </c>
      <c r="F153" s="58">
        <v>43293.0</v>
      </c>
      <c r="G153" s="58">
        <v>43301.0</v>
      </c>
      <c r="H153" s="59">
        <v>43294.75347222222</v>
      </c>
      <c r="I153" s="60">
        <v>1.0</v>
      </c>
      <c r="J153" s="7"/>
      <c r="K153" s="8"/>
    </row>
    <row r="154">
      <c r="A154" s="7" t="s">
        <v>700</v>
      </c>
      <c r="B154" s="5" t="s">
        <v>701</v>
      </c>
      <c r="C154" s="6" t="s">
        <v>379</v>
      </c>
      <c r="D154" s="6" t="s">
        <v>148</v>
      </c>
      <c r="E154" s="6" t="s">
        <v>245</v>
      </c>
      <c r="F154" s="58">
        <v>43293.0</v>
      </c>
      <c r="G154" s="58">
        <v>43293.0</v>
      </c>
      <c r="H154" s="59">
        <v>43294.80902777778</v>
      </c>
      <c r="I154" s="60">
        <v>1.0</v>
      </c>
      <c r="J154" s="7"/>
      <c r="K154" s="8"/>
    </row>
    <row r="155">
      <c r="A155" s="7" t="s">
        <v>703</v>
      </c>
      <c r="B155" s="5" t="s">
        <v>704</v>
      </c>
      <c r="C155" s="6" t="s">
        <v>379</v>
      </c>
      <c r="D155" s="6" t="s">
        <v>148</v>
      </c>
      <c r="E155" s="6" t="s">
        <v>245</v>
      </c>
      <c r="F155" s="58">
        <v>43293.0</v>
      </c>
      <c r="G155" s="58">
        <v>43293.0</v>
      </c>
      <c r="H155" s="59">
        <v>43294.80902777778</v>
      </c>
      <c r="I155" s="60">
        <v>1.0</v>
      </c>
      <c r="J155" s="7"/>
      <c r="K155" s="8"/>
    </row>
    <row r="156">
      <c r="A156" s="7" t="s">
        <v>705</v>
      </c>
      <c r="B156" s="5" t="s">
        <v>706</v>
      </c>
      <c r="C156" s="6" t="s">
        <v>379</v>
      </c>
      <c r="D156" s="6" t="s">
        <v>148</v>
      </c>
      <c r="E156" s="6" t="s">
        <v>245</v>
      </c>
      <c r="F156" s="58">
        <v>43293.0</v>
      </c>
      <c r="G156" s="58">
        <v>43293.0</v>
      </c>
      <c r="H156" s="59">
        <v>43294.80902777778</v>
      </c>
      <c r="I156" s="60">
        <v>1.0</v>
      </c>
      <c r="J156" s="7"/>
      <c r="K156" s="8"/>
    </row>
    <row r="157">
      <c r="A157" s="7" t="s">
        <v>708</v>
      </c>
      <c r="B157" s="5" t="s">
        <v>709</v>
      </c>
      <c r="C157" s="6" t="s">
        <v>379</v>
      </c>
      <c r="D157" s="6" t="s">
        <v>148</v>
      </c>
      <c r="E157" s="6" t="s">
        <v>245</v>
      </c>
      <c r="F157" s="58">
        <v>43293.0</v>
      </c>
      <c r="G157" s="58">
        <v>43293.0</v>
      </c>
      <c r="H157" s="59">
        <v>43294.80902777778</v>
      </c>
      <c r="I157" s="60">
        <v>1.0</v>
      </c>
      <c r="J157" s="7"/>
      <c r="K157" s="8"/>
    </row>
    <row r="158">
      <c r="A158" s="7" t="s">
        <v>710</v>
      </c>
      <c r="B158" s="5" t="s">
        <v>641</v>
      </c>
      <c r="C158" s="6" t="s">
        <v>221</v>
      </c>
      <c r="D158" s="6" t="s">
        <v>153</v>
      </c>
      <c r="E158" s="6" t="s">
        <v>245</v>
      </c>
      <c r="F158" s="58">
        <v>43293.0</v>
      </c>
      <c r="G158" s="58">
        <v>43293.0</v>
      </c>
      <c r="H158" s="59">
        <v>43299.62847222222</v>
      </c>
      <c r="I158" s="60">
        <v>1.0</v>
      </c>
      <c r="J158" s="7"/>
      <c r="K158" s="8"/>
    </row>
    <row r="159">
      <c r="A159" s="7" t="s">
        <v>712</v>
      </c>
      <c r="B159" s="5" t="s">
        <v>644</v>
      </c>
      <c r="C159" s="6" t="s">
        <v>257</v>
      </c>
      <c r="D159" s="6" t="s">
        <v>153</v>
      </c>
      <c r="E159" s="6" t="s">
        <v>245</v>
      </c>
      <c r="F159" s="58">
        <v>43293.0</v>
      </c>
      <c r="G159" s="58">
        <v>43293.0</v>
      </c>
      <c r="H159" s="59">
        <v>43294.74652777778</v>
      </c>
      <c r="I159" s="60">
        <v>1.0</v>
      </c>
      <c r="J159" s="7"/>
      <c r="K159" s="8"/>
    </row>
    <row r="160">
      <c r="A160" s="7" t="s">
        <v>713</v>
      </c>
      <c r="B160" s="5" t="s">
        <v>714</v>
      </c>
      <c r="C160" s="6" t="s">
        <v>257</v>
      </c>
      <c r="D160" s="6" t="s">
        <v>153</v>
      </c>
      <c r="E160" s="6" t="s">
        <v>245</v>
      </c>
      <c r="F160" s="58">
        <v>43293.0</v>
      </c>
      <c r="G160" s="58">
        <v>43293.0</v>
      </c>
      <c r="H160" s="59">
        <v>43294.74722222222</v>
      </c>
      <c r="I160" s="60">
        <v>1.0</v>
      </c>
      <c r="J160" s="7"/>
      <c r="K160" s="8"/>
    </row>
    <row r="161">
      <c r="A161" s="7" t="s">
        <v>715</v>
      </c>
      <c r="B161" s="5" t="s">
        <v>716</v>
      </c>
      <c r="C161" s="6" t="s">
        <v>257</v>
      </c>
      <c r="D161" s="6" t="s">
        <v>153</v>
      </c>
      <c r="E161" s="6" t="s">
        <v>245</v>
      </c>
      <c r="F161" s="58">
        <v>43293.0</v>
      </c>
      <c r="G161" s="58">
        <v>43293.0</v>
      </c>
      <c r="H161" s="59">
        <v>43294.74791666667</v>
      </c>
      <c r="I161" s="60">
        <v>1.0</v>
      </c>
      <c r="J161" s="7"/>
      <c r="K161" s="8"/>
    </row>
    <row r="162">
      <c r="A162" s="7" t="s">
        <v>718</v>
      </c>
      <c r="B162" s="5" t="s">
        <v>719</v>
      </c>
      <c r="C162" s="6" t="s">
        <v>221</v>
      </c>
      <c r="D162" s="6" t="s">
        <v>153</v>
      </c>
      <c r="E162" s="6" t="s">
        <v>245</v>
      </c>
      <c r="F162" s="58">
        <v>43293.0</v>
      </c>
      <c r="G162" s="58">
        <v>43293.0</v>
      </c>
      <c r="H162" s="59">
        <v>43294.74722222222</v>
      </c>
      <c r="I162" s="60">
        <v>1.0</v>
      </c>
      <c r="J162" s="7"/>
      <c r="K162" s="8"/>
    </row>
    <row r="163">
      <c r="A163" s="7" t="s">
        <v>720</v>
      </c>
      <c r="B163" s="5" t="s">
        <v>721</v>
      </c>
      <c r="C163" s="6" t="s">
        <v>221</v>
      </c>
      <c r="D163" s="6" t="s">
        <v>153</v>
      </c>
      <c r="E163" s="6" t="s">
        <v>245</v>
      </c>
      <c r="F163" s="58">
        <v>43293.0</v>
      </c>
      <c r="G163" s="58">
        <v>43293.0</v>
      </c>
      <c r="H163" s="59">
        <v>43294.74791666667</v>
      </c>
      <c r="I163" s="60">
        <v>1.0</v>
      </c>
      <c r="J163" s="7"/>
      <c r="K163" s="8"/>
    </row>
    <row r="164">
      <c r="A164" s="49" t="s">
        <v>724</v>
      </c>
      <c r="B164" s="49" t="s">
        <v>725</v>
      </c>
      <c r="C164" s="49" t="s">
        <v>243</v>
      </c>
      <c r="D164" s="49" t="s">
        <v>148</v>
      </c>
      <c r="E164" s="49" t="s">
        <v>204</v>
      </c>
      <c r="F164" s="54">
        <v>43292.0</v>
      </c>
      <c r="G164" s="54">
        <v>43301.0</v>
      </c>
      <c r="H164" s="55">
        <v>43292.50486111111</v>
      </c>
      <c r="I164" s="56">
        <v>0.0</v>
      </c>
      <c r="J164" s="49"/>
      <c r="K164" s="57"/>
    </row>
    <row r="165">
      <c r="A165" s="7" t="s">
        <v>728</v>
      </c>
      <c r="B165" s="5" t="s">
        <v>729</v>
      </c>
      <c r="C165" s="6" t="s">
        <v>243</v>
      </c>
      <c r="D165" s="6" t="s">
        <v>148</v>
      </c>
      <c r="E165" s="6" t="s">
        <v>245</v>
      </c>
      <c r="F165" s="58">
        <v>43292.0</v>
      </c>
      <c r="G165" s="58">
        <v>43303.0</v>
      </c>
      <c r="H165" s="59">
        <v>43292.79861111111</v>
      </c>
      <c r="I165" s="60">
        <v>1.0</v>
      </c>
      <c r="J165" s="7"/>
      <c r="K165" s="8"/>
    </row>
    <row r="166">
      <c r="A166" s="7" t="s">
        <v>730</v>
      </c>
      <c r="B166" s="5" t="s">
        <v>731</v>
      </c>
      <c r="C166" s="6" t="s">
        <v>243</v>
      </c>
      <c r="D166" s="6" t="s">
        <v>148</v>
      </c>
      <c r="E166" s="6" t="s">
        <v>245</v>
      </c>
      <c r="F166" s="58">
        <v>43292.0</v>
      </c>
      <c r="G166" s="58">
        <v>43302.0</v>
      </c>
      <c r="H166" s="59">
        <v>43292.794444444444</v>
      </c>
      <c r="I166" s="60">
        <v>1.0</v>
      </c>
      <c r="J166" s="7"/>
      <c r="K166" s="8"/>
    </row>
    <row r="167">
      <c r="A167" s="7" t="s">
        <v>732</v>
      </c>
      <c r="B167" s="5" t="s">
        <v>733</v>
      </c>
      <c r="C167" s="6" t="s">
        <v>243</v>
      </c>
      <c r="D167" s="6" t="s">
        <v>148</v>
      </c>
      <c r="E167" s="6" t="s">
        <v>245</v>
      </c>
      <c r="F167" s="58">
        <v>43292.0</v>
      </c>
      <c r="G167" s="58">
        <v>43292.0</v>
      </c>
      <c r="H167" s="59">
        <v>43293.74791666667</v>
      </c>
      <c r="I167" s="60">
        <v>1.0</v>
      </c>
      <c r="J167" s="7"/>
      <c r="K167" s="8"/>
    </row>
    <row r="168">
      <c r="A168" s="7" t="s">
        <v>735</v>
      </c>
      <c r="B168" s="5" t="s">
        <v>736</v>
      </c>
      <c r="C168" s="6" t="s">
        <v>243</v>
      </c>
      <c r="D168" s="6" t="s">
        <v>148</v>
      </c>
      <c r="E168" s="6" t="s">
        <v>245</v>
      </c>
      <c r="F168" s="58">
        <v>43292.0</v>
      </c>
      <c r="G168" s="58">
        <v>43301.0</v>
      </c>
      <c r="H168" s="59">
        <v>43293.74791666667</v>
      </c>
      <c r="I168" s="60">
        <v>1.0</v>
      </c>
      <c r="J168" s="7"/>
      <c r="K168" s="8"/>
    </row>
    <row r="169">
      <c r="A169" s="7" t="s">
        <v>737</v>
      </c>
      <c r="B169" s="5" t="s">
        <v>738</v>
      </c>
      <c r="C169" s="6" t="s">
        <v>379</v>
      </c>
      <c r="D169" s="6" t="s">
        <v>148</v>
      </c>
      <c r="E169" s="6" t="s">
        <v>245</v>
      </c>
      <c r="F169" s="58">
        <v>43292.0</v>
      </c>
      <c r="G169" s="58">
        <v>43294.0</v>
      </c>
      <c r="H169" s="59">
        <v>43294.80902777778</v>
      </c>
      <c r="I169" s="60">
        <v>1.0</v>
      </c>
      <c r="J169" s="7"/>
      <c r="K169" s="8"/>
    </row>
    <row r="170">
      <c r="A170" s="7" t="s">
        <v>739</v>
      </c>
      <c r="B170" s="5" t="s">
        <v>740</v>
      </c>
      <c r="C170" s="6" t="s">
        <v>379</v>
      </c>
      <c r="D170" s="6" t="s">
        <v>148</v>
      </c>
      <c r="E170" s="6" t="s">
        <v>245</v>
      </c>
      <c r="F170" s="58">
        <v>43292.0</v>
      </c>
      <c r="G170" s="58">
        <v>43294.0</v>
      </c>
      <c r="H170" s="59">
        <v>43294.80902777778</v>
      </c>
      <c r="I170" s="60">
        <v>1.0</v>
      </c>
      <c r="J170" s="7"/>
      <c r="K170" s="8"/>
    </row>
    <row r="171">
      <c r="A171" s="7" t="s">
        <v>741</v>
      </c>
      <c r="B171" s="5" t="s">
        <v>742</v>
      </c>
      <c r="C171" s="6" t="s">
        <v>379</v>
      </c>
      <c r="D171" s="6" t="s">
        <v>148</v>
      </c>
      <c r="E171" s="6" t="s">
        <v>245</v>
      </c>
      <c r="F171" s="58">
        <v>43292.0</v>
      </c>
      <c r="G171" s="58">
        <v>43294.0</v>
      </c>
      <c r="H171" s="59">
        <v>43294.80902777778</v>
      </c>
      <c r="I171" s="60">
        <v>1.0</v>
      </c>
      <c r="J171" s="7"/>
      <c r="K171" s="8"/>
    </row>
    <row r="172">
      <c r="A172" s="7" t="s">
        <v>744</v>
      </c>
      <c r="B172" s="5" t="s">
        <v>745</v>
      </c>
      <c r="C172" s="6" t="s">
        <v>257</v>
      </c>
      <c r="D172" s="6" t="s">
        <v>153</v>
      </c>
      <c r="E172" s="6" t="s">
        <v>245</v>
      </c>
      <c r="F172" s="58">
        <v>43292.0</v>
      </c>
      <c r="G172" s="58">
        <v>43292.0</v>
      </c>
      <c r="H172" s="59">
        <v>43294.74652777778</v>
      </c>
      <c r="I172" s="60">
        <v>1.0</v>
      </c>
      <c r="J172" s="7"/>
      <c r="K172" s="8"/>
    </row>
    <row r="173">
      <c r="A173" s="7" t="s">
        <v>746</v>
      </c>
      <c r="B173" s="5" t="s">
        <v>747</v>
      </c>
      <c r="C173" s="6" t="s">
        <v>379</v>
      </c>
      <c r="D173" s="6" t="s">
        <v>148</v>
      </c>
      <c r="E173" s="6" t="s">
        <v>245</v>
      </c>
      <c r="F173" s="58">
        <v>43291.0</v>
      </c>
      <c r="G173" s="58">
        <v>43291.0</v>
      </c>
      <c r="H173" s="59">
        <v>43294.81319444445</v>
      </c>
      <c r="I173" s="60">
        <v>1.0</v>
      </c>
      <c r="J173" s="7"/>
      <c r="K173" s="8"/>
    </row>
    <row r="174">
      <c r="A174" s="7" t="s">
        <v>748</v>
      </c>
      <c r="B174" s="5" t="s">
        <v>749</v>
      </c>
      <c r="C174" s="6" t="s">
        <v>243</v>
      </c>
      <c r="D174" s="6" t="s">
        <v>148</v>
      </c>
      <c r="E174" s="6" t="s">
        <v>245</v>
      </c>
      <c r="F174" s="58">
        <v>43291.0</v>
      </c>
      <c r="G174" s="58">
        <v>43291.0</v>
      </c>
      <c r="H174" s="59">
        <v>43291.643055555556</v>
      </c>
      <c r="I174" s="60">
        <v>1.0</v>
      </c>
      <c r="J174" s="7"/>
      <c r="K174" s="8"/>
    </row>
    <row r="175">
      <c r="A175" s="7" t="s">
        <v>751</v>
      </c>
      <c r="B175" s="5" t="s">
        <v>752</v>
      </c>
      <c r="C175" s="6" t="s">
        <v>243</v>
      </c>
      <c r="D175" s="6" t="s">
        <v>148</v>
      </c>
      <c r="E175" s="6" t="s">
        <v>245</v>
      </c>
      <c r="F175" s="58">
        <v>43290.0</v>
      </c>
      <c r="G175" s="58">
        <v>43290.0</v>
      </c>
      <c r="H175" s="59">
        <v>43290.71875</v>
      </c>
      <c r="I175" s="60">
        <v>1.0</v>
      </c>
      <c r="J175" s="7"/>
      <c r="K175" s="8"/>
    </row>
    <row r="176">
      <c r="A176" s="7" t="s">
        <v>753</v>
      </c>
      <c r="B176" s="5" t="s">
        <v>754</v>
      </c>
      <c r="C176" s="6" t="s">
        <v>379</v>
      </c>
      <c r="D176" s="6" t="s">
        <v>148</v>
      </c>
      <c r="E176" s="6" t="s">
        <v>245</v>
      </c>
      <c r="F176" s="58">
        <v>43290.0</v>
      </c>
      <c r="G176" s="58">
        <v>43294.0</v>
      </c>
      <c r="H176" s="59">
        <v>43294.80902777778</v>
      </c>
      <c r="I176" s="60">
        <v>1.0</v>
      </c>
      <c r="J176" s="7"/>
      <c r="K176" s="8"/>
    </row>
    <row r="177">
      <c r="A177" s="7" t="s">
        <v>755</v>
      </c>
      <c r="B177" s="5" t="s">
        <v>757</v>
      </c>
      <c r="C177" s="6" t="s">
        <v>257</v>
      </c>
      <c r="D177" s="6" t="s">
        <v>153</v>
      </c>
      <c r="E177" s="6" t="s">
        <v>245</v>
      </c>
      <c r="F177" s="58">
        <v>43290.0</v>
      </c>
      <c r="G177" s="58">
        <v>43290.0</v>
      </c>
      <c r="H177" s="59">
        <v>43294.745833333334</v>
      </c>
      <c r="I177" s="60">
        <v>1.0</v>
      </c>
      <c r="J177" s="7"/>
      <c r="K177" s="8"/>
    </row>
    <row r="178">
      <c r="A178" s="7" t="s">
        <v>758</v>
      </c>
      <c r="B178" s="5" t="s">
        <v>759</v>
      </c>
      <c r="C178" s="6" t="s">
        <v>221</v>
      </c>
      <c r="D178" s="6" t="s">
        <v>153</v>
      </c>
      <c r="E178" s="6" t="s">
        <v>245</v>
      </c>
      <c r="F178" s="58">
        <v>43290.0</v>
      </c>
      <c r="G178" s="58">
        <v>43290.0</v>
      </c>
      <c r="H178" s="59">
        <v>43294.745833333334</v>
      </c>
      <c r="I178" s="60">
        <v>1.0</v>
      </c>
      <c r="J178" s="7"/>
      <c r="K178" s="8"/>
    </row>
    <row r="179">
      <c r="A179" s="7" t="s">
        <v>760</v>
      </c>
      <c r="B179" s="5" t="s">
        <v>762</v>
      </c>
      <c r="C179" s="6" t="s">
        <v>203</v>
      </c>
      <c r="D179" s="6" t="s">
        <v>120</v>
      </c>
      <c r="E179" s="6" t="s">
        <v>245</v>
      </c>
      <c r="F179" s="58">
        <v>43290.0</v>
      </c>
      <c r="G179" s="58">
        <v>43299.0</v>
      </c>
      <c r="H179" s="59">
        <v>43300.595138888886</v>
      </c>
      <c r="I179" s="60">
        <v>1.0</v>
      </c>
      <c r="J179" s="7"/>
      <c r="K179" s="8"/>
    </row>
    <row r="180">
      <c r="A180" s="48" t="s">
        <v>763</v>
      </c>
      <c r="B180" s="49" t="s">
        <v>764</v>
      </c>
      <c r="C180" s="49" t="s">
        <v>243</v>
      </c>
      <c r="D180" s="49" t="s">
        <v>148</v>
      </c>
      <c r="E180" s="49" t="s">
        <v>245</v>
      </c>
      <c r="F180" s="50">
        <v>43290.0</v>
      </c>
      <c r="G180" s="50">
        <v>43299.0</v>
      </c>
      <c r="H180" s="51">
        <v>43290.70416666667</v>
      </c>
      <c r="I180" s="52">
        <v>1.0</v>
      </c>
      <c r="J180" s="53"/>
      <c r="K180" s="53"/>
    </row>
    <row r="181">
      <c r="A181" s="48" t="s">
        <v>765</v>
      </c>
      <c r="B181" s="49" t="s">
        <v>766</v>
      </c>
      <c r="C181" s="49" t="s">
        <v>243</v>
      </c>
      <c r="D181" s="49" t="s">
        <v>148</v>
      </c>
      <c r="E181" s="49" t="s">
        <v>245</v>
      </c>
      <c r="F181" s="50">
        <v>43286.0</v>
      </c>
      <c r="G181" s="50">
        <v>43293.0</v>
      </c>
      <c r="H181" s="51">
        <v>43286.6875</v>
      </c>
      <c r="I181" s="52">
        <v>1.0</v>
      </c>
      <c r="J181" s="53"/>
      <c r="K181" s="53"/>
    </row>
    <row r="182">
      <c r="A182" s="48" t="s">
        <v>768</v>
      </c>
      <c r="B182" s="49" t="s">
        <v>770</v>
      </c>
      <c r="C182" s="49" t="s">
        <v>243</v>
      </c>
      <c r="D182" s="49" t="s">
        <v>148</v>
      </c>
      <c r="E182" s="49" t="s">
        <v>245</v>
      </c>
      <c r="F182" s="50">
        <v>43284.0</v>
      </c>
      <c r="G182" s="50">
        <v>43295.0</v>
      </c>
      <c r="H182" s="51">
        <v>43284.42013888889</v>
      </c>
      <c r="I182" s="52">
        <v>1.0</v>
      </c>
      <c r="J182" s="53"/>
      <c r="K182" s="53"/>
    </row>
    <row r="183">
      <c r="A183" s="48" t="s">
        <v>771</v>
      </c>
      <c r="B183" s="49" t="s">
        <v>772</v>
      </c>
      <c r="C183" s="49" t="s">
        <v>243</v>
      </c>
      <c r="D183" s="49" t="s">
        <v>148</v>
      </c>
      <c r="E183" s="49" t="s">
        <v>245</v>
      </c>
      <c r="F183" s="50">
        <v>43284.0</v>
      </c>
      <c r="G183" s="50">
        <v>43291.0</v>
      </c>
      <c r="H183" s="51">
        <v>43284.424305555556</v>
      </c>
      <c r="I183" s="52">
        <v>1.0</v>
      </c>
      <c r="J183" s="53"/>
      <c r="K183" s="53"/>
    </row>
    <row r="184">
      <c r="A184" s="48" t="s">
        <v>773</v>
      </c>
      <c r="B184" s="49" t="s">
        <v>774</v>
      </c>
      <c r="C184" s="49" t="s">
        <v>243</v>
      </c>
      <c r="D184" s="49" t="s">
        <v>148</v>
      </c>
      <c r="E184" s="49" t="s">
        <v>245</v>
      </c>
      <c r="F184" s="50">
        <v>43284.0</v>
      </c>
      <c r="G184" s="50">
        <v>43287.0</v>
      </c>
      <c r="H184" s="51">
        <v>43284.475694444445</v>
      </c>
      <c r="I184" s="52">
        <v>1.0</v>
      </c>
      <c r="J184" s="53"/>
      <c r="K184" s="53"/>
    </row>
    <row r="185">
      <c r="A185" s="48" t="s">
        <v>776</v>
      </c>
      <c r="B185" s="49" t="s">
        <v>777</v>
      </c>
      <c r="C185" s="49" t="s">
        <v>203</v>
      </c>
      <c r="D185" s="49" t="s">
        <v>120</v>
      </c>
      <c r="E185" s="49" t="s">
        <v>245</v>
      </c>
      <c r="F185" s="50">
        <v>43283.0</v>
      </c>
      <c r="G185" s="50">
        <v>43283.0</v>
      </c>
      <c r="H185" s="51">
        <v>43285.470138888886</v>
      </c>
      <c r="I185" s="52">
        <v>1.0</v>
      </c>
      <c r="J185" s="53"/>
      <c r="K185" s="53"/>
    </row>
    <row r="186">
      <c r="A186" s="48" t="s">
        <v>778</v>
      </c>
      <c r="B186" s="49" t="s">
        <v>779</v>
      </c>
      <c r="C186" s="49" t="s">
        <v>257</v>
      </c>
      <c r="D186" s="49" t="s">
        <v>153</v>
      </c>
      <c r="E186" s="49" t="s">
        <v>245</v>
      </c>
      <c r="F186" s="50">
        <v>43283.0</v>
      </c>
      <c r="G186" s="50">
        <v>43283.0</v>
      </c>
      <c r="H186" s="51">
        <v>43283.73611111111</v>
      </c>
      <c r="I186" s="52">
        <v>1.0</v>
      </c>
      <c r="J186" s="53"/>
      <c r="K186" s="53"/>
    </row>
    <row r="187">
      <c r="A187" s="48" t="s">
        <v>781</v>
      </c>
      <c r="B187" s="49" t="s">
        <v>782</v>
      </c>
      <c r="C187" s="49" t="s">
        <v>221</v>
      </c>
      <c r="D187" s="49" t="s">
        <v>153</v>
      </c>
      <c r="E187" s="49" t="s">
        <v>245</v>
      </c>
      <c r="F187" s="50">
        <v>43283.0</v>
      </c>
      <c r="G187" s="50">
        <v>43283.0</v>
      </c>
      <c r="H187" s="51">
        <v>43283.73611111111</v>
      </c>
      <c r="I187" s="52">
        <v>1.0</v>
      </c>
      <c r="J187" s="53"/>
      <c r="K187" s="53"/>
    </row>
    <row r="188">
      <c r="A188" s="48" t="s">
        <v>783</v>
      </c>
      <c r="B188" s="49" t="s">
        <v>784</v>
      </c>
      <c r="C188" s="49" t="s">
        <v>257</v>
      </c>
      <c r="D188" s="49" t="s">
        <v>153</v>
      </c>
      <c r="E188" s="49" t="s">
        <v>245</v>
      </c>
      <c r="F188" s="50">
        <v>43283.0</v>
      </c>
      <c r="G188" s="50">
        <v>43283.0</v>
      </c>
      <c r="H188" s="51">
        <v>43283.736805555556</v>
      </c>
      <c r="I188" s="52">
        <v>1.0</v>
      </c>
      <c r="J188" s="53"/>
      <c r="K188" s="53"/>
    </row>
    <row r="189">
      <c r="A189" s="48" t="s">
        <v>785</v>
      </c>
      <c r="B189" s="49" t="s">
        <v>787</v>
      </c>
      <c r="C189" s="49" t="s">
        <v>257</v>
      </c>
      <c r="D189" s="49" t="s">
        <v>153</v>
      </c>
      <c r="E189" s="49" t="s">
        <v>245</v>
      </c>
      <c r="F189" s="50">
        <v>43283.0</v>
      </c>
      <c r="G189" s="50">
        <v>43283.0</v>
      </c>
      <c r="H189" s="51">
        <v>43283.736805555556</v>
      </c>
      <c r="I189" s="52">
        <v>1.0</v>
      </c>
      <c r="J189" s="53"/>
      <c r="K189" s="53"/>
    </row>
    <row r="190">
      <c r="A190" s="48" t="s">
        <v>788</v>
      </c>
      <c r="B190" s="49" t="s">
        <v>789</v>
      </c>
      <c r="C190" s="49" t="s">
        <v>221</v>
      </c>
      <c r="D190" s="49" t="s">
        <v>153</v>
      </c>
      <c r="E190" s="49" t="s">
        <v>245</v>
      </c>
      <c r="F190" s="50">
        <v>43283.0</v>
      </c>
      <c r="G190" s="50">
        <v>43283.0</v>
      </c>
      <c r="H190" s="51">
        <v>43283.736805555556</v>
      </c>
      <c r="I190" s="52">
        <v>1.0</v>
      </c>
      <c r="J190" s="53"/>
      <c r="K190" s="53"/>
    </row>
    <row r="191">
      <c r="A191" s="48" t="s">
        <v>790</v>
      </c>
      <c r="B191" s="49" t="s">
        <v>791</v>
      </c>
      <c r="C191" s="49" t="s">
        <v>221</v>
      </c>
      <c r="D191" s="49" t="s">
        <v>153</v>
      </c>
      <c r="E191" s="49" t="s">
        <v>245</v>
      </c>
      <c r="F191" s="50">
        <v>43283.0</v>
      </c>
      <c r="G191" s="50">
        <v>43283.0</v>
      </c>
      <c r="H191" s="51">
        <v>43283.7375</v>
      </c>
      <c r="I191" s="52">
        <v>1.0</v>
      </c>
      <c r="J191" s="53"/>
      <c r="K191" s="53"/>
    </row>
    <row r="192">
      <c r="A192" s="48" t="s">
        <v>793</v>
      </c>
      <c r="B192" s="49" t="s">
        <v>794</v>
      </c>
      <c r="C192" s="49" t="s">
        <v>203</v>
      </c>
      <c r="D192" s="49" t="s">
        <v>120</v>
      </c>
      <c r="E192" s="49" t="s">
        <v>245</v>
      </c>
      <c r="F192" s="50">
        <v>43283.0</v>
      </c>
      <c r="G192" s="50">
        <v>43283.0</v>
      </c>
      <c r="H192" s="51">
        <v>43285.475</v>
      </c>
      <c r="I192" s="52">
        <v>1.0</v>
      </c>
      <c r="J192" s="53"/>
      <c r="K192" s="53"/>
    </row>
    <row r="193">
      <c r="A193" s="48" t="s">
        <v>796</v>
      </c>
      <c r="B193" s="49" t="s">
        <v>797</v>
      </c>
      <c r="C193" s="49" t="s">
        <v>203</v>
      </c>
      <c r="D193" s="49" t="s">
        <v>120</v>
      </c>
      <c r="E193" s="49" t="s">
        <v>245</v>
      </c>
      <c r="F193" s="50">
        <v>43283.0</v>
      </c>
      <c r="G193" s="50">
        <v>43284.0</v>
      </c>
      <c r="H193" s="51">
        <v>43285.472916666666</v>
      </c>
      <c r="I193" s="52">
        <v>1.0</v>
      </c>
      <c r="J193" s="53"/>
      <c r="K193" s="53"/>
    </row>
    <row r="194">
      <c r="A194" s="7" t="s">
        <v>798</v>
      </c>
      <c r="B194" s="5" t="s">
        <v>799</v>
      </c>
      <c r="C194" s="6" t="s">
        <v>203</v>
      </c>
      <c r="D194" s="6" t="s">
        <v>153</v>
      </c>
      <c r="E194" s="6" t="s">
        <v>245</v>
      </c>
      <c r="F194" s="58">
        <v>43283.0</v>
      </c>
      <c r="G194" s="58">
        <v>43294.0</v>
      </c>
      <c r="H194" s="59">
        <v>43294.748611111114</v>
      </c>
      <c r="I194" s="60">
        <v>1.0</v>
      </c>
      <c r="J194" s="7"/>
      <c r="K194" s="8"/>
    </row>
    <row r="195">
      <c r="A195" s="48" t="s">
        <v>800</v>
      </c>
      <c r="B195" s="49" t="s">
        <v>801</v>
      </c>
      <c r="C195" s="49" t="s">
        <v>243</v>
      </c>
      <c r="D195" s="49" t="s">
        <v>148</v>
      </c>
      <c r="E195" s="49" t="s">
        <v>245</v>
      </c>
      <c r="F195" s="50">
        <v>43283.0</v>
      </c>
      <c r="G195" s="50">
        <v>43292.0</v>
      </c>
      <c r="H195" s="51">
        <v>43290.70347222222</v>
      </c>
      <c r="I195" s="52">
        <v>1.0</v>
      </c>
      <c r="J195" s="53"/>
      <c r="K195" s="53"/>
    </row>
    <row r="196">
      <c r="A196" s="48" t="s">
        <v>802</v>
      </c>
      <c r="B196" s="49" t="s">
        <v>804</v>
      </c>
      <c r="C196" s="49" t="s">
        <v>203</v>
      </c>
      <c r="D196" s="49" t="s">
        <v>120</v>
      </c>
      <c r="E196" s="49" t="s">
        <v>245</v>
      </c>
      <c r="F196" s="50">
        <v>43280.0</v>
      </c>
      <c r="G196" s="50">
        <v>43284.0</v>
      </c>
      <c r="H196" s="51">
        <v>43294.74097222222</v>
      </c>
      <c r="I196" s="52">
        <v>1.0</v>
      </c>
      <c r="J196" s="53"/>
      <c r="K196" s="53"/>
    </row>
    <row r="197">
      <c r="A197" s="48" t="s">
        <v>805</v>
      </c>
      <c r="B197" s="49" t="s">
        <v>806</v>
      </c>
      <c r="C197" s="49" t="s">
        <v>203</v>
      </c>
      <c r="D197" s="49" t="s">
        <v>120</v>
      </c>
      <c r="E197" s="49" t="s">
        <v>245</v>
      </c>
      <c r="F197" s="50">
        <v>43280.0</v>
      </c>
      <c r="G197" s="50">
        <v>43284.0</v>
      </c>
      <c r="H197" s="51">
        <v>43285.47152777778</v>
      </c>
      <c r="I197" s="52">
        <v>1.0</v>
      </c>
      <c r="J197" s="53"/>
      <c r="K197" s="53"/>
    </row>
    <row r="198">
      <c r="A198" s="48" t="s">
        <v>807</v>
      </c>
      <c r="B198" s="49" t="s">
        <v>808</v>
      </c>
      <c r="C198" s="49" t="s">
        <v>203</v>
      </c>
      <c r="D198" s="49" t="s">
        <v>120</v>
      </c>
      <c r="E198" s="49" t="s">
        <v>245</v>
      </c>
      <c r="F198" s="50">
        <v>43280.0</v>
      </c>
      <c r="G198" s="50">
        <v>43281.0</v>
      </c>
      <c r="H198" s="51">
        <v>43285.47152777778</v>
      </c>
      <c r="I198" s="52">
        <v>1.0</v>
      </c>
      <c r="J198" s="53"/>
      <c r="K198" s="53"/>
    </row>
    <row r="199">
      <c r="A199" s="48" t="s">
        <v>809</v>
      </c>
      <c r="B199" s="49" t="s">
        <v>810</v>
      </c>
      <c r="C199" s="49" t="s">
        <v>257</v>
      </c>
      <c r="D199" s="49" t="s">
        <v>153</v>
      </c>
      <c r="E199" s="49" t="s">
        <v>245</v>
      </c>
      <c r="F199" s="50">
        <v>43279.0</v>
      </c>
      <c r="G199" s="50">
        <v>43279.0</v>
      </c>
      <c r="H199" s="51">
        <v>43279.59027777778</v>
      </c>
      <c r="I199" s="52">
        <v>1.0</v>
      </c>
      <c r="J199" s="53"/>
      <c r="K199" s="53"/>
    </row>
    <row r="200">
      <c r="A200" s="48" t="s">
        <v>812</v>
      </c>
      <c r="B200" s="49" t="s">
        <v>813</v>
      </c>
      <c r="C200" s="49" t="s">
        <v>221</v>
      </c>
      <c r="D200" s="49" t="s">
        <v>153</v>
      </c>
      <c r="E200" s="49" t="s">
        <v>245</v>
      </c>
      <c r="F200" s="50">
        <v>43279.0</v>
      </c>
      <c r="G200" s="50">
        <v>43279.0</v>
      </c>
      <c r="H200" s="51">
        <v>43279.59027777778</v>
      </c>
      <c r="I200" s="52">
        <v>1.0</v>
      </c>
      <c r="J200" s="53"/>
      <c r="K200" s="53"/>
    </row>
    <row r="201">
      <c r="A201" s="48" t="s">
        <v>814</v>
      </c>
      <c r="B201" s="49" t="s">
        <v>815</v>
      </c>
      <c r="C201" s="49" t="s">
        <v>203</v>
      </c>
      <c r="D201" s="49" t="s">
        <v>120</v>
      </c>
      <c r="E201" s="49" t="s">
        <v>245</v>
      </c>
      <c r="F201" s="50">
        <v>43278.0</v>
      </c>
      <c r="G201" s="50">
        <v>43283.0</v>
      </c>
      <c r="H201" s="51">
        <v>43285.470138888886</v>
      </c>
      <c r="I201" s="52">
        <v>1.0</v>
      </c>
      <c r="J201" s="53"/>
      <c r="K201" s="53"/>
    </row>
    <row r="202">
      <c r="A202" s="48" t="s">
        <v>816</v>
      </c>
      <c r="B202" s="49" t="s">
        <v>817</v>
      </c>
      <c r="C202" s="49" t="s">
        <v>257</v>
      </c>
      <c r="D202" s="49" t="s">
        <v>153</v>
      </c>
      <c r="E202" s="49" t="s">
        <v>245</v>
      </c>
      <c r="F202" s="50">
        <v>43278.0</v>
      </c>
      <c r="G202" s="50">
        <v>43278.0</v>
      </c>
      <c r="H202" s="51">
        <v>43278.654861111114</v>
      </c>
      <c r="I202" s="52">
        <v>1.0</v>
      </c>
      <c r="J202" s="53"/>
      <c r="K202" s="53"/>
    </row>
    <row r="203">
      <c r="A203" s="48" t="s">
        <v>819</v>
      </c>
      <c r="B203" s="49" t="s">
        <v>820</v>
      </c>
      <c r="C203" s="49" t="s">
        <v>221</v>
      </c>
      <c r="D203" s="49" t="s">
        <v>153</v>
      </c>
      <c r="E203" s="49" t="s">
        <v>245</v>
      </c>
      <c r="F203" s="50">
        <v>43278.0</v>
      </c>
      <c r="G203" s="50">
        <v>43278.0</v>
      </c>
      <c r="H203" s="51">
        <v>43278.654861111114</v>
      </c>
      <c r="I203" s="52">
        <v>1.0</v>
      </c>
      <c r="J203" s="53"/>
      <c r="K203" s="53"/>
    </row>
    <row r="204">
      <c r="A204" s="48" t="s">
        <v>821</v>
      </c>
      <c r="B204" s="49" t="s">
        <v>822</v>
      </c>
      <c r="C204" s="49" t="s">
        <v>243</v>
      </c>
      <c r="D204" s="49" t="s">
        <v>148</v>
      </c>
      <c r="E204" s="49" t="s">
        <v>245</v>
      </c>
      <c r="F204" s="50">
        <v>43277.0</v>
      </c>
      <c r="G204" s="50">
        <v>43288.0</v>
      </c>
      <c r="H204" s="51">
        <v>43277.42986111111</v>
      </c>
      <c r="I204" s="52">
        <v>1.0</v>
      </c>
      <c r="J204" s="53"/>
      <c r="K204" s="53"/>
    </row>
    <row r="205">
      <c r="A205" s="48" t="s">
        <v>823</v>
      </c>
      <c r="B205" s="49" t="s">
        <v>825</v>
      </c>
      <c r="C205" s="49" t="s">
        <v>257</v>
      </c>
      <c r="D205" s="49" t="s">
        <v>153</v>
      </c>
      <c r="E205" s="49" t="s">
        <v>245</v>
      </c>
      <c r="F205" s="50">
        <v>43277.0</v>
      </c>
      <c r="G205" s="50">
        <v>43277.0</v>
      </c>
      <c r="H205" s="51">
        <v>43278.57986111111</v>
      </c>
      <c r="I205" s="52">
        <v>1.0</v>
      </c>
      <c r="J205" s="53"/>
      <c r="K205" s="53"/>
    </row>
    <row r="206">
      <c r="A206" s="48" t="s">
        <v>826</v>
      </c>
      <c r="B206" s="49" t="s">
        <v>827</v>
      </c>
      <c r="C206" s="49" t="s">
        <v>221</v>
      </c>
      <c r="D206" s="49" t="s">
        <v>153</v>
      </c>
      <c r="E206" s="49" t="s">
        <v>245</v>
      </c>
      <c r="F206" s="50">
        <v>43277.0</v>
      </c>
      <c r="G206" s="50">
        <v>43277.0</v>
      </c>
      <c r="H206" s="51">
        <v>43278.580555555556</v>
      </c>
      <c r="I206" s="52">
        <v>1.0</v>
      </c>
      <c r="J206" s="53"/>
      <c r="K206" s="53"/>
    </row>
    <row r="207">
      <c r="A207" s="48" t="s">
        <v>829</v>
      </c>
      <c r="B207" s="49" t="s">
        <v>831</v>
      </c>
      <c r="C207" s="49" t="s">
        <v>203</v>
      </c>
      <c r="D207" s="49" t="s">
        <v>153</v>
      </c>
      <c r="E207" s="49" t="s">
        <v>245</v>
      </c>
      <c r="F207" s="50">
        <v>43277.0</v>
      </c>
      <c r="G207" s="50">
        <v>43277.0</v>
      </c>
      <c r="H207" s="51">
        <v>43278.580555555556</v>
      </c>
      <c r="I207" s="52">
        <v>1.0</v>
      </c>
      <c r="J207" s="53"/>
      <c r="K207" s="53"/>
    </row>
    <row r="208">
      <c r="A208" s="48" t="s">
        <v>832</v>
      </c>
      <c r="B208" s="49" t="s">
        <v>833</v>
      </c>
      <c r="C208" s="49" t="s">
        <v>243</v>
      </c>
      <c r="D208" s="49" t="s">
        <v>148</v>
      </c>
      <c r="E208" s="49" t="s">
        <v>245</v>
      </c>
      <c r="F208" s="50">
        <v>43276.0</v>
      </c>
      <c r="G208" s="50">
        <v>43284.0</v>
      </c>
      <c r="H208" s="51">
        <v>43276.45486111111</v>
      </c>
      <c r="I208" s="52">
        <v>1.0</v>
      </c>
      <c r="J208" s="53"/>
      <c r="K208" s="53"/>
    </row>
    <row r="209">
      <c r="A209" s="48" t="s">
        <v>834</v>
      </c>
      <c r="B209" s="49" t="s">
        <v>835</v>
      </c>
      <c r="C209" s="49" t="s">
        <v>243</v>
      </c>
      <c r="D209" s="49" t="s">
        <v>148</v>
      </c>
      <c r="E209" s="49" t="s">
        <v>245</v>
      </c>
      <c r="F209" s="50">
        <v>43276.0</v>
      </c>
      <c r="G209" s="50">
        <v>43284.0</v>
      </c>
      <c r="H209" s="51">
        <v>43276.467361111114</v>
      </c>
      <c r="I209" s="52">
        <v>1.0</v>
      </c>
      <c r="J209" s="53"/>
      <c r="K209" s="53"/>
    </row>
    <row r="210">
      <c r="A210" s="48" t="s">
        <v>836</v>
      </c>
      <c r="B210" s="49" t="s">
        <v>837</v>
      </c>
      <c r="C210" s="49" t="s">
        <v>243</v>
      </c>
      <c r="D210" s="49" t="s">
        <v>148</v>
      </c>
      <c r="E210" s="49" t="s">
        <v>245</v>
      </c>
      <c r="F210" s="50">
        <v>43276.0</v>
      </c>
      <c r="G210" s="50">
        <v>43276.0</v>
      </c>
      <c r="H210" s="51">
        <v>43276.63125</v>
      </c>
      <c r="I210" s="52">
        <v>1.0</v>
      </c>
      <c r="J210" s="53"/>
      <c r="K210" s="53"/>
    </row>
    <row r="211">
      <c r="A211" s="48" t="s">
        <v>839</v>
      </c>
      <c r="B211" s="49" t="s">
        <v>840</v>
      </c>
      <c r="C211" s="49" t="s">
        <v>203</v>
      </c>
      <c r="D211" s="49" t="s">
        <v>120</v>
      </c>
      <c r="E211" s="49" t="s">
        <v>245</v>
      </c>
      <c r="F211" s="50">
        <v>43276.0</v>
      </c>
      <c r="G211" s="50">
        <v>43277.0</v>
      </c>
      <c r="H211" s="51">
        <v>43280.760416666664</v>
      </c>
      <c r="I211" s="52">
        <v>1.0</v>
      </c>
      <c r="J211" s="53"/>
      <c r="K211" s="53"/>
    </row>
    <row r="212">
      <c r="A212" s="48" t="s">
        <v>841</v>
      </c>
      <c r="B212" s="49" t="s">
        <v>842</v>
      </c>
      <c r="C212" s="49" t="s">
        <v>243</v>
      </c>
      <c r="D212" s="49" t="s">
        <v>148</v>
      </c>
      <c r="E212" s="49" t="s">
        <v>204</v>
      </c>
      <c r="F212" s="50">
        <v>43273.0</v>
      </c>
      <c r="G212" s="50">
        <v>43280.0</v>
      </c>
      <c r="H212" s="51">
        <v>43273.69583333333</v>
      </c>
      <c r="I212" s="52">
        <v>0.0</v>
      </c>
      <c r="J212" s="53"/>
      <c r="K212" s="53"/>
    </row>
    <row r="213">
      <c r="A213" s="48" t="s">
        <v>845</v>
      </c>
      <c r="B213" s="49" t="s">
        <v>846</v>
      </c>
      <c r="C213" s="49" t="s">
        <v>243</v>
      </c>
      <c r="D213" s="49" t="s">
        <v>148</v>
      </c>
      <c r="E213" s="49" t="s">
        <v>245</v>
      </c>
      <c r="F213" s="50">
        <v>43273.0</v>
      </c>
      <c r="G213" s="50">
        <v>43273.0</v>
      </c>
      <c r="H213" s="51">
        <v>43273.82152777778</v>
      </c>
      <c r="I213" s="52">
        <v>1.0</v>
      </c>
      <c r="J213" s="53"/>
      <c r="K213" s="53"/>
    </row>
    <row r="214">
      <c r="A214" s="48" t="s">
        <v>847</v>
      </c>
      <c r="B214" s="49" t="s">
        <v>848</v>
      </c>
      <c r="C214" s="49" t="s">
        <v>243</v>
      </c>
      <c r="D214" s="49" t="s">
        <v>148</v>
      </c>
      <c r="E214" s="49" t="s">
        <v>245</v>
      </c>
      <c r="F214" s="50">
        <v>43273.0</v>
      </c>
      <c r="G214" s="50">
        <v>43280.0</v>
      </c>
      <c r="H214" s="51">
        <v>43273.82916666667</v>
      </c>
      <c r="I214" s="52">
        <v>1.0</v>
      </c>
      <c r="J214" s="53"/>
      <c r="K214" s="53"/>
    </row>
    <row r="215">
      <c r="A215" s="48" t="s">
        <v>850</v>
      </c>
      <c r="B215" s="49" t="s">
        <v>851</v>
      </c>
      <c r="C215" s="49" t="s">
        <v>243</v>
      </c>
      <c r="D215" s="49" t="s">
        <v>148</v>
      </c>
      <c r="E215" s="49" t="s">
        <v>245</v>
      </c>
      <c r="F215" s="50">
        <v>43273.0</v>
      </c>
      <c r="G215" s="50">
        <v>43273.0</v>
      </c>
      <c r="H215" s="51">
        <v>43273.82152777778</v>
      </c>
      <c r="I215" s="52">
        <v>1.0</v>
      </c>
      <c r="J215" s="53"/>
      <c r="K215" s="53"/>
    </row>
    <row r="216">
      <c r="A216" s="48" t="s">
        <v>852</v>
      </c>
      <c r="B216" s="49" t="s">
        <v>853</v>
      </c>
      <c r="C216" s="49" t="s">
        <v>243</v>
      </c>
      <c r="D216" s="49" t="s">
        <v>148</v>
      </c>
      <c r="E216" s="49" t="s">
        <v>245</v>
      </c>
      <c r="F216" s="50">
        <v>43273.0</v>
      </c>
      <c r="G216" s="50">
        <v>43280.0</v>
      </c>
      <c r="H216" s="51">
        <v>43273.830555555556</v>
      </c>
      <c r="I216" s="52">
        <v>1.0</v>
      </c>
      <c r="J216" s="53"/>
      <c r="K216" s="53"/>
    </row>
    <row r="217">
      <c r="A217" s="48" t="s">
        <v>854</v>
      </c>
      <c r="B217" s="49" t="s">
        <v>855</v>
      </c>
      <c r="C217" s="49" t="s">
        <v>203</v>
      </c>
      <c r="D217" s="49" t="s">
        <v>148</v>
      </c>
      <c r="E217" s="49" t="s">
        <v>245</v>
      </c>
      <c r="F217" s="50">
        <v>43273.0</v>
      </c>
      <c r="G217" s="50">
        <v>43273.0</v>
      </c>
      <c r="H217" s="51">
        <v>43273.82083333333</v>
      </c>
      <c r="I217" s="52">
        <v>1.0</v>
      </c>
      <c r="J217" s="53"/>
      <c r="K217" s="53"/>
    </row>
    <row r="218">
      <c r="A218" s="48" t="s">
        <v>856</v>
      </c>
      <c r="B218" s="49" t="s">
        <v>858</v>
      </c>
      <c r="C218" s="49" t="s">
        <v>203</v>
      </c>
      <c r="D218" s="49" t="s">
        <v>148</v>
      </c>
      <c r="E218" s="49" t="s">
        <v>245</v>
      </c>
      <c r="F218" s="50">
        <v>43273.0</v>
      </c>
      <c r="G218" s="50">
        <v>43273.0</v>
      </c>
      <c r="H218" s="51">
        <v>43273.82083333333</v>
      </c>
      <c r="I218" s="52">
        <v>1.0</v>
      </c>
      <c r="J218" s="53"/>
      <c r="K218" s="53"/>
    </row>
    <row r="219">
      <c r="A219" s="48" t="s">
        <v>860</v>
      </c>
      <c r="B219" s="49" t="s">
        <v>861</v>
      </c>
      <c r="C219" s="49" t="s">
        <v>257</v>
      </c>
      <c r="D219" s="49" t="s">
        <v>153</v>
      </c>
      <c r="E219" s="49" t="s">
        <v>245</v>
      </c>
      <c r="F219" s="50">
        <v>43272.0</v>
      </c>
      <c r="G219" s="50">
        <v>43272.0</v>
      </c>
      <c r="H219" s="51">
        <v>43272.61388888889</v>
      </c>
      <c r="I219" s="52">
        <v>1.0</v>
      </c>
      <c r="J219" s="53"/>
      <c r="K219" s="53"/>
    </row>
    <row r="220">
      <c r="A220" s="48" t="s">
        <v>863</v>
      </c>
      <c r="B220" s="49" t="s">
        <v>864</v>
      </c>
      <c r="C220" s="49" t="s">
        <v>221</v>
      </c>
      <c r="D220" s="49" t="s">
        <v>153</v>
      </c>
      <c r="E220" s="49" t="s">
        <v>245</v>
      </c>
      <c r="F220" s="50">
        <v>43272.0</v>
      </c>
      <c r="G220" s="50">
        <v>43272.0</v>
      </c>
      <c r="H220" s="51">
        <v>43272.614583333336</v>
      </c>
      <c r="I220" s="52">
        <v>1.0</v>
      </c>
      <c r="J220" s="53"/>
      <c r="K220" s="53"/>
    </row>
    <row r="221">
      <c r="A221" s="48" t="s">
        <v>865</v>
      </c>
      <c r="B221" s="49" t="s">
        <v>866</v>
      </c>
      <c r="C221" s="49" t="s">
        <v>257</v>
      </c>
      <c r="D221" s="49" t="s">
        <v>153</v>
      </c>
      <c r="E221" s="49" t="s">
        <v>245</v>
      </c>
      <c r="F221" s="50">
        <v>43272.0</v>
      </c>
      <c r="G221" s="50">
        <v>43272.0</v>
      </c>
      <c r="H221" s="51">
        <v>43272.614583333336</v>
      </c>
      <c r="I221" s="52">
        <v>1.0</v>
      </c>
      <c r="J221" s="53"/>
      <c r="K221" s="53"/>
    </row>
    <row r="222">
      <c r="A222" s="48" t="s">
        <v>867</v>
      </c>
      <c r="B222" s="49" t="s">
        <v>868</v>
      </c>
      <c r="C222" s="49" t="s">
        <v>221</v>
      </c>
      <c r="D222" s="49" t="s">
        <v>153</v>
      </c>
      <c r="E222" s="49" t="s">
        <v>245</v>
      </c>
      <c r="F222" s="50">
        <v>43272.0</v>
      </c>
      <c r="G222" s="50">
        <v>43272.0</v>
      </c>
      <c r="H222" s="51">
        <v>43272.614583333336</v>
      </c>
      <c r="I222" s="52">
        <v>1.0</v>
      </c>
      <c r="J222" s="53"/>
      <c r="K222" s="53"/>
    </row>
    <row r="223">
      <c r="A223" s="48" t="s">
        <v>870</v>
      </c>
      <c r="B223" s="49" t="s">
        <v>871</v>
      </c>
      <c r="C223" s="49" t="s">
        <v>203</v>
      </c>
      <c r="D223" s="49" t="s">
        <v>120</v>
      </c>
      <c r="E223" s="49" t="s">
        <v>245</v>
      </c>
      <c r="F223" s="50">
        <v>43272.0</v>
      </c>
      <c r="G223" s="50">
        <v>43272.0</v>
      </c>
      <c r="H223" s="51">
        <v>43273.529861111114</v>
      </c>
      <c r="I223" s="52">
        <v>1.0</v>
      </c>
      <c r="J223" s="53"/>
      <c r="K223" s="53"/>
    </row>
    <row r="224">
      <c r="A224" s="48" t="s">
        <v>873</v>
      </c>
      <c r="B224" s="49" t="s">
        <v>874</v>
      </c>
      <c r="C224" s="49" t="s">
        <v>203</v>
      </c>
      <c r="D224" s="49" t="s">
        <v>120</v>
      </c>
      <c r="E224" s="49" t="s">
        <v>245</v>
      </c>
      <c r="F224" s="50">
        <v>43272.0</v>
      </c>
      <c r="G224" s="50">
        <v>43272.0</v>
      </c>
      <c r="H224" s="51">
        <v>43273.53125</v>
      </c>
      <c r="I224" s="52">
        <v>1.0</v>
      </c>
      <c r="J224" s="53"/>
      <c r="K224" s="53"/>
    </row>
    <row r="225">
      <c r="A225" s="48" t="s">
        <v>876</v>
      </c>
      <c r="B225" s="49" t="s">
        <v>877</v>
      </c>
      <c r="C225" s="49" t="s">
        <v>203</v>
      </c>
      <c r="D225" s="49" t="s">
        <v>148</v>
      </c>
      <c r="E225" s="49" t="s">
        <v>245</v>
      </c>
      <c r="F225" s="50">
        <v>43272.0</v>
      </c>
      <c r="G225" s="50">
        <v>43272.0</v>
      </c>
      <c r="H225" s="51">
        <v>43273.819444444445</v>
      </c>
      <c r="I225" s="52">
        <v>1.0</v>
      </c>
      <c r="J225" s="53"/>
      <c r="K225" s="53"/>
    </row>
    <row r="226">
      <c r="A226" s="48" t="s">
        <v>880</v>
      </c>
      <c r="B226" s="49" t="s">
        <v>881</v>
      </c>
      <c r="C226" s="49" t="s">
        <v>203</v>
      </c>
      <c r="D226" s="49" t="s">
        <v>148</v>
      </c>
      <c r="E226" s="49" t="s">
        <v>245</v>
      </c>
      <c r="F226" s="50">
        <v>43272.0</v>
      </c>
      <c r="G226" s="50">
        <v>43272.0</v>
      </c>
      <c r="H226" s="51">
        <v>43273.82013888889</v>
      </c>
      <c r="I226" s="52">
        <v>1.0</v>
      </c>
      <c r="J226" s="53"/>
      <c r="K226" s="53"/>
    </row>
    <row r="227">
      <c r="A227" s="48" t="s">
        <v>883</v>
      </c>
      <c r="B227" s="49" t="s">
        <v>884</v>
      </c>
      <c r="C227" s="49" t="s">
        <v>203</v>
      </c>
      <c r="D227" s="49" t="s">
        <v>148</v>
      </c>
      <c r="E227" s="49" t="s">
        <v>245</v>
      </c>
      <c r="F227" s="50">
        <v>43271.0</v>
      </c>
      <c r="G227" s="50">
        <v>43271.0</v>
      </c>
      <c r="H227" s="51">
        <v>43273.81875</v>
      </c>
      <c r="I227" s="52">
        <v>1.0</v>
      </c>
      <c r="J227" s="53"/>
      <c r="K227" s="53"/>
    </row>
    <row r="228">
      <c r="A228" s="48" t="s">
        <v>885</v>
      </c>
      <c r="B228" s="49" t="s">
        <v>886</v>
      </c>
      <c r="C228" s="49" t="s">
        <v>243</v>
      </c>
      <c r="D228" s="49" t="s">
        <v>148</v>
      </c>
      <c r="E228" s="49" t="s">
        <v>245</v>
      </c>
      <c r="F228" s="50">
        <v>43270.0</v>
      </c>
      <c r="G228" s="50">
        <v>43277.0</v>
      </c>
      <c r="H228" s="51">
        <v>43286.6875</v>
      </c>
      <c r="I228" s="52">
        <v>1.0</v>
      </c>
      <c r="J228" s="53"/>
      <c r="K228" s="53"/>
    </row>
    <row r="229">
      <c r="A229" s="48" t="s">
        <v>888</v>
      </c>
      <c r="B229" s="49" t="s">
        <v>889</v>
      </c>
      <c r="C229" s="49" t="s">
        <v>257</v>
      </c>
      <c r="D229" s="49" t="s">
        <v>153</v>
      </c>
      <c r="E229" s="49" t="s">
        <v>245</v>
      </c>
      <c r="F229" s="50">
        <v>43270.0</v>
      </c>
      <c r="G229" s="50">
        <v>43270.0</v>
      </c>
      <c r="H229" s="51">
        <v>43270.73263888889</v>
      </c>
      <c r="I229" s="52">
        <v>1.0</v>
      </c>
      <c r="J229" s="53"/>
      <c r="K229" s="53"/>
    </row>
    <row r="230">
      <c r="A230" s="48" t="s">
        <v>890</v>
      </c>
      <c r="B230" s="49" t="s">
        <v>891</v>
      </c>
      <c r="C230" s="49" t="s">
        <v>221</v>
      </c>
      <c r="D230" s="49" t="s">
        <v>153</v>
      </c>
      <c r="E230" s="49" t="s">
        <v>245</v>
      </c>
      <c r="F230" s="50">
        <v>43270.0</v>
      </c>
      <c r="G230" s="50">
        <v>43270.0</v>
      </c>
      <c r="H230" s="51">
        <v>43270.73263888889</v>
      </c>
      <c r="I230" s="52">
        <v>1.0</v>
      </c>
      <c r="J230" s="53"/>
      <c r="K230" s="53"/>
    </row>
    <row r="231">
      <c r="A231" s="48" t="s">
        <v>892</v>
      </c>
      <c r="B231" s="49" t="s">
        <v>893</v>
      </c>
      <c r="C231" s="49" t="s">
        <v>894</v>
      </c>
      <c r="D231" s="49" t="s">
        <v>153</v>
      </c>
      <c r="E231" s="49" t="s">
        <v>245</v>
      </c>
      <c r="F231" s="50">
        <v>43270.0</v>
      </c>
      <c r="G231" s="50">
        <v>43270.0</v>
      </c>
      <c r="H231" s="51">
        <v>43270.73333333333</v>
      </c>
      <c r="I231" s="52">
        <v>1.0</v>
      </c>
      <c r="J231" s="53"/>
      <c r="K231" s="53"/>
    </row>
    <row r="232">
      <c r="A232" s="48" t="s">
        <v>895</v>
      </c>
      <c r="B232" s="49" t="s">
        <v>896</v>
      </c>
      <c r="C232" s="49" t="s">
        <v>243</v>
      </c>
      <c r="D232" s="49" t="s">
        <v>140</v>
      </c>
      <c r="E232" s="49" t="s">
        <v>277</v>
      </c>
      <c r="F232" s="50">
        <v>43266.0</v>
      </c>
      <c r="G232" s="50">
        <v>43266.0</v>
      </c>
      <c r="H232" s="51">
        <v>43266.71319444444</v>
      </c>
      <c r="I232" s="52">
        <v>0.0</v>
      </c>
      <c r="J232" s="53"/>
      <c r="K232" s="53"/>
    </row>
    <row r="233">
      <c r="A233" s="48" t="s">
        <v>898</v>
      </c>
      <c r="B233" s="49" t="s">
        <v>899</v>
      </c>
      <c r="C233" s="49" t="s">
        <v>221</v>
      </c>
      <c r="D233" s="49" t="s">
        <v>153</v>
      </c>
      <c r="E233" s="49" t="s">
        <v>245</v>
      </c>
      <c r="F233" s="50">
        <v>43266.0</v>
      </c>
      <c r="G233" s="50">
        <v>43266.0</v>
      </c>
      <c r="H233" s="51">
        <v>43266.444444444445</v>
      </c>
      <c r="I233" s="52">
        <v>1.0</v>
      </c>
      <c r="J233" s="53"/>
      <c r="K233" s="53"/>
    </row>
    <row r="234">
      <c r="A234" s="48" t="s">
        <v>900</v>
      </c>
      <c r="B234" s="49" t="s">
        <v>901</v>
      </c>
      <c r="C234" s="49" t="s">
        <v>257</v>
      </c>
      <c r="D234" s="49" t="s">
        <v>153</v>
      </c>
      <c r="E234" s="49" t="s">
        <v>245</v>
      </c>
      <c r="F234" s="50">
        <v>43266.0</v>
      </c>
      <c r="G234" s="50">
        <v>43266.0</v>
      </c>
      <c r="H234" s="51">
        <v>43266.44375</v>
      </c>
      <c r="I234" s="52">
        <v>1.0</v>
      </c>
      <c r="J234" s="53"/>
      <c r="K234" s="53"/>
    </row>
    <row r="235">
      <c r="A235" s="48" t="s">
        <v>902</v>
      </c>
      <c r="B235" s="49" t="s">
        <v>904</v>
      </c>
      <c r="C235" s="49" t="s">
        <v>257</v>
      </c>
      <c r="D235" s="49" t="s">
        <v>153</v>
      </c>
      <c r="E235" s="49" t="s">
        <v>245</v>
      </c>
      <c r="F235" s="50">
        <v>43266.0</v>
      </c>
      <c r="G235" s="50">
        <v>43266.0</v>
      </c>
      <c r="H235" s="51">
        <v>43266.444444444445</v>
      </c>
      <c r="I235" s="52">
        <v>1.0</v>
      </c>
      <c r="J235" s="53"/>
      <c r="K235" s="53"/>
    </row>
    <row r="236">
      <c r="A236" s="48" t="s">
        <v>905</v>
      </c>
      <c r="B236" s="49" t="s">
        <v>906</v>
      </c>
      <c r="C236" s="49" t="s">
        <v>243</v>
      </c>
      <c r="D236" s="49" t="s">
        <v>148</v>
      </c>
      <c r="E236" s="49" t="s">
        <v>245</v>
      </c>
      <c r="F236" s="50">
        <v>43266.0</v>
      </c>
      <c r="G236" s="50">
        <v>43266.0</v>
      </c>
      <c r="H236" s="51">
        <v>43266.583333333336</v>
      </c>
      <c r="I236" s="52">
        <v>1.0</v>
      </c>
      <c r="J236" s="53"/>
      <c r="K236" s="53"/>
    </row>
    <row r="237">
      <c r="A237" s="48" t="s">
        <v>907</v>
      </c>
      <c r="B237" s="49" t="s">
        <v>909</v>
      </c>
      <c r="C237" s="49" t="s">
        <v>203</v>
      </c>
      <c r="D237" s="49" t="s">
        <v>120</v>
      </c>
      <c r="E237" s="49" t="s">
        <v>245</v>
      </c>
      <c r="F237" s="50">
        <v>43266.0</v>
      </c>
      <c r="G237" s="50">
        <v>43272.0</v>
      </c>
      <c r="H237" s="51">
        <v>43273.529861111114</v>
      </c>
      <c r="I237" s="52">
        <v>1.0</v>
      </c>
      <c r="J237" s="53"/>
      <c r="K237" s="53"/>
    </row>
    <row r="238">
      <c r="A238" s="48" t="s">
        <v>910</v>
      </c>
      <c r="B238" s="49" t="s">
        <v>911</v>
      </c>
      <c r="C238" s="49" t="s">
        <v>257</v>
      </c>
      <c r="D238" s="49" t="s">
        <v>153</v>
      </c>
      <c r="E238" s="49" t="s">
        <v>245</v>
      </c>
      <c r="F238" s="50">
        <v>43266.0</v>
      </c>
      <c r="G238" s="50">
        <v>43266.0</v>
      </c>
      <c r="H238" s="51">
        <v>43266.68680555555</v>
      </c>
      <c r="I238" s="52">
        <v>1.0</v>
      </c>
      <c r="J238" s="53"/>
      <c r="K238" s="53"/>
    </row>
    <row r="239">
      <c r="A239" s="48" t="s">
        <v>912</v>
      </c>
      <c r="B239" s="49" t="s">
        <v>913</v>
      </c>
      <c r="C239" s="49" t="s">
        <v>221</v>
      </c>
      <c r="D239" s="49" t="s">
        <v>153</v>
      </c>
      <c r="E239" s="49" t="s">
        <v>245</v>
      </c>
      <c r="F239" s="50">
        <v>43266.0</v>
      </c>
      <c r="G239" s="50">
        <v>43266.0</v>
      </c>
      <c r="H239" s="51">
        <v>43266.6875</v>
      </c>
      <c r="I239" s="52">
        <v>1.0</v>
      </c>
      <c r="J239" s="53"/>
      <c r="K239" s="53"/>
    </row>
    <row r="240">
      <c r="A240" s="48" t="s">
        <v>915</v>
      </c>
      <c r="B240" s="49" t="s">
        <v>916</v>
      </c>
      <c r="C240" s="49" t="s">
        <v>221</v>
      </c>
      <c r="D240" s="49" t="s">
        <v>153</v>
      </c>
      <c r="E240" s="49" t="s">
        <v>245</v>
      </c>
      <c r="F240" s="50">
        <v>43266.0</v>
      </c>
      <c r="G240" s="50">
        <v>43266.0</v>
      </c>
      <c r="H240" s="51">
        <v>43266.68819444445</v>
      </c>
      <c r="I240" s="52">
        <v>1.0</v>
      </c>
      <c r="J240" s="53"/>
      <c r="K240" s="53"/>
    </row>
    <row r="241">
      <c r="A241" s="48" t="s">
        <v>917</v>
      </c>
      <c r="B241" s="49" t="s">
        <v>918</v>
      </c>
      <c r="C241" s="49" t="s">
        <v>257</v>
      </c>
      <c r="D241" s="49" t="s">
        <v>153</v>
      </c>
      <c r="E241" s="49" t="s">
        <v>245</v>
      </c>
      <c r="F241" s="50">
        <v>43266.0</v>
      </c>
      <c r="G241" s="50">
        <v>43266.0</v>
      </c>
      <c r="H241" s="51">
        <v>43266.6875</v>
      </c>
      <c r="I241" s="52">
        <v>1.0</v>
      </c>
      <c r="J241" s="53"/>
      <c r="K241" s="53"/>
    </row>
    <row r="242">
      <c r="A242" s="48" t="s">
        <v>919</v>
      </c>
      <c r="B242" s="49" t="s">
        <v>920</v>
      </c>
      <c r="C242" s="49" t="s">
        <v>221</v>
      </c>
      <c r="D242" s="49" t="s">
        <v>153</v>
      </c>
      <c r="E242" s="49" t="s">
        <v>245</v>
      </c>
      <c r="F242" s="50">
        <v>43266.0</v>
      </c>
      <c r="G242" s="50">
        <v>43266.0</v>
      </c>
      <c r="H242" s="51">
        <v>43266.68819444445</v>
      </c>
      <c r="I242" s="52">
        <v>1.0</v>
      </c>
      <c r="J242" s="53"/>
      <c r="K242" s="53"/>
    </row>
    <row r="243">
      <c r="A243" s="48" t="s">
        <v>923</v>
      </c>
      <c r="B243" s="49" t="s">
        <v>924</v>
      </c>
      <c r="C243" s="49" t="s">
        <v>257</v>
      </c>
      <c r="D243" s="49" t="s">
        <v>153</v>
      </c>
      <c r="E243" s="49" t="s">
        <v>245</v>
      </c>
      <c r="F243" s="50">
        <v>43266.0</v>
      </c>
      <c r="G243" s="50">
        <v>43266.0</v>
      </c>
      <c r="H243" s="51">
        <v>43266.68819444445</v>
      </c>
      <c r="I243" s="52">
        <v>1.0</v>
      </c>
      <c r="J243" s="53"/>
      <c r="K243" s="53"/>
    </row>
    <row r="244">
      <c r="A244" s="48" t="s">
        <v>925</v>
      </c>
      <c r="B244" s="49" t="s">
        <v>926</v>
      </c>
      <c r="C244" s="49" t="s">
        <v>221</v>
      </c>
      <c r="D244" s="49" t="s">
        <v>153</v>
      </c>
      <c r="E244" s="49" t="s">
        <v>245</v>
      </c>
      <c r="F244" s="50">
        <v>43266.0</v>
      </c>
      <c r="G244" s="50">
        <v>43266.0</v>
      </c>
      <c r="H244" s="51">
        <v>43266.688888888886</v>
      </c>
      <c r="I244" s="52">
        <v>1.0</v>
      </c>
      <c r="J244" s="53"/>
      <c r="K244" s="53"/>
    </row>
    <row r="245">
      <c r="A245" s="48" t="s">
        <v>928</v>
      </c>
      <c r="B245" s="49" t="s">
        <v>929</v>
      </c>
      <c r="C245" s="49" t="s">
        <v>243</v>
      </c>
      <c r="D245" s="49" t="s">
        <v>140</v>
      </c>
      <c r="E245" s="49" t="s">
        <v>245</v>
      </c>
      <c r="F245" s="50">
        <v>43266.0</v>
      </c>
      <c r="G245" s="50">
        <v>43277.0</v>
      </c>
      <c r="H245" s="51">
        <v>43266.686111111114</v>
      </c>
      <c r="I245" s="52">
        <v>1.0</v>
      </c>
      <c r="J245" s="53"/>
      <c r="K245" s="53"/>
    </row>
    <row r="246">
      <c r="A246" s="48" t="s">
        <v>930</v>
      </c>
      <c r="B246" s="49" t="s">
        <v>932</v>
      </c>
      <c r="C246" s="49" t="s">
        <v>243</v>
      </c>
      <c r="D246" s="49" t="s">
        <v>140</v>
      </c>
      <c r="E246" s="49" t="s">
        <v>245</v>
      </c>
      <c r="F246" s="50">
        <v>43266.0</v>
      </c>
      <c r="G246" s="50">
        <v>43266.0</v>
      </c>
      <c r="H246" s="51">
        <v>43266.70625</v>
      </c>
      <c r="I246" s="52">
        <v>1.0</v>
      </c>
      <c r="J246" s="53"/>
      <c r="K246" s="53"/>
    </row>
    <row r="247">
      <c r="A247" s="48" t="s">
        <v>933</v>
      </c>
      <c r="B247" s="49" t="s">
        <v>934</v>
      </c>
      <c r="C247" s="49" t="s">
        <v>243</v>
      </c>
      <c r="D247" s="49" t="s">
        <v>148</v>
      </c>
      <c r="E247" s="49" t="s">
        <v>277</v>
      </c>
      <c r="F247" s="50">
        <v>43265.0</v>
      </c>
      <c r="G247" s="50">
        <v>43269.0</v>
      </c>
      <c r="H247" s="51">
        <v>43265.6125</v>
      </c>
      <c r="I247" s="52">
        <v>0.0</v>
      </c>
      <c r="J247" s="53"/>
      <c r="K247" s="53"/>
    </row>
    <row r="248">
      <c r="A248" s="48" t="s">
        <v>935</v>
      </c>
      <c r="B248" s="49" t="s">
        <v>936</v>
      </c>
      <c r="C248" s="49" t="s">
        <v>243</v>
      </c>
      <c r="D248" s="49" t="s">
        <v>148</v>
      </c>
      <c r="E248" s="49" t="s">
        <v>245</v>
      </c>
      <c r="F248" s="50">
        <v>43265.0</v>
      </c>
      <c r="G248" s="50">
        <v>43269.0</v>
      </c>
      <c r="H248" s="51">
        <v>43265.6125</v>
      </c>
      <c r="I248" s="52">
        <v>1.0</v>
      </c>
      <c r="J248" s="53"/>
      <c r="K248" s="53"/>
    </row>
    <row r="249">
      <c r="A249" s="48" t="s">
        <v>938</v>
      </c>
      <c r="B249" s="49" t="s">
        <v>939</v>
      </c>
      <c r="C249" s="49" t="s">
        <v>257</v>
      </c>
      <c r="D249" s="49" t="s">
        <v>153</v>
      </c>
      <c r="E249" s="49" t="s">
        <v>245</v>
      </c>
      <c r="F249" s="50">
        <v>43265.0</v>
      </c>
      <c r="G249" s="50">
        <v>43265.0</v>
      </c>
      <c r="H249" s="51">
        <v>43266.68958333333</v>
      </c>
      <c r="I249" s="52">
        <v>1.0</v>
      </c>
      <c r="J249" s="53"/>
      <c r="K249" s="53"/>
    </row>
    <row r="250">
      <c r="A250" s="48" t="s">
        <v>940</v>
      </c>
      <c r="B250" s="49" t="s">
        <v>941</v>
      </c>
      <c r="C250" s="49" t="s">
        <v>221</v>
      </c>
      <c r="D250" s="49" t="s">
        <v>153</v>
      </c>
      <c r="E250" s="49" t="s">
        <v>245</v>
      </c>
      <c r="F250" s="50">
        <v>43265.0</v>
      </c>
      <c r="G250" s="50">
        <v>43265.0</v>
      </c>
      <c r="H250" s="51">
        <v>43266.68958333333</v>
      </c>
      <c r="I250" s="52">
        <v>1.0</v>
      </c>
      <c r="J250" s="53"/>
      <c r="K250" s="53"/>
    </row>
    <row r="251">
      <c r="A251" s="48" t="s">
        <v>943</v>
      </c>
      <c r="B251" s="49" t="s">
        <v>944</v>
      </c>
      <c r="C251" s="49" t="s">
        <v>257</v>
      </c>
      <c r="D251" s="49" t="s">
        <v>153</v>
      </c>
      <c r="E251" s="49" t="s">
        <v>245</v>
      </c>
      <c r="F251" s="50">
        <v>43265.0</v>
      </c>
      <c r="G251" s="50">
        <v>43265.0</v>
      </c>
      <c r="H251" s="51">
        <v>43266.68958333333</v>
      </c>
      <c r="I251" s="52">
        <v>1.0</v>
      </c>
      <c r="J251" s="53"/>
      <c r="K251" s="53"/>
    </row>
    <row r="252">
      <c r="A252" s="48" t="s">
        <v>945</v>
      </c>
      <c r="B252" s="49" t="s">
        <v>946</v>
      </c>
      <c r="C252" s="49" t="s">
        <v>221</v>
      </c>
      <c r="D252" s="49" t="s">
        <v>153</v>
      </c>
      <c r="E252" s="49" t="s">
        <v>245</v>
      </c>
      <c r="F252" s="50">
        <v>43265.0</v>
      </c>
      <c r="G252" s="50">
        <v>43265.0</v>
      </c>
      <c r="H252" s="51">
        <v>43266.68958333333</v>
      </c>
      <c r="I252" s="52">
        <v>1.0</v>
      </c>
      <c r="J252" s="53"/>
      <c r="K252" s="53"/>
    </row>
    <row r="253">
      <c r="A253" s="48" t="s">
        <v>948</v>
      </c>
      <c r="B253" s="49" t="s">
        <v>949</v>
      </c>
      <c r="C253" s="49" t="s">
        <v>257</v>
      </c>
      <c r="D253" s="49" t="s">
        <v>153</v>
      </c>
      <c r="E253" s="49" t="s">
        <v>245</v>
      </c>
      <c r="F253" s="50">
        <v>43265.0</v>
      </c>
      <c r="G253" s="50">
        <v>43265.0</v>
      </c>
      <c r="H253" s="51">
        <v>43265.65277777778</v>
      </c>
      <c r="I253" s="52">
        <v>1.0</v>
      </c>
      <c r="J253" s="53"/>
      <c r="K253" s="53"/>
    </row>
    <row r="254">
      <c r="A254" s="48" t="s">
        <v>950</v>
      </c>
      <c r="B254" s="49" t="s">
        <v>951</v>
      </c>
      <c r="C254" s="49" t="s">
        <v>243</v>
      </c>
      <c r="D254" s="49" t="s">
        <v>140</v>
      </c>
      <c r="E254" s="49" t="s">
        <v>245</v>
      </c>
      <c r="F254" s="50">
        <v>43265.0</v>
      </c>
      <c r="G254" s="50">
        <v>43265.0</v>
      </c>
      <c r="H254" s="51">
        <v>43266.70625</v>
      </c>
      <c r="I254" s="52">
        <v>1.0</v>
      </c>
      <c r="J254" s="53"/>
      <c r="K254" s="53"/>
    </row>
    <row r="255">
      <c r="A255" s="48" t="s">
        <v>953</v>
      </c>
      <c r="B255" s="49" t="s">
        <v>954</v>
      </c>
      <c r="C255" s="49" t="s">
        <v>243</v>
      </c>
      <c r="D255" s="49" t="s">
        <v>148</v>
      </c>
      <c r="E255" s="49" t="s">
        <v>245</v>
      </c>
      <c r="F255" s="50">
        <v>43264.0</v>
      </c>
      <c r="G255" s="50">
        <v>43272.0</v>
      </c>
      <c r="H255" s="51">
        <v>43264.506944444445</v>
      </c>
      <c r="I255" s="52">
        <v>1.0</v>
      </c>
      <c r="J255" s="53"/>
      <c r="K255" s="53"/>
    </row>
    <row r="256">
      <c r="A256" s="48" t="s">
        <v>955</v>
      </c>
      <c r="B256" s="49" t="s">
        <v>956</v>
      </c>
      <c r="C256" s="49" t="s">
        <v>257</v>
      </c>
      <c r="D256" s="49" t="s">
        <v>153</v>
      </c>
      <c r="E256" s="49" t="s">
        <v>245</v>
      </c>
      <c r="F256" s="50">
        <v>43264.0</v>
      </c>
      <c r="G256" s="50">
        <v>43264.0</v>
      </c>
      <c r="H256" s="51">
        <v>43264.58888888889</v>
      </c>
      <c r="I256" s="52">
        <v>1.0</v>
      </c>
      <c r="J256" s="53"/>
      <c r="K256" s="53"/>
    </row>
    <row r="257">
      <c r="A257" s="48" t="s">
        <v>957</v>
      </c>
      <c r="B257" s="49" t="s">
        <v>958</v>
      </c>
      <c r="C257" s="49" t="s">
        <v>221</v>
      </c>
      <c r="D257" s="49" t="s">
        <v>153</v>
      </c>
      <c r="E257" s="49" t="s">
        <v>245</v>
      </c>
      <c r="F257" s="50">
        <v>43264.0</v>
      </c>
      <c r="G257" s="50">
        <v>43264.0</v>
      </c>
      <c r="H257" s="51">
        <v>43264.589583333334</v>
      </c>
      <c r="I257" s="52">
        <v>1.0</v>
      </c>
      <c r="J257" s="53"/>
      <c r="K257" s="53"/>
    </row>
    <row r="258">
      <c r="A258" s="48" t="s">
        <v>960</v>
      </c>
      <c r="B258" s="49" t="s">
        <v>961</v>
      </c>
      <c r="C258" s="49" t="s">
        <v>203</v>
      </c>
      <c r="D258" s="49" t="s">
        <v>120</v>
      </c>
      <c r="E258" s="49" t="s">
        <v>245</v>
      </c>
      <c r="F258" s="50">
        <v>43264.0</v>
      </c>
      <c r="G258" s="50">
        <v>43264.0</v>
      </c>
      <c r="H258" s="51">
        <v>43264.64513888889</v>
      </c>
      <c r="I258" s="52">
        <v>1.0</v>
      </c>
      <c r="J258" s="53"/>
      <c r="K258" s="53"/>
    </row>
    <row r="259">
      <c r="A259" s="48" t="s">
        <v>962</v>
      </c>
      <c r="B259" s="49" t="s">
        <v>963</v>
      </c>
      <c r="C259" s="49" t="s">
        <v>257</v>
      </c>
      <c r="D259" s="49" t="s">
        <v>153</v>
      </c>
      <c r="E259" s="49" t="s">
        <v>245</v>
      </c>
      <c r="F259" s="50">
        <v>43264.0</v>
      </c>
      <c r="G259" s="50">
        <v>43264.0</v>
      </c>
      <c r="H259" s="51">
        <v>43264.740277777775</v>
      </c>
      <c r="I259" s="52">
        <v>1.0</v>
      </c>
      <c r="J259" s="53"/>
      <c r="K259" s="53"/>
    </row>
    <row r="260">
      <c r="A260" s="48" t="s">
        <v>966</v>
      </c>
      <c r="B260" s="49" t="s">
        <v>967</v>
      </c>
      <c r="C260" s="49" t="s">
        <v>257</v>
      </c>
      <c r="D260" s="49" t="s">
        <v>153</v>
      </c>
      <c r="E260" s="49" t="s">
        <v>245</v>
      </c>
      <c r="F260" s="50">
        <v>43264.0</v>
      </c>
      <c r="G260" s="50">
        <v>43264.0</v>
      </c>
      <c r="H260" s="51">
        <v>43266.68958333333</v>
      </c>
      <c r="I260" s="52">
        <v>1.0</v>
      </c>
      <c r="J260" s="53"/>
      <c r="K260" s="53"/>
    </row>
    <row r="261">
      <c r="A261" s="48" t="s">
        <v>968</v>
      </c>
      <c r="B261" s="49" t="s">
        <v>969</v>
      </c>
      <c r="C261" s="49" t="s">
        <v>221</v>
      </c>
      <c r="D261" s="49" t="s">
        <v>153</v>
      </c>
      <c r="E261" s="49" t="s">
        <v>245</v>
      </c>
      <c r="F261" s="50">
        <v>43264.0</v>
      </c>
      <c r="G261" s="50">
        <v>43264.0</v>
      </c>
      <c r="H261" s="51">
        <v>43264.740277777775</v>
      </c>
      <c r="I261" s="52">
        <v>1.0</v>
      </c>
      <c r="J261" s="53"/>
      <c r="K261" s="53"/>
    </row>
    <row r="262">
      <c r="A262" s="48" t="s">
        <v>971</v>
      </c>
      <c r="B262" s="49" t="s">
        <v>973</v>
      </c>
      <c r="C262" s="49" t="s">
        <v>166</v>
      </c>
      <c r="D262" s="49" t="s">
        <v>974</v>
      </c>
      <c r="E262" s="49" t="s">
        <v>245</v>
      </c>
      <c r="F262" s="50">
        <v>43264.0</v>
      </c>
      <c r="G262" s="50">
        <v>43264.0</v>
      </c>
      <c r="H262" s="51">
        <v>43266.70625</v>
      </c>
      <c r="I262" s="52">
        <v>1.0</v>
      </c>
      <c r="J262" s="53"/>
      <c r="K262" s="53"/>
    </row>
    <row r="263">
      <c r="A263" s="48" t="s">
        <v>976</v>
      </c>
      <c r="B263" s="49" t="s">
        <v>977</v>
      </c>
      <c r="C263" s="49" t="s">
        <v>257</v>
      </c>
      <c r="D263" s="49" t="s">
        <v>153</v>
      </c>
      <c r="E263" s="49" t="s">
        <v>245</v>
      </c>
      <c r="F263" s="50">
        <v>43263.0</v>
      </c>
      <c r="G263" s="50">
        <v>43263.0</v>
      </c>
      <c r="H263" s="51">
        <v>43263.395833333336</v>
      </c>
      <c r="I263" s="52">
        <v>1.0</v>
      </c>
      <c r="J263" s="53"/>
      <c r="K263" s="53"/>
    </row>
    <row r="264">
      <c r="A264" s="48" t="s">
        <v>978</v>
      </c>
      <c r="B264" s="49" t="s">
        <v>979</v>
      </c>
      <c r="C264" s="49" t="s">
        <v>257</v>
      </c>
      <c r="D264" s="49" t="s">
        <v>153</v>
      </c>
      <c r="E264" s="49" t="s">
        <v>245</v>
      </c>
      <c r="F264" s="50">
        <v>43263.0</v>
      </c>
      <c r="G264" s="50">
        <v>43263.0</v>
      </c>
      <c r="H264" s="51">
        <v>43263.396527777775</v>
      </c>
      <c r="I264" s="52">
        <v>1.0</v>
      </c>
      <c r="J264" s="53"/>
      <c r="K264" s="53"/>
    </row>
    <row r="265">
      <c r="A265" s="48" t="s">
        <v>982</v>
      </c>
      <c r="B265" s="49" t="s">
        <v>983</v>
      </c>
      <c r="C265" s="49" t="s">
        <v>221</v>
      </c>
      <c r="D265" s="49" t="s">
        <v>153</v>
      </c>
      <c r="E265" s="49" t="s">
        <v>245</v>
      </c>
      <c r="F265" s="50">
        <v>43263.0</v>
      </c>
      <c r="G265" s="50">
        <v>43263.0</v>
      </c>
      <c r="H265" s="51">
        <v>43263.396527777775</v>
      </c>
      <c r="I265" s="52">
        <v>1.0</v>
      </c>
      <c r="J265" s="53"/>
      <c r="K265" s="53"/>
    </row>
    <row r="266">
      <c r="A266" s="48" t="s">
        <v>984</v>
      </c>
      <c r="B266" s="49" t="s">
        <v>985</v>
      </c>
      <c r="C266" s="49" t="s">
        <v>221</v>
      </c>
      <c r="D266" s="49" t="s">
        <v>153</v>
      </c>
      <c r="E266" s="49" t="s">
        <v>245</v>
      </c>
      <c r="F266" s="50">
        <v>43263.0</v>
      </c>
      <c r="G266" s="50">
        <v>43263.0</v>
      </c>
      <c r="H266" s="51">
        <v>43263.396527777775</v>
      </c>
      <c r="I266" s="52">
        <v>1.0</v>
      </c>
      <c r="J266" s="53"/>
      <c r="K266" s="53"/>
    </row>
    <row r="267">
      <c r="A267" s="48" t="s">
        <v>988</v>
      </c>
      <c r="B267" s="49" t="s">
        <v>989</v>
      </c>
      <c r="C267" s="49" t="s">
        <v>257</v>
      </c>
      <c r="D267" s="49" t="s">
        <v>153</v>
      </c>
      <c r="E267" s="49" t="s">
        <v>245</v>
      </c>
      <c r="F267" s="50">
        <v>43263.0</v>
      </c>
      <c r="G267" s="50">
        <v>43263.0</v>
      </c>
      <c r="H267" s="51">
        <v>43263.71805555555</v>
      </c>
      <c r="I267" s="52">
        <v>1.0</v>
      </c>
      <c r="J267" s="53"/>
      <c r="K267" s="53"/>
    </row>
    <row r="268">
      <c r="A268" s="48" t="s">
        <v>990</v>
      </c>
      <c r="B268" s="49" t="s">
        <v>991</v>
      </c>
      <c r="C268" s="49" t="s">
        <v>221</v>
      </c>
      <c r="D268" s="49" t="s">
        <v>153</v>
      </c>
      <c r="E268" s="49" t="s">
        <v>245</v>
      </c>
      <c r="F268" s="50">
        <v>43263.0</v>
      </c>
      <c r="G268" s="50">
        <v>43263.0</v>
      </c>
      <c r="H268" s="51">
        <v>43263.71875</v>
      </c>
      <c r="I268" s="52">
        <v>1.0</v>
      </c>
      <c r="J268" s="53"/>
      <c r="K268" s="53"/>
    </row>
    <row r="269">
      <c r="A269" s="48" t="s">
        <v>993</v>
      </c>
      <c r="B269" s="49" t="s">
        <v>995</v>
      </c>
      <c r="C269" s="49" t="s">
        <v>203</v>
      </c>
      <c r="D269" s="49" t="s">
        <v>120</v>
      </c>
      <c r="E269" s="49" t="s">
        <v>245</v>
      </c>
      <c r="F269" s="50">
        <v>43263.0</v>
      </c>
      <c r="G269" s="50">
        <v>43263.0</v>
      </c>
      <c r="H269" s="51">
        <v>43264.64236111111</v>
      </c>
      <c r="I269" s="52">
        <v>1.0</v>
      </c>
      <c r="J269" s="53"/>
      <c r="K269" s="53"/>
    </row>
    <row r="270">
      <c r="A270" s="48" t="s">
        <v>997</v>
      </c>
      <c r="B270" s="49" t="s">
        <v>998</v>
      </c>
      <c r="C270" s="49" t="s">
        <v>203</v>
      </c>
      <c r="D270" s="49" t="s">
        <v>120</v>
      </c>
      <c r="E270" s="49" t="s">
        <v>245</v>
      </c>
      <c r="F270" s="50">
        <v>43263.0</v>
      </c>
      <c r="G270" s="50">
        <v>43263.0</v>
      </c>
      <c r="H270" s="51">
        <v>43264.643055555556</v>
      </c>
      <c r="I270" s="52">
        <v>1.0</v>
      </c>
      <c r="J270" s="53"/>
      <c r="K270" s="53"/>
    </row>
    <row r="271">
      <c r="A271" s="48" t="s">
        <v>999</v>
      </c>
      <c r="B271" s="49" t="s">
        <v>1001</v>
      </c>
      <c r="C271" s="49" t="s">
        <v>203</v>
      </c>
      <c r="D271" s="49" t="s">
        <v>120</v>
      </c>
      <c r="E271" s="49" t="s">
        <v>245</v>
      </c>
      <c r="F271" s="50">
        <v>43263.0</v>
      </c>
      <c r="G271" s="50">
        <v>43263.0</v>
      </c>
      <c r="H271" s="51">
        <v>43264.643055555556</v>
      </c>
      <c r="I271" s="52">
        <v>1.0</v>
      </c>
      <c r="J271" s="53"/>
      <c r="K271" s="53"/>
    </row>
    <row r="272">
      <c r="A272" s="48" t="s">
        <v>1003</v>
      </c>
      <c r="B272" s="49" t="s">
        <v>1004</v>
      </c>
      <c r="C272" s="49" t="s">
        <v>203</v>
      </c>
      <c r="D272" s="49" t="s">
        <v>120</v>
      </c>
      <c r="E272" s="49" t="s">
        <v>245</v>
      </c>
      <c r="F272" s="50">
        <v>43263.0</v>
      </c>
      <c r="G272" s="50">
        <v>43263.0</v>
      </c>
      <c r="H272" s="51">
        <v>43264.64375</v>
      </c>
      <c r="I272" s="52">
        <v>1.0</v>
      </c>
      <c r="J272" s="53"/>
      <c r="K272" s="53"/>
    </row>
    <row r="273">
      <c r="A273" s="48" t="s">
        <v>1005</v>
      </c>
      <c r="B273" s="49" t="s">
        <v>1006</v>
      </c>
      <c r="C273" s="49" t="s">
        <v>203</v>
      </c>
      <c r="D273" s="49" t="s">
        <v>120</v>
      </c>
      <c r="E273" s="49" t="s">
        <v>245</v>
      </c>
      <c r="F273" s="50">
        <v>43263.0</v>
      </c>
      <c r="G273" s="50">
        <v>43263.0</v>
      </c>
      <c r="H273" s="51">
        <v>43264.64444444444</v>
      </c>
      <c r="I273" s="52">
        <v>1.0</v>
      </c>
      <c r="J273" s="53"/>
      <c r="K273" s="53"/>
    </row>
    <row r="274">
      <c r="A274" s="48" t="s">
        <v>1007</v>
      </c>
      <c r="B274" s="49" t="s">
        <v>1009</v>
      </c>
      <c r="C274" s="49" t="s">
        <v>1010</v>
      </c>
      <c r="D274" s="49" t="s">
        <v>140</v>
      </c>
      <c r="E274" s="49" t="s">
        <v>245</v>
      </c>
      <c r="F274" s="50">
        <v>43263.0</v>
      </c>
      <c r="G274" s="50">
        <v>43265.0</v>
      </c>
      <c r="H274" s="51">
        <v>43266.70625</v>
      </c>
      <c r="I274" s="52">
        <v>1.0</v>
      </c>
      <c r="J274" s="53"/>
      <c r="K274" s="53"/>
    </row>
    <row r="275">
      <c r="A275" s="48" t="s">
        <v>1012</v>
      </c>
      <c r="B275" s="49" t="s">
        <v>1013</v>
      </c>
      <c r="C275" s="49" t="s">
        <v>203</v>
      </c>
      <c r="D275" s="49" t="s">
        <v>148</v>
      </c>
      <c r="E275" s="49" t="s">
        <v>204</v>
      </c>
      <c r="F275" s="50">
        <v>43262.0</v>
      </c>
      <c r="G275" s="50">
        <v>43266.0</v>
      </c>
      <c r="H275" s="51">
        <v>43252.70694444444</v>
      </c>
      <c r="I275" s="52">
        <v>0.0</v>
      </c>
      <c r="J275" s="53"/>
      <c r="K275" s="53"/>
    </row>
    <row r="276">
      <c r="A276" s="48" t="s">
        <v>1014</v>
      </c>
      <c r="B276" s="49" t="s">
        <v>1015</v>
      </c>
      <c r="C276" s="49" t="s">
        <v>203</v>
      </c>
      <c r="D276" s="49" t="s">
        <v>148</v>
      </c>
      <c r="E276" s="49" t="s">
        <v>204</v>
      </c>
      <c r="F276" s="50">
        <v>43262.0</v>
      </c>
      <c r="G276" s="50">
        <v>43266.0</v>
      </c>
      <c r="H276" s="51">
        <v>43259.665972222225</v>
      </c>
      <c r="I276" s="52">
        <v>0.0</v>
      </c>
      <c r="J276" s="53"/>
      <c r="K276" s="53"/>
    </row>
    <row r="277">
      <c r="A277" s="48" t="s">
        <v>1017</v>
      </c>
      <c r="B277" s="49" t="s">
        <v>1018</v>
      </c>
      <c r="C277" s="49" t="s">
        <v>243</v>
      </c>
      <c r="D277" s="49" t="s">
        <v>148</v>
      </c>
      <c r="E277" s="49" t="s">
        <v>245</v>
      </c>
      <c r="F277" s="50">
        <v>43262.0</v>
      </c>
      <c r="G277" s="50">
        <v>43270.0</v>
      </c>
      <c r="H277" s="51">
        <v>43262.58819444444</v>
      </c>
      <c r="I277" s="52">
        <v>1.0</v>
      </c>
      <c r="J277" s="53"/>
      <c r="K277" s="53"/>
    </row>
    <row r="278">
      <c r="A278" s="48" t="s">
        <v>1019</v>
      </c>
      <c r="B278" s="49" t="s">
        <v>1020</v>
      </c>
      <c r="C278" s="49" t="s">
        <v>243</v>
      </c>
      <c r="D278" s="49" t="s">
        <v>148</v>
      </c>
      <c r="E278" s="49" t="s">
        <v>245</v>
      </c>
      <c r="F278" s="50">
        <v>43262.0</v>
      </c>
      <c r="G278" s="50">
        <v>43270.0</v>
      </c>
      <c r="H278" s="51">
        <v>43262.59097222222</v>
      </c>
      <c r="I278" s="52">
        <v>1.0</v>
      </c>
      <c r="J278" s="53"/>
      <c r="K278" s="53"/>
    </row>
    <row r="279">
      <c r="A279" s="48" t="s">
        <v>1022</v>
      </c>
      <c r="B279" s="49" t="s">
        <v>1023</v>
      </c>
      <c r="C279" s="49" t="s">
        <v>257</v>
      </c>
      <c r="D279" s="49" t="s">
        <v>153</v>
      </c>
      <c r="E279" s="49" t="s">
        <v>245</v>
      </c>
      <c r="F279" s="50">
        <v>43262.0</v>
      </c>
      <c r="G279" s="50">
        <v>43262.0</v>
      </c>
      <c r="H279" s="51">
        <v>43262.450694444444</v>
      </c>
      <c r="I279" s="52">
        <v>1.0</v>
      </c>
      <c r="J279" s="53"/>
      <c r="K279" s="53"/>
    </row>
    <row r="280">
      <c r="A280" s="48" t="s">
        <v>1024</v>
      </c>
      <c r="B280" s="49" t="s">
        <v>1025</v>
      </c>
      <c r="C280" s="49" t="s">
        <v>221</v>
      </c>
      <c r="D280" s="49" t="s">
        <v>153</v>
      </c>
      <c r="E280" s="49" t="s">
        <v>245</v>
      </c>
      <c r="F280" s="50">
        <v>43262.0</v>
      </c>
      <c r="G280" s="50">
        <v>43262.0</v>
      </c>
      <c r="H280" s="51">
        <v>43262.450694444444</v>
      </c>
      <c r="I280" s="52">
        <v>1.0</v>
      </c>
      <c r="J280" s="53"/>
      <c r="K280" s="53"/>
    </row>
    <row r="281">
      <c r="A281" s="48" t="s">
        <v>1026</v>
      </c>
      <c r="B281" s="49" t="s">
        <v>1027</v>
      </c>
      <c r="C281" s="49" t="s">
        <v>257</v>
      </c>
      <c r="D281" s="49" t="s">
        <v>153</v>
      </c>
      <c r="E281" s="49" t="s">
        <v>245</v>
      </c>
      <c r="F281" s="50">
        <v>43262.0</v>
      </c>
      <c r="G281" s="50">
        <v>43262.0</v>
      </c>
      <c r="H281" s="51">
        <v>43262.50486111111</v>
      </c>
      <c r="I281" s="52">
        <v>1.0</v>
      </c>
      <c r="J281" s="53"/>
      <c r="K281" s="53"/>
    </row>
    <row r="282">
      <c r="A282" s="48" t="s">
        <v>1028</v>
      </c>
      <c r="B282" s="49" t="s">
        <v>1029</v>
      </c>
      <c r="C282" s="49" t="s">
        <v>221</v>
      </c>
      <c r="D282" s="49" t="s">
        <v>153</v>
      </c>
      <c r="E282" s="49" t="s">
        <v>245</v>
      </c>
      <c r="F282" s="50">
        <v>43262.0</v>
      </c>
      <c r="G282" s="50">
        <v>43262.0</v>
      </c>
      <c r="H282" s="51">
        <v>43262.50486111111</v>
      </c>
      <c r="I282" s="52">
        <v>1.0</v>
      </c>
      <c r="J282" s="53"/>
      <c r="K282" s="53"/>
    </row>
    <row r="283">
      <c r="A283" s="48" t="s">
        <v>1032</v>
      </c>
      <c r="B283" s="49" t="s">
        <v>1033</v>
      </c>
      <c r="C283" s="49" t="s">
        <v>257</v>
      </c>
      <c r="D283" s="49" t="s">
        <v>153</v>
      </c>
      <c r="E283" s="49" t="s">
        <v>245</v>
      </c>
      <c r="F283" s="50">
        <v>43262.0</v>
      </c>
      <c r="G283" s="50">
        <v>43262.0</v>
      </c>
      <c r="H283" s="51">
        <v>43262.60833333333</v>
      </c>
      <c r="I283" s="52">
        <v>1.0</v>
      </c>
      <c r="J283" s="53"/>
      <c r="K283" s="53"/>
    </row>
    <row r="284">
      <c r="A284" s="48" t="s">
        <v>1034</v>
      </c>
      <c r="B284" s="49" t="s">
        <v>1035</v>
      </c>
      <c r="C284" s="49" t="s">
        <v>203</v>
      </c>
      <c r="D284" s="49" t="s">
        <v>153</v>
      </c>
      <c r="E284" s="49" t="s">
        <v>245</v>
      </c>
      <c r="F284" s="50">
        <v>43262.0</v>
      </c>
      <c r="G284" s="50">
        <v>43262.0</v>
      </c>
      <c r="H284" s="51">
        <v>43262.74722222222</v>
      </c>
      <c r="I284" s="52">
        <v>1.0</v>
      </c>
      <c r="J284" s="53"/>
      <c r="K284" s="53"/>
    </row>
    <row r="285">
      <c r="A285" s="48" t="s">
        <v>1038</v>
      </c>
      <c r="B285" s="49" t="s">
        <v>1039</v>
      </c>
      <c r="C285" s="49" t="s">
        <v>257</v>
      </c>
      <c r="D285" s="49" t="s">
        <v>153</v>
      </c>
      <c r="E285" s="49" t="s">
        <v>245</v>
      </c>
      <c r="F285" s="50">
        <v>43262.0</v>
      </c>
      <c r="G285" s="50">
        <v>43262.0</v>
      </c>
      <c r="H285" s="51">
        <v>43266.68958333333</v>
      </c>
      <c r="I285" s="52">
        <v>1.0</v>
      </c>
      <c r="J285" s="53"/>
      <c r="K285" s="53"/>
    </row>
    <row r="286">
      <c r="A286" s="48" t="s">
        <v>1041</v>
      </c>
      <c r="B286" s="49" t="s">
        <v>1042</v>
      </c>
      <c r="C286" s="49" t="s">
        <v>203</v>
      </c>
      <c r="D286" s="49" t="s">
        <v>120</v>
      </c>
      <c r="E286" s="49" t="s">
        <v>245</v>
      </c>
      <c r="F286" s="50">
        <v>43262.0</v>
      </c>
      <c r="G286" s="50">
        <v>43262.0</v>
      </c>
      <c r="H286" s="51">
        <v>43264.64097222222</v>
      </c>
      <c r="I286" s="52">
        <v>1.0</v>
      </c>
      <c r="J286" s="53"/>
      <c r="K286" s="53"/>
    </row>
    <row r="287">
      <c r="A287" s="48" t="s">
        <v>1043</v>
      </c>
      <c r="B287" s="49" t="s">
        <v>1045</v>
      </c>
      <c r="C287" s="49" t="s">
        <v>203</v>
      </c>
      <c r="D287" s="49" t="s">
        <v>120</v>
      </c>
      <c r="E287" s="49" t="s">
        <v>245</v>
      </c>
      <c r="F287" s="50">
        <v>43262.0</v>
      </c>
      <c r="G287" s="50">
        <v>43262.0</v>
      </c>
      <c r="H287" s="51">
        <v>43264.64166666667</v>
      </c>
      <c r="I287" s="52">
        <v>1.0</v>
      </c>
      <c r="J287" s="53"/>
      <c r="K287" s="53"/>
    </row>
    <row r="288">
      <c r="A288" s="48" t="s">
        <v>1047</v>
      </c>
      <c r="B288" s="49" t="s">
        <v>1048</v>
      </c>
      <c r="C288" s="49" t="s">
        <v>1049</v>
      </c>
      <c r="D288" s="49" t="s">
        <v>140</v>
      </c>
      <c r="E288" s="49" t="s">
        <v>245</v>
      </c>
      <c r="F288" s="50">
        <v>43262.0</v>
      </c>
      <c r="G288" s="50">
        <v>43262.0</v>
      </c>
      <c r="H288" s="51">
        <v>43266.68472222222</v>
      </c>
      <c r="I288" s="52">
        <v>1.0</v>
      </c>
      <c r="J288" s="53"/>
      <c r="K288" s="53"/>
    </row>
    <row r="289">
      <c r="A289" s="48" t="s">
        <v>1050</v>
      </c>
      <c r="B289" s="49" t="s">
        <v>1051</v>
      </c>
      <c r="C289" s="49" t="s">
        <v>1010</v>
      </c>
      <c r="D289" s="49" t="s">
        <v>140</v>
      </c>
      <c r="E289" s="49" t="s">
        <v>245</v>
      </c>
      <c r="F289" s="50">
        <v>43262.0</v>
      </c>
      <c r="G289" s="50">
        <v>43262.0</v>
      </c>
      <c r="H289" s="51">
        <v>43266.68402777778</v>
      </c>
      <c r="I289" s="52">
        <v>1.0</v>
      </c>
      <c r="J289" s="53"/>
      <c r="K289" s="53"/>
    </row>
    <row r="290">
      <c r="A290" s="48" t="s">
        <v>1054</v>
      </c>
      <c r="B290" s="49" t="s">
        <v>1055</v>
      </c>
      <c r="C290" s="49" t="s">
        <v>203</v>
      </c>
      <c r="D290" s="49" t="s">
        <v>140</v>
      </c>
      <c r="E290" s="49" t="s">
        <v>245</v>
      </c>
      <c r="F290" s="50">
        <v>43262.0</v>
      </c>
      <c r="G290" s="50">
        <v>43262.0</v>
      </c>
      <c r="H290" s="51">
        <v>43266.68402777778</v>
      </c>
      <c r="I290" s="52">
        <v>1.0</v>
      </c>
      <c r="J290" s="53"/>
      <c r="K290" s="53"/>
    </row>
    <row r="291">
      <c r="A291" s="48" t="s">
        <v>1056</v>
      </c>
      <c r="B291" s="49" t="s">
        <v>1057</v>
      </c>
      <c r="C291" s="49" t="s">
        <v>257</v>
      </c>
      <c r="D291" s="49" t="s">
        <v>140</v>
      </c>
      <c r="E291" s="49" t="s">
        <v>245</v>
      </c>
      <c r="F291" s="50">
        <v>43262.0</v>
      </c>
      <c r="G291" s="50">
        <v>43262.0</v>
      </c>
      <c r="H291" s="51">
        <v>43262.63125</v>
      </c>
      <c r="I291" s="52">
        <v>1.0</v>
      </c>
      <c r="J291" s="53"/>
      <c r="K291" s="53"/>
    </row>
    <row r="292">
      <c r="A292" s="48" t="s">
        <v>1058</v>
      </c>
      <c r="B292" s="49" t="s">
        <v>1060</v>
      </c>
      <c r="C292" s="49" t="s">
        <v>243</v>
      </c>
      <c r="D292" s="49" t="s">
        <v>148</v>
      </c>
      <c r="E292" s="49" t="s">
        <v>245</v>
      </c>
      <c r="F292" s="50">
        <v>43259.0</v>
      </c>
      <c r="G292" s="50">
        <v>43259.0</v>
      </c>
      <c r="H292" s="51">
        <v>43259.501388888886</v>
      </c>
      <c r="I292" s="52">
        <v>1.0</v>
      </c>
      <c r="J292" s="53"/>
      <c r="K292" s="53"/>
    </row>
    <row r="293">
      <c r="A293" s="48" t="s">
        <v>1061</v>
      </c>
      <c r="B293" s="49" t="s">
        <v>1062</v>
      </c>
      <c r="C293" s="49" t="s">
        <v>243</v>
      </c>
      <c r="D293" s="49" t="s">
        <v>148</v>
      </c>
      <c r="E293" s="49" t="s">
        <v>245</v>
      </c>
      <c r="F293" s="50">
        <v>43259.0</v>
      </c>
      <c r="G293" s="50">
        <v>43263.0</v>
      </c>
      <c r="H293" s="51">
        <v>43259.75069444445</v>
      </c>
      <c r="I293" s="52">
        <v>1.0</v>
      </c>
      <c r="J293" s="53"/>
      <c r="K293" s="53"/>
    </row>
    <row r="294">
      <c r="A294" s="48" t="s">
        <v>1063</v>
      </c>
      <c r="B294" s="49" t="s">
        <v>1065</v>
      </c>
      <c r="C294" s="49" t="s">
        <v>203</v>
      </c>
      <c r="D294" s="49" t="s">
        <v>120</v>
      </c>
      <c r="E294" s="49" t="s">
        <v>245</v>
      </c>
      <c r="F294" s="50">
        <v>43259.0</v>
      </c>
      <c r="G294" s="50">
        <v>43259.0</v>
      </c>
      <c r="H294" s="51">
        <v>43259.75347222222</v>
      </c>
      <c r="I294" s="52">
        <v>1.0</v>
      </c>
      <c r="J294" s="53"/>
      <c r="K294" s="53"/>
    </row>
    <row r="295">
      <c r="A295" s="48" t="s">
        <v>1066</v>
      </c>
      <c r="B295" s="49" t="s">
        <v>1067</v>
      </c>
      <c r="C295" s="49" t="s">
        <v>243</v>
      </c>
      <c r="D295" s="49" t="s">
        <v>148</v>
      </c>
      <c r="E295" s="49" t="s">
        <v>245</v>
      </c>
      <c r="F295" s="50">
        <v>43259.0</v>
      </c>
      <c r="G295" s="50">
        <v>43267.0</v>
      </c>
      <c r="H295" s="51">
        <v>43259.575694444444</v>
      </c>
      <c r="I295" s="52">
        <v>1.0</v>
      </c>
      <c r="J295" s="53"/>
      <c r="K295" s="53"/>
    </row>
    <row r="296">
      <c r="A296" s="48" t="s">
        <v>1068</v>
      </c>
      <c r="B296" s="49" t="s">
        <v>1069</v>
      </c>
      <c r="C296" s="49" t="s">
        <v>257</v>
      </c>
      <c r="D296" s="49" t="s">
        <v>153</v>
      </c>
      <c r="E296" s="49" t="s">
        <v>245</v>
      </c>
      <c r="F296" s="50">
        <v>43259.0</v>
      </c>
      <c r="G296" s="50">
        <v>43259.0</v>
      </c>
      <c r="H296" s="51">
        <v>43264.60902777778</v>
      </c>
      <c r="I296" s="52">
        <v>1.0</v>
      </c>
      <c r="J296" s="53"/>
      <c r="K296" s="53"/>
    </row>
    <row r="297">
      <c r="A297" s="48" t="s">
        <v>1072</v>
      </c>
      <c r="B297" s="49" t="s">
        <v>1073</v>
      </c>
      <c r="C297" s="49" t="s">
        <v>243</v>
      </c>
      <c r="D297" s="49" t="s">
        <v>148</v>
      </c>
      <c r="E297" s="49" t="s">
        <v>245</v>
      </c>
      <c r="F297" s="50">
        <v>43258.0</v>
      </c>
      <c r="G297" s="50">
        <v>43258.0</v>
      </c>
      <c r="H297" s="51">
        <v>43258.80625</v>
      </c>
      <c r="I297" s="52">
        <v>1.0</v>
      </c>
      <c r="J297" s="53"/>
      <c r="K297" s="53"/>
    </row>
    <row r="298">
      <c r="A298" s="48" t="s">
        <v>1074</v>
      </c>
      <c r="B298" s="49" t="s">
        <v>1075</v>
      </c>
      <c r="C298" s="49" t="s">
        <v>243</v>
      </c>
      <c r="D298" s="49" t="s">
        <v>148</v>
      </c>
      <c r="E298" s="49" t="s">
        <v>245</v>
      </c>
      <c r="F298" s="50">
        <v>43258.0</v>
      </c>
      <c r="G298" s="50">
        <v>43258.0</v>
      </c>
      <c r="H298" s="51">
        <v>43258.81180555555</v>
      </c>
      <c r="I298" s="52">
        <v>1.0</v>
      </c>
      <c r="J298" s="53"/>
      <c r="K298" s="53"/>
    </row>
    <row r="299">
      <c r="A299" s="48" t="s">
        <v>1078</v>
      </c>
      <c r="B299" s="49" t="s">
        <v>1079</v>
      </c>
      <c r="C299" s="49" t="s">
        <v>203</v>
      </c>
      <c r="D299" s="49" t="s">
        <v>120</v>
      </c>
      <c r="E299" s="49" t="s">
        <v>245</v>
      </c>
      <c r="F299" s="50">
        <v>43258.0</v>
      </c>
      <c r="G299" s="50">
        <v>43258.0</v>
      </c>
      <c r="H299" s="51">
        <v>43259.75208333333</v>
      </c>
      <c r="I299" s="52">
        <v>1.0</v>
      </c>
      <c r="J299" s="53"/>
      <c r="K299" s="53"/>
    </row>
    <row r="300">
      <c r="A300" s="48" t="s">
        <v>1080</v>
      </c>
      <c r="B300" s="49" t="s">
        <v>1081</v>
      </c>
      <c r="C300" s="49" t="s">
        <v>243</v>
      </c>
      <c r="D300" s="49" t="s">
        <v>148</v>
      </c>
      <c r="E300" s="49" t="s">
        <v>245</v>
      </c>
      <c r="F300" s="50">
        <v>43257.0</v>
      </c>
      <c r="G300" s="50">
        <v>43261.0</v>
      </c>
      <c r="H300" s="51">
        <v>43257.69305555556</v>
      </c>
      <c r="I300" s="52">
        <v>1.0</v>
      </c>
      <c r="J300" s="53"/>
      <c r="K300" s="53"/>
    </row>
    <row r="301">
      <c r="A301" s="48" t="s">
        <v>1085</v>
      </c>
      <c r="B301" s="49" t="s">
        <v>1086</v>
      </c>
      <c r="C301" s="49" t="s">
        <v>203</v>
      </c>
      <c r="D301" s="49" t="s">
        <v>120</v>
      </c>
      <c r="E301" s="49" t="s">
        <v>245</v>
      </c>
      <c r="F301" s="50">
        <v>43257.0</v>
      </c>
      <c r="G301" s="50">
        <v>43257.0</v>
      </c>
      <c r="H301" s="51">
        <v>43259.75347222222</v>
      </c>
      <c r="I301" s="52">
        <v>1.0</v>
      </c>
      <c r="J301" s="53"/>
      <c r="K301" s="53"/>
    </row>
    <row r="302">
      <c r="A302" s="48" t="s">
        <v>1087</v>
      </c>
      <c r="B302" s="49" t="s">
        <v>1088</v>
      </c>
      <c r="C302" s="49" t="s">
        <v>379</v>
      </c>
      <c r="D302" s="49" t="s">
        <v>140</v>
      </c>
      <c r="E302" s="49" t="s">
        <v>245</v>
      </c>
      <c r="F302" s="50">
        <v>43257.0</v>
      </c>
      <c r="G302" s="50">
        <v>43257.0</v>
      </c>
      <c r="H302" s="51">
        <v>43266.70625</v>
      </c>
      <c r="I302" s="52">
        <v>1.0</v>
      </c>
      <c r="J302" s="53"/>
      <c r="K302" s="53"/>
    </row>
    <row r="303">
      <c r="A303" s="48" t="s">
        <v>1090</v>
      </c>
      <c r="B303" s="49" t="s">
        <v>1091</v>
      </c>
      <c r="C303" s="49" t="s">
        <v>243</v>
      </c>
      <c r="D303" s="49" t="s">
        <v>148</v>
      </c>
      <c r="E303" s="49" t="s">
        <v>245</v>
      </c>
      <c r="F303" s="50">
        <v>43256.0</v>
      </c>
      <c r="G303" s="50">
        <v>43260.0</v>
      </c>
      <c r="H303" s="51">
        <v>43256.461805555555</v>
      </c>
      <c r="I303" s="52">
        <v>1.0</v>
      </c>
      <c r="J303" s="53"/>
      <c r="K303" s="53"/>
    </row>
    <row r="304">
      <c r="A304" s="48" t="s">
        <v>1094</v>
      </c>
      <c r="B304" s="49" t="s">
        <v>1095</v>
      </c>
      <c r="C304" s="49" t="s">
        <v>257</v>
      </c>
      <c r="D304" s="49" t="s">
        <v>153</v>
      </c>
      <c r="E304" s="49" t="s">
        <v>245</v>
      </c>
      <c r="F304" s="50">
        <v>43256.0</v>
      </c>
      <c r="G304" s="50">
        <v>43256.0</v>
      </c>
      <c r="H304" s="51">
        <v>43256.623611111114</v>
      </c>
      <c r="I304" s="52">
        <v>1.0</v>
      </c>
      <c r="J304" s="53"/>
      <c r="K304" s="53"/>
    </row>
    <row r="305">
      <c r="A305" s="48" t="s">
        <v>1096</v>
      </c>
      <c r="B305" s="49" t="s">
        <v>1097</v>
      </c>
      <c r="C305" s="49" t="s">
        <v>221</v>
      </c>
      <c r="D305" s="49" t="s">
        <v>153</v>
      </c>
      <c r="E305" s="49" t="s">
        <v>245</v>
      </c>
      <c r="F305" s="50">
        <v>43256.0</v>
      </c>
      <c r="G305" s="50">
        <v>43256.0</v>
      </c>
      <c r="H305" s="51">
        <v>43264.611805555556</v>
      </c>
      <c r="I305" s="52">
        <v>1.0</v>
      </c>
      <c r="J305" s="53"/>
      <c r="K305" s="53"/>
    </row>
    <row r="306">
      <c r="A306" s="48" t="s">
        <v>1100</v>
      </c>
      <c r="B306" s="49" t="s">
        <v>1101</v>
      </c>
      <c r="C306" s="49" t="s">
        <v>257</v>
      </c>
      <c r="D306" s="49" t="s">
        <v>153</v>
      </c>
      <c r="E306" s="49" t="s">
        <v>245</v>
      </c>
      <c r="F306" s="50">
        <v>43256.0</v>
      </c>
      <c r="G306" s="50">
        <v>43256.0</v>
      </c>
      <c r="H306" s="51">
        <v>43256.62430555555</v>
      </c>
      <c r="I306" s="52">
        <v>1.0</v>
      </c>
      <c r="J306" s="53"/>
      <c r="K306" s="53"/>
    </row>
    <row r="307">
      <c r="A307" s="48" t="s">
        <v>1102</v>
      </c>
      <c r="B307" s="49" t="s">
        <v>1103</v>
      </c>
      <c r="C307" s="49" t="s">
        <v>221</v>
      </c>
      <c r="D307" s="49" t="s">
        <v>153</v>
      </c>
      <c r="E307" s="49" t="s">
        <v>245</v>
      </c>
      <c r="F307" s="50">
        <v>43256.0</v>
      </c>
      <c r="G307" s="50">
        <v>43256.0</v>
      </c>
      <c r="H307" s="51">
        <v>43256.625</v>
      </c>
      <c r="I307" s="52">
        <v>1.0</v>
      </c>
      <c r="J307" s="53"/>
      <c r="K307" s="53"/>
    </row>
    <row r="308">
      <c r="A308" s="48" t="s">
        <v>1104</v>
      </c>
      <c r="B308" s="49" t="s">
        <v>1106</v>
      </c>
      <c r="C308" s="49" t="s">
        <v>203</v>
      </c>
      <c r="D308" s="49" t="s">
        <v>148</v>
      </c>
      <c r="E308" s="49" t="s">
        <v>204</v>
      </c>
      <c r="F308" s="50">
        <v>43255.0</v>
      </c>
      <c r="G308" s="50">
        <v>43259.0</v>
      </c>
      <c r="H308" s="51">
        <v>43252.705555555556</v>
      </c>
      <c r="I308" s="52">
        <v>0.0</v>
      </c>
      <c r="J308" s="53"/>
      <c r="K308" s="53"/>
    </row>
    <row r="309">
      <c r="A309" s="48" t="s">
        <v>1107</v>
      </c>
      <c r="B309" s="49" t="s">
        <v>1108</v>
      </c>
      <c r="C309" s="49" t="s">
        <v>203</v>
      </c>
      <c r="D309" s="49" t="s">
        <v>148</v>
      </c>
      <c r="E309" s="49" t="s">
        <v>204</v>
      </c>
      <c r="F309" s="50">
        <v>43255.0</v>
      </c>
      <c r="G309" s="50">
        <v>43259.0</v>
      </c>
      <c r="H309" s="51">
        <v>43252.70694444444</v>
      </c>
      <c r="I309" s="52">
        <v>0.0</v>
      </c>
      <c r="J309" s="53"/>
      <c r="K309" s="53"/>
    </row>
    <row r="310">
      <c r="A310" s="48" t="s">
        <v>1109</v>
      </c>
      <c r="B310" s="49" t="s">
        <v>1110</v>
      </c>
      <c r="C310" s="49" t="s">
        <v>243</v>
      </c>
      <c r="D310" s="49" t="s">
        <v>148</v>
      </c>
      <c r="E310" s="49" t="s">
        <v>245</v>
      </c>
      <c r="F310" s="50">
        <v>43255.0</v>
      </c>
      <c r="G310" s="50">
        <v>43255.0</v>
      </c>
      <c r="H310" s="51">
        <v>43255.479166666664</v>
      </c>
      <c r="I310" s="52">
        <v>1.0</v>
      </c>
      <c r="J310" s="53"/>
      <c r="K310" s="53"/>
    </row>
    <row r="311">
      <c r="A311" s="48" t="s">
        <v>1112</v>
      </c>
      <c r="B311" s="49" t="s">
        <v>1113</v>
      </c>
      <c r="C311" s="49" t="s">
        <v>243</v>
      </c>
      <c r="D311" s="49" t="s">
        <v>148</v>
      </c>
      <c r="E311" s="49" t="s">
        <v>245</v>
      </c>
      <c r="F311" s="50">
        <v>43255.0</v>
      </c>
      <c r="G311" s="50">
        <v>43259.0</v>
      </c>
      <c r="H311" s="51">
        <v>43255.700694444444</v>
      </c>
      <c r="I311" s="52">
        <v>1.0</v>
      </c>
      <c r="J311" s="53"/>
      <c r="K311" s="53"/>
    </row>
    <row r="312">
      <c r="A312" s="48" t="s">
        <v>1114</v>
      </c>
      <c r="B312" s="49" t="s">
        <v>1115</v>
      </c>
      <c r="C312" s="49" t="s">
        <v>243</v>
      </c>
      <c r="D312" s="49" t="s">
        <v>148</v>
      </c>
      <c r="E312" s="49" t="s">
        <v>245</v>
      </c>
      <c r="F312" s="50">
        <v>43255.0</v>
      </c>
      <c r="G312" s="50">
        <v>43255.0</v>
      </c>
      <c r="H312" s="51">
        <v>43255.629166666666</v>
      </c>
      <c r="I312" s="52">
        <v>1.0</v>
      </c>
      <c r="J312" s="53"/>
      <c r="K312" s="53"/>
    </row>
    <row r="313">
      <c r="A313" s="48" t="s">
        <v>1117</v>
      </c>
      <c r="B313" s="49" t="s">
        <v>1118</v>
      </c>
      <c r="C313" s="49" t="s">
        <v>243</v>
      </c>
      <c r="D313" s="49" t="s">
        <v>148</v>
      </c>
      <c r="E313" s="49" t="s">
        <v>245</v>
      </c>
      <c r="F313" s="50">
        <v>43255.0</v>
      </c>
      <c r="G313" s="50">
        <v>43255.0</v>
      </c>
      <c r="H313" s="51">
        <v>43255.62847222222</v>
      </c>
      <c r="I313" s="52">
        <v>1.0</v>
      </c>
      <c r="J313" s="53"/>
      <c r="K313" s="53"/>
    </row>
    <row r="314">
      <c r="A314" s="48" t="s">
        <v>1121</v>
      </c>
      <c r="B314" s="49" t="s">
        <v>1122</v>
      </c>
      <c r="C314" s="49" t="s">
        <v>203</v>
      </c>
      <c r="D314" s="49" t="s">
        <v>120</v>
      </c>
      <c r="E314" s="49" t="s">
        <v>245</v>
      </c>
      <c r="F314" s="50">
        <v>43255.0</v>
      </c>
      <c r="G314" s="50">
        <v>43256.0</v>
      </c>
      <c r="H314" s="51">
        <v>43259.75</v>
      </c>
      <c r="I314" s="52">
        <v>1.0</v>
      </c>
      <c r="J314" s="53"/>
      <c r="K314" s="53"/>
    </row>
    <row r="315">
      <c r="A315" s="48" t="s">
        <v>1125</v>
      </c>
      <c r="B315" s="49" t="s">
        <v>1126</v>
      </c>
      <c r="C315" s="49" t="s">
        <v>203</v>
      </c>
      <c r="D315" s="49" t="s">
        <v>140</v>
      </c>
      <c r="E315" s="49" t="s">
        <v>245</v>
      </c>
      <c r="F315" s="50">
        <v>43255.0</v>
      </c>
      <c r="G315" s="50">
        <v>43262.0</v>
      </c>
      <c r="H315" s="51">
        <v>43266.70625</v>
      </c>
      <c r="I315" s="52">
        <v>1.0</v>
      </c>
      <c r="J315" s="53"/>
      <c r="K315" s="53"/>
    </row>
    <row r="316">
      <c r="A316" s="48" t="s">
        <v>1129</v>
      </c>
      <c r="B316" s="49" t="s">
        <v>1130</v>
      </c>
      <c r="C316" s="49" t="s">
        <v>203</v>
      </c>
      <c r="D316" s="49" t="s">
        <v>140</v>
      </c>
      <c r="E316" s="49" t="s">
        <v>245</v>
      </c>
      <c r="F316" s="50">
        <v>43255.0</v>
      </c>
      <c r="G316" s="50">
        <v>43257.0</v>
      </c>
      <c r="H316" s="51">
        <v>43266.70625</v>
      </c>
      <c r="I316" s="52">
        <v>1.0</v>
      </c>
      <c r="J316" s="53"/>
      <c r="K316" s="53"/>
    </row>
    <row r="317">
      <c r="A317" s="48" t="s">
        <v>1132</v>
      </c>
      <c r="B317" s="49" t="s">
        <v>1133</v>
      </c>
      <c r="C317" s="49" t="s">
        <v>203</v>
      </c>
      <c r="D317" s="49" t="s">
        <v>148</v>
      </c>
      <c r="E317" s="49" t="s">
        <v>277</v>
      </c>
      <c r="F317" s="50">
        <v>43252.0</v>
      </c>
      <c r="G317" s="50">
        <v>43252.0</v>
      </c>
      <c r="H317" s="51">
        <v>43252.70416666667</v>
      </c>
      <c r="I317" s="52">
        <v>0.0</v>
      </c>
      <c r="J317" s="53"/>
      <c r="K317" s="53"/>
    </row>
    <row r="318">
      <c r="A318" s="48" t="s">
        <v>1135</v>
      </c>
      <c r="B318" s="49" t="s">
        <v>1136</v>
      </c>
      <c r="C318" s="49" t="s">
        <v>221</v>
      </c>
      <c r="D318" s="49" t="s">
        <v>153</v>
      </c>
      <c r="E318" s="49" t="s">
        <v>245</v>
      </c>
      <c r="F318" s="50">
        <v>43252.0</v>
      </c>
      <c r="G318" s="50">
        <v>43252.0</v>
      </c>
      <c r="H318" s="51">
        <v>43252.58888888889</v>
      </c>
      <c r="I318" s="52">
        <v>1.0</v>
      </c>
      <c r="J318" s="53"/>
      <c r="K318" s="53"/>
    </row>
    <row r="319">
      <c r="A319" s="48" t="s">
        <v>1137</v>
      </c>
      <c r="B319" s="49" t="s">
        <v>1138</v>
      </c>
      <c r="C319" s="49" t="s">
        <v>257</v>
      </c>
      <c r="D319" s="49" t="s">
        <v>153</v>
      </c>
      <c r="E319" s="49" t="s">
        <v>245</v>
      </c>
      <c r="F319" s="50">
        <v>43252.0</v>
      </c>
      <c r="G319" s="50">
        <v>43252.0</v>
      </c>
      <c r="H319" s="51">
        <v>43252.58888888889</v>
      </c>
      <c r="I319" s="52">
        <v>1.0</v>
      </c>
      <c r="J319" s="53"/>
      <c r="K319" s="53"/>
    </row>
    <row r="320">
      <c r="A320" s="48" t="s">
        <v>1139</v>
      </c>
      <c r="B320" s="49" t="s">
        <v>1140</v>
      </c>
      <c r="C320" s="49" t="s">
        <v>203</v>
      </c>
      <c r="D320" s="49" t="s">
        <v>148</v>
      </c>
      <c r="E320" s="49" t="s">
        <v>204</v>
      </c>
      <c r="F320" s="50">
        <v>43251.0</v>
      </c>
      <c r="G320" s="50">
        <v>43259.0</v>
      </c>
      <c r="H320" s="51">
        <v>43252.70625</v>
      </c>
      <c r="I320" s="52">
        <v>0.0</v>
      </c>
      <c r="J320" s="53"/>
      <c r="K320" s="53"/>
    </row>
    <row r="321">
      <c r="A321" s="48" t="s">
        <v>1142</v>
      </c>
      <c r="B321" s="49" t="s">
        <v>1143</v>
      </c>
      <c r="C321" s="49" t="s">
        <v>221</v>
      </c>
      <c r="D321" s="49" t="s">
        <v>153</v>
      </c>
      <c r="E321" s="49" t="s">
        <v>245</v>
      </c>
      <c r="F321" s="50">
        <v>43251.0</v>
      </c>
      <c r="G321" s="50">
        <v>43251.0</v>
      </c>
      <c r="H321" s="51">
        <v>43252.58819444444</v>
      </c>
      <c r="I321" s="52">
        <v>1.0</v>
      </c>
      <c r="J321" s="53"/>
      <c r="K321" s="53"/>
    </row>
    <row r="322">
      <c r="A322" s="48" t="s">
        <v>1144</v>
      </c>
      <c r="B322" s="49" t="s">
        <v>1145</v>
      </c>
      <c r="C322" s="49" t="s">
        <v>257</v>
      </c>
      <c r="D322" s="49" t="s">
        <v>153</v>
      </c>
      <c r="E322" s="49" t="s">
        <v>245</v>
      </c>
      <c r="F322" s="50">
        <v>43251.0</v>
      </c>
      <c r="G322" s="50">
        <v>43251.0</v>
      </c>
      <c r="H322" s="51">
        <v>43252.58819444444</v>
      </c>
      <c r="I322" s="52">
        <v>1.0</v>
      </c>
      <c r="J322" s="53"/>
      <c r="K322" s="53"/>
    </row>
    <row r="323">
      <c r="A323" s="48" t="s">
        <v>1147</v>
      </c>
      <c r="B323" s="49" t="s">
        <v>1148</v>
      </c>
      <c r="C323" s="49" t="s">
        <v>203</v>
      </c>
      <c r="D323" s="49" t="s">
        <v>148</v>
      </c>
      <c r="E323" s="49" t="s">
        <v>204</v>
      </c>
      <c r="F323" s="50">
        <v>43250.0</v>
      </c>
      <c r="G323" s="50">
        <v>43259.0</v>
      </c>
      <c r="H323" s="51">
        <v>43252.70486111111</v>
      </c>
      <c r="I323" s="52">
        <v>0.0</v>
      </c>
      <c r="J323" s="53"/>
      <c r="K323" s="53"/>
    </row>
    <row r="324">
      <c r="A324" s="48" t="s">
        <v>1149</v>
      </c>
      <c r="B324" s="49" t="s">
        <v>1150</v>
      </c>
      <c r="C324" s="49" t="s">
        <v>243</v>
      </c>
      <c r="D324" s="49" t="s">
        <v>148</v>
      </c>
      <c r="E324" s="49" t="s">
        <v>245</v>
      </c>
      <c r="F324" s="50">
        <v>43250.0</v>
      </c>
      <c r="G324" s="50">
        <v>43259.0</v>
      </c>
      <c r="H324" s="51">
        <v>43250.49236111111</v>
      </c>
      <c r="I324" s="52">
        <v>1.0</v>
      </c>
      <c r="J324" s="53"/>
      <c r="K324" s="53"/>
    </row>
    <row r="325">
      <c r="A325" s="48" t="s">
        <v>1151</v>
      </c>
      <c r="B325" s="49" t="s">
        <v>1152</v>
      </c>
      <c r="C325" s="49" t="s">
        <v>243</v>
      </c>
      <c r="D325" s="49" t="s">
        <v>148</v>
      </c>
      <c r="E325" s="49" t="s">
        <v>245</v>
      </c>
      <c r="F325" s="50">
        <v>43250.0</v>
      </c>
      <c r="G325" s="50">
        <v>43250.0</v>
      </c>
      <c r="H325" s="51">
        <v>43250.50208333333</v>
      </c>
      <c r="I325" s="52">
        <v>1.0</v>
      </c>
      <c r="J325" s="53"/>
      <c r="K325" s="53"/>
    </row>
    <row r="326">
      <c r="A326" s="48" t="s">
        <v>1154</v>
      </c>
      <c r="B326" s="49" t="s">
        <v>1155</v>
      </c>
      <c r="C326" s="49" t="s">
        <v>221</v>
      </c>
      <c r="D326" s="49" t="s">
        <v>153</v>
      </c>
      <c r="E326" s="49" t="s">
        <v>245</v>
      </c>
      <c r="F326" s="50">
        <v>43250.0</v>
      </c>
      <c r="G326" s="50">
        <v>43250.0</v>
      </c>
      <c r="H326" s="51">
        <v>43252.5875</v>
      </c>
      <c r="I326" s="52">
        <v>1.0</v>
      </c>
      <c r="J326" s="53"/>
      <c r="K326" s="53"/>
    </row>
    <row r="327">
      <c r="A327" s="48" t="s">
        <v>1157</v>
      </c>
      <c r="B327" s="49" t="s">
        <v>1158</v>
      </c>
      <c r="C327" s="49" t="s">
        <v>257</v>
      </c>
      <c r="D327" s="49" t="s">
        <v>153</v>
      </c>
      <c r="E327" s="49" t="s">
        <v>245</v>
      </c>
      <c r="F327" s="50">
        <v>43250.0</v>
      </c>
      <c r="G327" s="50">
        <v>43250.0</v>
      </c>
      <c r="H327" s="51">
        <v>43252.5875</v>
      </c>
      <c r="I327" s="52">
        <v>1.0</v>
      </c>
      <c r="J327" s="53"/>
      <c r="K327" s="53"/>
    </row>
    <row r="328">
      <c r="A328" s="48" t="s">
        <v>1159</v>
      </c>
      <c r="B328" s="49" t="s">
        <v>1160</v>
      </c>
      <c r="C328" s="49" t="s">
        <v>203</v>
      </c>
      <c r="D328" s="49" t="s">
        <v>120</v>
      </c>
      <c r="E328" s="49" t="s">
        <v>245</v>
      </c>
      <c r="F328" s="50">
        <v>43250.0</v>
      </c>
      <c r="G328" s="50">
        <v>43252.0</v>
      </c>
      <c r="H328" s="51">
        <v>43252.69027777778</v>
      </c>
      <c r="I328" s="52">
        <v>1.0</v>
      </c>
      <c r="J328" s="53"/>
      <c r="K328" s="53"/>
    </row>
    <row r="329">
      <c r="A329" s="48" t="s">
        <v>1161</v>
      </c>
      <c r="B329" s="49" t="s">
        <v>1162</v>
      </c>
      <c r="C329" s="49" t="s">
        <v>243</v>
      </c>
      <c r="D329" s="49" t="s">
        <v>148</v>
      </c>
      <c r="E329" s="49" t="s">
        <v>245</v>
      </c>
      <c r="F329" s="50">
        <v>43249.0</v>
      </c>
      <c r="G329" s="50">
        <v>43256.0</v>
      </c>
      <c r="H329" s="51">
        <v>43249.73333333333</v>
      </c>
      <c r="I329" s="52">
        <v>1.0</v>
      </c>
      <c r="J329" s="53"/>
      <c r="K329" s="53"/>
    </row>
    <row r="330">
      <c r="A330" s="48" t="s">
        <v>1164</v>
      </c>
      <c r="B330" s="49" t="s">
        <v>1165</v>
      </c>
      <c r="C330" s="49" t="s">
        <v>257</v>
      </c>
      <c r="D330" s="49" t="s">
        <v>153</v>
      </c>
      <c r="E330" s="49" t="s">
        <v>245</v>
      </c>
      <c r="F330" s="50">
        <v>43249.0</v>
      </c>
      <c r="G330" s="50">
        <v>43249.0</v>
      </c>
      <c r="H330" s="51">
        <v>43252.58472222222</v>
      </c>
      <c r="I330" s="52">
        <v>1.0</v>
      </c>
      <c r="J330" s="53"/>
      <c r="K330" s="53"/>
    </row>
    <row r="331">
      <c r="A331" s="48" t="s">
        <v>1166</v>
      </c>
      <c r="B331" s="49" t="s">
        <v>1167</v>
      </c>
      <c r="C331" s="49" t="s">
        <v>257</v>
      </c>
      <c r="D331" s="49" t="s">
        <v>153</v>
      </c>
      <c r="E331" s="49" t="s">
        <v>245</v>
      </c>
      <c r="F331" s="50">
        <v>43249.0</v>
      </c>
      <c r="G331" s="50">
        <v>43249.0</v>
      </c>
      <c r="H331" s="51">
        <v>43252.58541666667</v>
      </c>
      <c r="I331" s="52">
        <v>1.0</v>
      </c>
      <c r="J331" s="53"/>
      <c r="K331" s="53"/>
    </row>
    <row r="332">
      <c r="A332" s="48" t="s">
        <v>1171</v>
      </c>
      <c r="B332" s="49" t="s">
        <v>1172</v>
      </c>
      <c r="C332" s="49" t="s">
        <v>221</v>
      </c>
      <c r="D332" s="49" t="s">
        <v>153</v>
      </c>
      <c r="E332" s="49" t="s">
        <v>245</v>
      </c>
      <c r="F332" s="50">
        <v>43249.0</v>
      </c>
      <c r="G332" s="50">
        <v>43249.0</v>
      </c>
      <c r="H332" s="51">
        <v>43252.58541666667</v>
      </c>
      <c r="I332" s="52">
        <v>1.0</v>
      </c>
      <c r="J332" s="53"/>
      <c r="K332" s="53"/>
    </row>
    <row r="333">
      <c r="A333" s="48" t="s">
        <v>1173</v>
      </c>
      <c r="B333" s="49" t="s">
        <v>1174</v>
      </c>
      <c r="C333" s="49" t="s">
        <v>221</v>
      </c>
      <c r="D333" s="49" t="s">
        <v>153</v>
      </c>
      <c r="E333" s="49" t="s">
        <v>245</v>
      </c>
      <c r="F333" s="50">
        <v>43249.0</v>
      </c>
      <c r="G333" s="50">
        <v>43249.0</v>
      </c>
      <c r="H333" s="51">
        <v>43252.58541666667</v>
      </c>
      <c r="I333" s="52">
        <v>1.0</v>
      </c>
      <c r="J333" s="53"/>
      <c r="K333" s="53"/>
    </row>
    <row r="334">
      <c r="A334" s="48" t="s">
        <v>1176</v>
      </c>
      <c r="B334" s="49" t="s">
        <v>1177</v>
      </c>
      <c r="C334" s="49" t="s">
        <v>221</v>
      </c>
      <c r="D334" s="49" t="s">
        <v>153</v>
      </c>
      <c r="E334" s="49" t="s">
        <v>245</v>
      </c>
      <c r="F334" s="50">
        <v>43249.0</v>
      </c>
      <c r="G334" s="50">
        <v>43249.0</v>
      </c>
      <c r="H334" s="51">
        <v>43252.58611111111</v>
      </c>
      <c r="I334" s="52">
        <v>1.0</v>
      </c>
      <c r="J334" s="53"/>
      <c r="K334" s="53"/>
    </row>
    <row r="335">
      <c r="A335" s="48" t="s">
        <v>1178</v>
      </c>
      <c r="B335" s="49" t="s">
        <v>1179</v>
      </c>
      <c r="C335" s="49" t="s">
        <v>257</v>
      </c>
      <c r="D335" s="49" t="s">
        <v>153</v>
      </c>
      <c r="E335" s="49" t="s">
        <v>245</v>
      </c>
      <c r="F335" s="50">
        <v>43249.0</v>
      </c>
      <c r="G335" s="50">
        <v>43249.0</v>
      </c>
      <c r="H335" s="51">
        <v>43252.58611111111</v>
      </c>
      <c r="I335" s="52">
        <v>1.0</v>
      </c>
      <c r="J335" s="53"/>
      <c r="K335" s="53"/>
    </row>
    <row r="336">
      <c r="A336" s="48" t="s">
        <v>1181</v>
      </c>
      <c r="B336" s="49" t="s">
        <v>1101</v>
      </c>
      <c r="C336" s="49" t="s">
        <v>257</v>
      </c>
      <c r="D336" s="49" t="s">
        <v>153</v>
      </c>
      <c r="E336" s="49" t="s">
        <v>245</v>
      </c>
      <c r="F336" s="50">
        <v>43249.0</v>
      </c>
      <c r="G336" s="50">
        <v>43249.0</v>
      </c>
      <c r="H336" s="51">
        <v>43252.58611111111</v>
      </c>
      <c r="I336" s="52">
        <v>1.0</v>
      </c>
      <c r="J336" s="53"/>
      <c r="K336" s="53"/>
    </row>
    <row r="337">
      <c r="A337" s="48" t="s">
        <v>1183</v>
      </c>
      <c r="B337" s="49" t="s">
        <v>1103</v>
      </c>
      <c r="C337" s="49" t="s">
        <v>221</v>
      </c>
      <c r="D337" s="49" t="s">
        <v>153</v>
      </c>
      <c r="E337" s="49" t="s">
        <v>245</v>
      </c>
      <c r="F337" s="50">
        <v>43249.0</v>
      </c>
      <c r="G337" s="50">
        <v>43249.0</v>
      </c>
      <c r="H337" s="51">
        <v>43252.586805555555</v>
      </c>
      <c r="I337" s="52">
        <v>1.0</v>
      </c>
      <c r="J337" s="53"/>
      <c r="K337" s="53"/>
    </row>
    <row r="338">
      <c r="A338" s="48" t="s">
        <v>1184</v>
      </c>
      <c r="B338" s="49" t="s">
        <v>1185</v>
      </c>
      <c r="C338" s="49" t="s">
        <v>203</v>
      </c>
      <c r="D338" s="49" t="s">
        <v>120</v>
      </c>
      <c r="E338" s="49" t="s">
        <v>245</v>
      </c>
      <c r="F338" s="50">
        <v>43249.0</v>
      </c>
      <c r="G338" s="50">
        <v>43250.0</v>
      </c>
      <c r="H338" s="51">
        <v>43252.688888888886</v>
      </c>
      <c r="I338" s="52">
        <v>1.0</v>
      </c>
      <c r="J338" s="53"/>
      <c r="K338" s="53"/>
    </row>
    <row r="339">
      <c r="A339" s="48" t="s">
        <v>1187</v>
      </c>
      <c r="B339" s="49" t="s">
        <v>1188</v>
      </c>
      <c r="C339" s="49" t="s">
        <v>243</v>
      </c>
      <c r="D339" s="49" t="s">
        <v>148</v>
      </c>
      <c r="E339" s="49" t="s">
        <v>277</v>
      </c>
      <c r="F339" s="50">
        <v>43248.0</v>
      </c>
      <c r="G339" s="50">
        <v>43250.0</v>
      </c>
      <c r="H339" s="51">
        <v>43248.74097222222</v>
      </c>
      <c r="I339" s="52">
        <v>0.0</v>
      </c>
      <c r="J339" s="53"/>
      <c r="K339" s="53"/>
    </row>
    <row r="340">
      <c r="A340" s="48" t="s">
        <v>1189</v>
      </c>
      <c r="B340" s="49" t="s">
        <v>1190</v>
      </c>
      <c r="C340" s="49" t="s">
        <v>203</v>
      </c>
      <c r="D340" s="49" t="s">
        <v>148</v>
      </c>
      <c r="E340" s="49" t="s">
        <v>277</v>
      </c>
      <c r="F340" s="50">
        <v>43248.0</v>
      </c>
      <c r="G340" s="50">
        <v>43252.0</v>
      </c>
      <c r="H340" s="51">
        <v>43252.70347222222</v>
      </c>
      <c r="I340" s="52">
        <v>0.0</v>
      </c>
      <c r="J340" s="53"/>
      <c r="K340" s="53"/>
    </row>
    <row r="341">
      <c r="A341" s="48" t="s">
        <v>1193</v>
      </c>
      <c r="B341" s="49" t="s">
        <v>1194</v>
      </c>
      <c r="C341" s="49" t="s">
        <v>379</v>
      </c>
      <c r="D341" s="49" t="s">
        <v>148</v>
      </c>
      <c r="E341" s="49" t="s">
        <v>245</v>
      </c>
      <c r="F341" s="50">
        <v>43248.0</v>
      </c>
      <c r="G341" s="50">
        <v>43252.0</v>
      </c>
      <c r="H341" s="51">
        <v>43252.70347222222</v>
      </c>
      <c r="I341" s="52">
        <v>1.0</v>
      </c>
      <c r="J341" s="53"/>
      <c r="K341" s="53"/>
    </row>
    <row r="342">
      <c r="A342" s="48" t="s">
        <v>1197</v>
      </c>
      <c r="B342" s="49" t="s">
        <v>1198</v>
      </c>
      <c r="C342" s="49" t="s">
        <v>257</v>
      </c>
      <c r="D342" s="49" t="s">
        <v>153</v>
      </c>
      <c r="E342" s="49" t="s">
        <v>245</v>
      </c>
      <c r="F342" s="50">
        <v>43248.0</v>
      </c>
      <c r="G342" s="50">
        <v>43248.0</v>
      </c>
      <c r="H342" s="51">
        <v>43252.57847222222</v>
      </c>
      <c r="I342" s="52">
        <v>1.0</v>
      </c>
      <c r="J342" s="53"/>
      <c r="K342" s="53"/>
    </row>
    <row r="343">
      <c r="A343" s="48" t="s">
        <v>1199</v>
      </c>
      <c r="B343" s="49" t="s">
        <v>1200</v>
      </c>
      <c r="C343" s="49" t="s">
        <v>221</v>
      </c>
      <c r="D343" s="49" t="s">
        <v>153</v>
      </c>
      <c r="E343" s="49" t="s">
        <v>245</v>
      </c>
      <c r="F343" s="50">
        <v>43248.0</v>
      </c>
      <c r="G343" s="50">
        <v>43248.0</v>
      </c>
      <c r="H343" s="51">
        <v>43252.57916666667</v>
      </c>
      <c r="I343" s="52">
        <v>1.0</v>
      </c>
      <c r="J343" s="53"/>
      <c r="K343" s="53"/>
    </row>
    <row r="344">
      <c r="A344" s="48" t="s">
        <v>1201</v>
      </c>
      <c r="B344" s="49" t="s">
        <v>1202</v>
      </c>
      <c r="C344" s="49" t="s">
        <v>203</v>
      </c>
      <c r="D344" s="49" t="s">
        <v>120</v>
      </c>
      <c r="E344" s="49" t="s">
        <v>245</v>
      </c>
      <c r="F344" s="50">
        <v>43248.0</v>
      </c>
      <c r="G344" s="50">
        <v>43249.0</v>
      </c>
      <c r="H344" s="51">
        <v>43252.6875</v>
      </c>
      <c r="I344" s="52">
        <v>1.0</v>
      </c>
      <c r="J344" s="53"/>
      <c r="K344" s="53"/>
    </row>
    <row r="345">
      <c r="A345" s="48" t="s">
        <v>1204</v>
      </c>
      <c r="B345" s="49" t="s">
        <v>1205</v>
      </c>
      <c r="C345" s="49" t="s">
        <v>203</v>
      </c>
      <c r="D345" s="49" t="s">
        <v>120</v>
      </c>
      <c r="E345" s="49" t="s">
        <v>245</v>
      </c>
      <c r="F345" s="50">
        <v>43245.0</v>
      </c>
      <c r="G345" s="50">
        <v>43245.0</v>
      </c>
      <c r="H345" s="51">
        <v>43252.688888888886</v>
      </c>
      <c r="I345" s="52">
        <v>1.0</v>
      </c>
      <c r="J345" s="53"/>
      <c r="K345" s="53"/>
    </row>
    <row r="346">
      <c r="A346" s="48" t="s">
        <v>1207</v>
      </c>
      <c r="B346" s="49" t="s">
        <v>1208</v>
      </c>
      <c r="C346" s="49" t="s">
        <v>203</v>
      </c>
      <c r="D346" s="49" t="s">
        <v>120</v>
      </c>
      <c r="E346" s="49" t="s">
        <v>245</v>
      </c>
      <c r="F346" s="50">
        <v>43245.0</v>
      </c>
      <c r="G346" s="50">
        <v>43245.0</v>
      </c>
      <c r="H346" s="51">
        <v>43252.688888888886</v>
      </c>
      <c r="I346" s="52">
        <v>1.0</v>
      </c>
      <c r="J346" s="53"/>
      <c r="K346" s="53"/>
    </row>
    <row r="347">
      <c r="A347" s="48" t="s">
        <v>1209</v>
      </c>
      <c r="B347" s="49" t="s">
        <v>1210</v>
      </c>
      <c r="C347" s="49" t="s">
        <v>203</v>
      </c>
      <c r="D347" s="49" t="s">
        <v>120</v>
      </c>
      <c r="E347" s="49" t="s">
        <v>245</v>
      </c>
      <c r="F347" s="50">
        <v>43245.0</v>
      </c>
      <c r="G347" s="50">
        <v>43245.0</v>
      </c>
      <c r="H347" s="51">
        <v>43252.688888888886</v>
      </c>
      <c r="I347" s="52">
        <v>1.0</v>
      </c>
      <c r="J347" s="53"/>
      <c r="K347" s="53"/>
    </row>
    <row r="348">
      <c r="A348" s="48" t="s">
        <v>1211</v>
      </c>
      <c r="B348" s="49" t="s">
        <v>1213</v>
      </c>
      <c r="C348" s="49" t="s">
        <v>243</v>
      </c>
      <c r="D348" s="49" t="s">
        <v>148</v>
      </c>
      <c r="E348" s="49" t="s">
        <v>245</v>
      </c>
      <c r="F348" s="50">
        <v>43245.0</v>
      </c>
      <c r="G348" s="50">
        <v>43254.0</v>
      </c>
      <c r="H348" s="51">
        <v>43245.62777777778</v>
      </c>
      <c r="I348" s="52">
        <v>1.0</v>
      </c>
      <c r="J348" s="53"/>
      <c r="K348" s="53"/>
    </row>
    <row r="349">
      <c r="A349" s="48" t="s">
        <v>1214</v>
      </c>
      <c r="B349" s="49" t="s">
        <v>1215</v>
      </c>
      <c r="C349" s="49" t="s">
        <v>243</v>
      </c>
      <c r="D349" s="49" t="s">
        <v>148</v>
      </c>
      <c r="E349" s="49" t="s">
        <v>245</v>
      </c>
      <c r="F349" s="50">
        <v>43243.0</v>
      </c>
      <c r="G349" s="50">
        <v>43243.0</v>
      </c>
      <c r="H349" s="51">
        <v>43243.62986111111</v>
      </c>
      <c r="I349" s="52">
        <v>1.0</v>
      </c>
      <c r="J349" s="53"/>
      <c r="K349" s="53"/>
    </row>
    <row r="350">
      <c r="A350" s="48" t="s">
        <v>1217</v>
      </c>
      <c r="B350" s="49" t="s">
        <v>1218</v>
      </c>
      <c r="C350" s="49" t="s">
        <v>243</v>
      </c>
      <c r="D350" s="49" t="s">
        <v>148</v>
      </c>
      <c r="E350" s="49" t="s">
        <v>245</v>
      </c>
      <c r="F350" s="50">
        <v>43243.0</v>
      </c>
      <c r="G350" s="50">
        <v>43252.0</v>
      </c>
      <c r="H350" s="51">
        <v>43244.43402777778</v>
      </c>
      <c r="I350" s="52">
        <v>1.0</v>
      </c>
      <c r="J350" s="53"/>
      <c r="K350" s="53"/>
    </row>
    <row r="351">
      <c r="A351" s="48" t="s">
        <v>1219</v>
      </c>
      <c r="B351" s="49" t="s">
        <v>1220</v>
      </c>
      <c r="C351" s="49" t="s">
        <v>203</v>
      </c>
      <c r="D351" s="49" t="s">
        <v>120</v>
      </c>
      <c r="E351" s="49" t="s">
        <v>245</v>
      </c>
      <c r="F351" s="50">
        <v>43243.0</v>
      </c>
      <c r="G351" s="50">
        <v>43243.0</v>
      </c>
      <c r="H351" s="51">
        <v>43245.6875</v>
      </c>
      <c r="I351" s="52">
        <v>1.0</v>
      </c>
      <c r="J351" s="53"/>
      <c r="K351" s="53"/>
    </row>
    <row r="352">
      <c r="A352" s="48" t="s">
        <v>1222</v>
      </c>
      <c r="B352" s="49" t="s">
        <v>1223</v>
      </c>
      <c r="C352" s="49" t="s">
        <v>243</v>
      </c>
      <c r="D352" s="49" t="s">
        <v>120</v>
      </c>
      <c r="E352" s="49" t="s">
        <v>245</v>
      </c>
      <c r="F352" s="50">
        <v>43242.0</v>
      </c>
      <c r="G352" s="50">
        <v>43260.0</v>
      </c>
      <c r="H352" s="51">
        <v>43300.59652777778</v>
      </c>
      <c r="I352" s="52">
        <v>1.0</v>
      </c>
      <c r="J352" s="53"/>
      <c r="K352" s="53"/>
    </row>
    <row r="353">
      <c r="A353" s="48" t="s">
        <v>1224</v>
      </c>
      <c r="B353" s="49" t="s">
        <v>1225</v>
      </c>
      <c r="C353" s="49" t="s">
        <v>243</v>
      </c>
      <c r="D353" s="49" t="s">
        <v>148</v>
      </c>
      <c r="E353" s="49" t="s">
        <v>245</v>
      </c>
      <c r="F353" s="50">
        <v>43242.0</v>
      </c>
      <c r="G353" s="50">
        <v>43245.0</v>
      </c>
      <c r="H353" s="51">
        <v>43245.839583333334</v>
      </c>
      <c r="I353" s="52">
        <v>1.0</v>
      </c>
      <c r="J353" s="53"/>
      <c r="K353" s="53"/>
    </row>
    <row r="354">
      <c r="A354" s="48" t="s">
        <v>1227</v>
      </c>
      <c r="B354" s="49" t="s">
        <v>1228</v>
      </c>
      <c r="C354" s="49" t="s">
        <v>379</v>
      </c>
      <c r="D354" s="49" t="s">
        <v>120</v>
      </c>
      <c r="E354" s="49" t="s">
        <v>204</v>
      </c>
      <c r="F354" s="50">
        <v>43241.0</v>
      </c>
      <c r="G354" s="50">
        <v>43245.0</v>
      </c>
      <c r="H354" s="51">
        <v>43238.72430555556</v>
      </c>
      <c r="I354" s="52">
        <v>0.0</v>
      </c>
      <c r="J354" s="53"/>
      <c r="K354" s="53"/>
    </row>
    <row r="355">
      <c r="A355" s="48" t="s">
        <v>1229</v>
      </c>
      <c r="B355" s="49" t="s">
        <v>1230</v>
      </c>
      <c r="C355" s="49" t="s">
        <v>379</v>
      </c>
      <c r="D355" s="49" t="s">
        <v>153</v>
      </c>
      <c r="E355" s="49" t="s">
        <v>204</v>
      </c>
      <c r="F355" s="50">
        <v>43241.0</v>
      </c>
      <c r="G355" s="50">
        <v>43245.0</v>
      </c>
      <c r="H355" s="51">
        <v>43238.72430555556</v>
      </c>
      <c r="I355" s="52">
        <v>0.0</v>
      </c>
      <c r="J355" s="53"/>
      <c r="K355" s="53"/>
    </row>
    <row r="356">
      <c r="A356" s="48" t="s">
        <v>1231</v>
      </c>
      <c r="B356" s="49" t="s">
        <v>1232</v>
      </c>
      <c r="C356" s="49" t="s">
        <v>379</v>
      </c>
      <c r="D356" s="49" t="s">
        <v>153</v>
      </c>
      <c r="E356" s="49" t="s">
        <v>245</v>
      </c>
      <c r="F356" s="50">
        <v>43241.0</v>
      </c>
      <c r="G356" s="50">
        <v>43245.0</v>
      </c>
      <c r="H356" s="51">
        <v>43264.611805555556</v>
      </c>
      <c r="I356" s="52">
        <v>1.0</v>
      </c>
      <c r="J356" s="53"/>
      <c r="K356" s="53"/>
    </row>
    <row r="357">
      <c r="A357" s="48" t="s">
        <v>1234</v>
      </c>
      <c r="B357" s="49" t="s">
        <v>1236</v>
      </c>
      <c r="C357" s="49" t="s">
        <v>243</v>
      </c>
      <c r="D357" s="49" t="s">
        <v>148</v>
      </c>
      <c r="E357" s="49" t="s">
        <v>245</v>
      </c>
      <c r="F357" s="50">
        <v>43241.0</v>
      </c>
      <c r="G357" s="50">
        <v>43250.0</v>
      </c>
      <c r="H357" s="51">
        <v>43241.46597222222</v>
      </c>
      <c r="I357" s="52">
        <v>1.0</v>
      </c>
      <c r="J357" s="53"/>
      <c r="K357" s="53"/>
    </row>
    <row r="358">
      <c r="A358" s="48" t="s">
        <v>1240</v>
      </c>
      <c r="B358" s="49" t="s">
        <v>1241</v>
      </c>
      <c r="C358" s="49" t="s">
        <v>203</v>
      </c>
      <c r="D358" s="49" t="s">
        <v>148</v>
      </c>
      <c r="E358" s="49" t="s">
        <v>245</v>
      </c>
      <c r="F358" s="50">
        <v>43241.0</v>
      </c>
      <c r="G358" s="50">
        <v>43245.0</v>
      </c>
      <c r="H358" s="51">
        <v>43241.74375</v>
      </c>
      <c r="I358" s="52">
        <v>1.0</v>
      </c>
      <c r="J358" s="53"/>
      <c r="K358" s="53"/>
    </row>
    <row r="359">
      <c r="A359" s="48" t="s">
        <v>1243</v>
      </c>
      <c r="B359" s="49" t="s">
        <v>1244</v>
      </c>
      <c r="C359" s="49" t="s">
        <v>203</v>
      </c>
      <c r="D359" s="49" t="s">
        <v>148</v>
      </c>
      <c r="E359" s="49" t="s">
        <v>245</v>
      </c>
      <c r="F359" s="50">
        <v>43241.0</v>
      </c>
      <c r="G359" s="50">
        <v>43245.0</v>
      </c>
      <c r="H359" s="51">
        <v>43242.68472222222</v>
      </c>
      <c r="I359" s="52">
        <v>1.0</v>
      </c>
      <c r="J359" s="53"/>
      <c r="K359" s="53"/>
    </row>
    <row r="360">
      <c r="A360" s="48" t="s">
        <v>1245</v>
      </c>
      <c r="B360" s="49" t="s">
        <v>1246</v>
      </c>
      <c r="C360" s="49" t="s">
        <v>203</v>
      </c>
      <c r="D360" s="49" t="s">
        <v>148</v>
      </c>
      <c r="E360" s="49" t="s">
        <v>245</v>
      </c>
      <c r="F360" s="50">
        <v>43241.0</v>
      </c>
      <c r="G360" s="50">
        <v>43245.0</v>
      </c>
      <c r="H360" s="51">
        <v>43245.83888888889</v>
      </c>
      <c r="I360" s="52">
        <v>1.0</v>
      </c>
      <c r="J360" s="53"/>
      <c r="K360" s="53"/>
    </row>
    <row r="361">
      <c r="A361" s="48" t="s">
        <v>1247</v>
      </c>
      <c r="B361" s="49" t="s">
        <v>1248</v>
      </c>
      <c r="C361" s="49" t="s">
        <v>203</v>
      </c>
      <c r="D361" s="49" t="s">
        <v>148</v>
      </c>
      <c r="E361" s="49" t="s">
        <v>245</v>
      </c>
      <c r="F361" s="50">
        <v>43241.0</v>
      </c>
      <c r="G361" s="50">
        <v>43245.0</v>
      </c>
      <c r="H361" s="51">
        <v>43245.83888888889</v>
      </c>
      <c r="I361" s="52">
        <v>1.0</v>
      </c>
      <c r="J361" s="53"/>
      <c r="K361" s="53"/>
    </row>
    <row r="362">
      <c r="A362" s="48" t="s">
        <v>1250</v>
      </c>
      <c r="B362" s="49" t="s">
        <v>1251</v>
      </c>
      <c r="C362" s="49" t="s">
        <v>243</v>
      </c>
      <c r="D362" s="49" t="s">
        <v>120</v>
      </c>
      <c r="E362" s="49" t="s">
        <v>245</v>
      </c>
      <c r="F362" s="50">
        <v>43241.0</v>
      </c>
      <c r="G362" s="50">
        <v>43241.0</v>
      </c>
      <c r="H362" s="51">
        <v>43245.84027777778</v>
      </c>
      <c r="I362" s="52">
        <v>1.0</v>
      </c>
      <c r="J362" s="53"/>
      <c r="K362" s="53"/>
    </row>
    <row r="363">
      <c r="A363" s="48" t="s">
        <v>1252</v>
      </c>
      <c r="B363" s="49" t="s">
        <v>1253</v>
      </c>
      <c r="C363" s="49" t="s">
        <v>379</v>
      </c>
      <c r="D363" s="49" t="s">
        <v>140</v>
      </c>
      <c r="E363" s="49" t="s">
        <v>245</v>
      </c>
      <c r="F363" s="50">
        <v>43238.0</v>
      </c>
      <c r="G363" s="50">
        <v>43242.0</v>
      </c>
      <c r="H363" s="51">
        <v>43238.771527777775</v>
      </c>
      <c r="I363" s="52">
        <v>1.0</v>
      </c>
      <c r="J363" s="53"/>
      <c r="K363" s="53"/>
    </row>
    <row r="364">
      <c r="A364" s="48" t="s">
        <v>1256</v>
      </c>
      <c r="B364" s="49" t="s">
        <v>1257</v>
      </c>
      <c r="C364" s="49" t="s">
        <v>243</v>
      </c>
      <c r="D364" s="49" t="s">
        <v>148</v>
      </c>
      <c r="E364" s="49" t="s">
        <v>245</v>
      </c>
      <c r="F364" s="50">
        <v>43237.0</v>
      </c>
      <c r="G364" s="50">
        <v>43246.0</v>
      </c>
      <c r="H364" s="51">
        <v>43237.708333333336</v>
      </c>
      <c r="I364" s="52">
        <v>1.0</v>
      </c>
      <c r="J364" s="53"/>
      <c r="K364" s="53"/>
    </row>
    <row r="365">
      <c r="A365" s="48" t="s">
        <v>1258</v>
      </c>
      <c r="B365" s="49" t="s">
        <v>1259</v>
      </c>
      <c r="C365" s="49" t="s">
        <v>203</v>
      </c>
      <c r="D365" s="49" t="s">
        <v>148</v>
      </c>
      <c r="E365" s="49" t="s">
        <v>245</v>
      </c>
      <c r="F365" s="50">
        <v>43237.0</v>
      </c>
      <c r="G365" s="50">
        <v>43237.0</v>
      </c>
      <c r="H365" s="51">
        <v>43238.770833333336</v>
      </c>
      <c r="I365" s="52">
        <v>1.0</v>
      </c>
      <c r="J365" s="53"/>
      <c r="K365" s="53"/>
    </row>
    <row r="366">
      <c r="A366" s="48" t="s">
        <v>1261</v>
      </c>
      <c r="B366" s="49" t="s">
        <v>1262</v>
      </c>
      <c r="C366" s="49" t="s">
        <v>243</v>
      </c>
      <c r="D366" s="49" t="s">
        <v>148</v>
      </c>
      <c r="E366" s="49" t="s">
        <v>204</v>
      </c>
      <c r="F366" s="50">
        <v>43236.0</v>
      </c>
      <c r="G366" s="50">
        <v>43245.0</v>
      </c>
      <c r="H366" s="51">
        <v>43236.75277777778</v>
      </c>
      <c r="I366" s="52">
        <v>0.0</v>
      </c>
      <c r="J366" s="53"/>
      <c r="K366" s="53"/>
    </row>
    <row r="367">
      <c r="A367" s="48" t="s">
        <v>1263</v>
      </c>
      <c r="B367" s="49" t="s">
        <v>1264</v>
      </c>
      <c r="C367" s="49" t="s">
        <v>243</v>
      </c>
      <c r="D367" s="49" t="s">
        <v>148</v>
      </c>
      <c r="E367" s="49" t="s">
        <v>245</v>
      </c>
      <c r="F367" s="50">
        <v>43236.0</v>
      </c>
      <c r="G367" s="50">
        <v>43236.0</v>
      </c>
      <c r="H367" s="51">
        <v>43236.75208333333</v>
      </c>
      <c r="I367" s="52">
        <v>1.0</v>
      </c>
      <c r="J367" s="53"/>
      <c r="K367" s="53"/>
    </row>
    <row r="368">
      <c r="A368" s="48" t="s">
        <v>1266</v>
      </c>
      <c r="B368" s="49" t="s">
        <v>1267</v>
      </c>
      <c r="C368" s="49" t="s">
        <v>243</v>
      </c>
      <c r="D368" s="49" t="s">
        <v>148</v>
      </c>
      <c r="E368" s="49" t="s">
        <v>245</v>
      </c>
      <c r="F368" s="50">
        <v>43236.0</v>
      </c>
      <c r="G368" s="50">
        <v>43236.0</v>
      </c>
      <c r="H368" s="51">
        <v>43236.75277777778</v>
      </c>
      <c r="I368" s="52">
        <v>1.0</v>
      </c>
      <c r="J368" s="53"/>
      <c r="K368" s="53"/>
    </row>
    <row r="369">
      <c r="A369" s="48" t="s">
        <v>1268</v>
      </c>
      <c r="B369" s="49" t="s">
        <v>1269</v>
      </c>
      <c r="C369" s="49" t="s">
        <v>243</v>
      </c>
      <c r="D369" s="49" t="s">
        <v>148</v>
      </c>
      <c r="E369" s="49" t="s">
        <v>204</v>
      </c>
      <c r="F369" s="50">
        <v>43235.0</v>
      </c>
      <c r="G369" s="50">
        <v>43245.0</v>
      </c>
      <c r="H369" s="51">
        <v>43235.43402777778</v>
      </c>
      <c r="I369" s="52">
        <v>0.0</v>
      </c>
      <c r="J369" s="53"/>
      <c r="K369" s="53"/>
    </row>
    <row r="370">
      <c r="A370" s="48" t="s">
        <v>1271</v>
      </c>
      <c r="B370" s="49" t="s">
        <v>1272</v>
      </c>
      <c r="C370" s="49" t="s">
        <v>243</v>
      </c>
      <c r="D370" s="49" t="s">
        <v>148</v>
      </c>
      <c r="E370" s="49" t="s">
        <v>245</v>
      </c>
      <c r="F370" s="50">
        <v>43235.0</v>
      </c>
      <c r="G370" s="50">
        <v>43242.0</v>
      </c>
      <c r="H370" s="51">
        <v>43235.709027777775</v>
      </c>
      <c r="I370" s="52">
        <v>1.0</v>
      </c>
      <c r="J370" s="53"/>
      <c r="K370" s="53"/>
    </row>
    <row r="371">
      <c r="A371" s="48" t="s">
        <v>1274</v>
      </c>
      <c r="B371" s="49" t="s">
        <v>1275</v>
      </c>
      <c r="C371" s="49" t="s">
        <v>243</v>
      </c>
      <c r="D371" s="49" t="s">
        <v>148</v>
      </c>
      <c r="E371" s="49" t="s">
        <v>245</v>
      </c>
      <c r="F371" s="50">
        <v>43235.0</v>
      </c>
      <c r="G371" s="50">
        <v>43235.0</v>
      </c>
      <c r="H371" s="51">
        <v>43235.583333333336</v>
      </c>
      <c r="I371" s="52">
        <v>1.0</v>
      </c>
      <c r="J371" s="53"/>
      <c r="K371" s="53"/>
    </row>
    <row r="372">
      <c r="A372" s="48" t="s">
        <v>1276</v>
      </c>
      <c r="B372" s="49" t="s">
        <v>1277</v>
      </c>
      <c r="C372" s="49" t="s">
        <v>243</v>
      </c>
      <c r="D372" s="49" t="s">
        <v>148</v>
      </c>
      <c r="E372" s="49" t="s">
        <v>245</v>
      </c>
      <c r="F372" s="50">
        <v>43235.0</v>
      </c>
      <c r="G372" s="50">
        <v>43245.0</v>
      </c>
      <c r="H372" s="51">
        <v>43235.65</v>
      </c>
      <c r="I372" s="52">
        <v>1.0</v>
      </c>
      <c r="J372" s="53"/>
      <c r="K372" s="53"/>
    </row>
    <row r="373">
      <c r="A373" s="48" t="s">
        <v>1278</v>
      </c>
      <c r="B373" s="49" t="s">
        <v>1279</v>
      </c>
      <c r="C373" s="49" t="s">
        <v>203</v>
      </c>
      <c r="D373" s="49" t="s">
        <v>148</v>
      </c>
      <c r="E373" s="49" t="s">
        <v>245</v>
      </c>
      <c r="F373" s="50">
        <v>43235.0</v>
      </c>
      <c r="G373" s="50">
        <v>43238.0</v>
      </c>
      <c r="H373" s="51">
        <v>43238.775</v>
      </c>
      <c r="I373" s="52">
        <v>1.0</v>
      </c>
      <c r="J373" s="53"/>
      <c r="K373" s="53"/>
    </row>
    <row r="374">
      <c r="A374" s="48" t="s">
        <v>1282</v>
      </c>
      <c r="B374" s="49" t="s">
        <v>1283</v>
      </c>
      <c r="C374" s="49" t="s">
        <v>257</v>
      </c>
      <c r="D374" s="49" t="s">
        <v>120</v>
      </c>
      <c r="E374" s="49" t="s">
        <v>245</v>
      </c>
      <c r="F374" s="50">
        <v>43235.0</v>
      </c>
      <c r="G374" s="50">
        <v>43235.0</v>
      </c>
      <c r="H374" s="51">
        <v>43313.73055555556</v>
      </c>
      <c r="I374" s="52">
        <v>1.0</v>
      </c>
      <c r="J374" s="53"/>
      <c r="K374" s="53"/>
    </row>
    <row r="375">
      <c r="A375" s="48" t="s">
        <v>1285</v>
      </c>
      <c r="B375" s="49" t="s">
        <v>1286</v>
      </c>
      <c r="C375" s="49" t="s">
        <v>243</v>
      </c>
      <c r="D375" s="49" t="s">
        <v>148</v>
      </c>
      <c r="E375" s="49" t="s">
        <v>245</v>
      </c>
      <c r="F375" s="50">
        <v>43234.0</v>
      </c>
      <c r="G375" s="50">
        <v>43241.0</v>
      </c>
      <c r="H375" s="51">
        <v>43234.76736111111</v>
      </c>
      <c r="I375" s="52">
        <v>1.0</v>
      </c>
      <c r="J375" s="53"/>
      <c r="K375" s="53"/>
    </row>
    <row r="376">
      <c r="A376" s="48" t="s">
        <v>1287</v>
      </c>
      <c r="B376" s="49" t="s">
        <v>1289</v>
      </c>
      <c r="C376" s="49" t="s">
        <v>203</v>
      </c>
      <c r="D376" s="49" t="s">
        <v>148</v>
      </c>
      <c r="E376" s="49" t="s">
        <v>245</v>
      </c>
      <c r="F376" s="50">
        <v>43234.0</v>
      </c>
      <c r="G376" s="50">
        <v>43238.0</v>
      </c>
      <c r="H376" s="51">
        <v>43238.77361111111</v>
      </c>
      <c r="I376" s="52">
        <v>1.0</v>
      </c>
      <c r="J376" s="53"/>
      <c r="K376" s="53"/>
    </row>
    <row r="377">
      <c r="A377" s="48" t="s">
        <v>1292</v>
      </c>
      <c r="B377" s="49" t="s">
        <v>1293</v>
      </c>
      <c r="C377" s="49" t="s">
        <v>203</v>
      </c>
      <c r="D377" s="49" t="s">
        <v>148</v>
      </c>
      <c r="E377" s="49" t="s">
        <v>245</v>
      </c>
      <c r="F377" s="50">
        <v>43234.0</v>
      </c>
      <c r="G377" s="50">
        <v>43238.0</v>
      </c>
      <c r="H377" s="51">
        <v>43238.774305555555</v>
      </c>
      <c r="I377" s="52">
        <v>1.0</v>
      </c>
      <c r="J377" s="53"/>
      <c r="K377" s="53"/>
    </row>
    <row r="378">
      <c r="A378" s="48" t="s">
        <v>1294</v>
      </c>
      <c r="B378" s="49" t="s">
        <v>1295</v>
      </c>
      <c r="C378" s="49" t="s">
        <v>203</v>
      </c>
      <c r="D378" s="49" t="s">
        <v>148</v>
      </c>
      <c r="E378" s="49" t="s">
        <v>245</v>
      </c>
      <c r="F378" s="50">
        <v>43234.0</v>
      </c>
      <c r="G378" s="50">
        <v>43238.0</v>
      </c>
      <c r="H378" s="51">
        <v>43238.775</v>
      </c>
      <c r="I378" s="52">
        <v>1.0</v>
      </c>
      <c r="J378" s="53"/>
      <c r="K378" s="53"/>
    </row>
    <row r="379">
      <c r="A379" s="48" t="s">
        <v>1297</v>
      </c>
      <c r="B379" s="49" t="s">
        <v>1298</v>
      </c>
      <c r="C379" s="49" t="s">
        <v>243</v>
      </c>
      <c r="D379" s="49" t="s">
        <v>148</v>
      </c>
      <c r="E379" s="49" t="s">
        <v>245</v>
      </c>
      <c r="F379" s="50">
        <v>43231.0</v>
      </c>
      <c r="G379" s="50">
        <v>43231.0</v>
      </c>
      <c r="H379" s="51">
        <v>43231.75277777778</v>
      </c>
      <c r="I379" s="52">
        <v>1.0</v>
      </c>
      <c r="J379" s="53"/>
      <c r="K379" s="53"/>
    </row>
    <row r="380">
      <c r="A380" s="48" t="s">
        <v>1299</v>
      </c>
      <c r="B380" s="49" t="s">
        <v>1300</v>
      </c>
      <c r="C380" s="49" t="s">
        <v>243</v>
      </c>
      <c r="D380" s="49" t="s">
        <v>148</v>
      </c>
      <c r="E380" s="49" t="s">
        <v>245</v>
      </c>
      <c r="F380" s="50">
        <v>43231.0</v>
      </c>
      <c r="G380" s="50">
        <v>43238.0</v>
      </c>
      <c r="H380" s="51">
        <v>43231.75625</v>
      </c>
      <c r="I380" s="52">
        <v>1.0</v>
      </c>
      <c r="J380" s="53"/>
      <c r="K380" s="53"/>
    </row>
    <row r="381">
      <c r="A381" s="48" t="s">
        <v>1302</v>
      </c>
      <c r="B381" s="49" t="s">
        <v>1303</v>
      </c>
      <c r="C381" s="49" t="s">
        <v>243</v>
      </c>
      <c r="D381" s="49" t="s">
        <v>148</v>
      </c>
      <c r="E381" s="49" t="s">
        <v>245</v>
      </c>
      <c r="F381" s="50">
        <v>43231.0</v>
      </c>
      <c r="G381" s="50">
        <v>43231.0</v>
      </c>
      <c r="H381" s="51">
        <v>43231.75625</v>
      </c>
      <c r="I381" s="52">
        <v>1.0</v>
      </c>
      <c r="J381" s="53"/>
      <c r="K381" s="53"/>
    </row>
    <row r="382">
      <c r="A382" s="48" t="s">
        <v>1305</v>
      </c>
      <c r="B382" s="49" t="s">
        <v>1306</v>
      </c>
      <c r="C382" s="49" t="s">
        <v>243</v>
      </c>
      <c r="D382" s="49" t="s">
        <v>148</v>
      </c>
      <c r="E382" s="49" t="s">
        <v>245</v>
      </c>
      <c r="F382" s="50">
        <v>43231.0</v>
      </c>
      <c r="G382" s="50">
        <v>43231.0</v>
      </c>
      <c r="H382" s="51">
        <v>43231.75625</v>
      </c>
      <c r="I382" s="52">
        <v>1.0</v>
      </c>
      <c r="J382" s="53"/>
      <c r="K382" s="53"/>
    </row>
    <row r="383">
      <c r="A383" s="48" t="s">
        <v>1308</v>
      </c>
      <c r="B383" s="49" t="s">
        <v>1309</v>
      </c>
      <c r="C383" s="49" t="s">
        <v>257</v>
      </c>
      <c r="D383" s="49" t="s">
        <v>153</v>
      </c>
      <c r="E383" s="49" t="s">
        <v>245</v>
      </c>
      <c r="F383" s="50">
        <v>43230.0</v>
      </c>
      <c r="G383" s="50">
        <v>43230.0</v>
      </c>
      <c r="H383" s="51">
        <v>43230.66458333333</v>
      </c>
      <c r="I383" s="52">
        <v>1.0</v>
      </c>
      <c r="J383" s="53"/>
      <c r="K383" s="53"/>
    </row>
    <row r="384">
      <c r="A384" s="48" t="s">
        <v>1311</v>
      </c>
      <c r="B384" s="49" t="s">
        <v>1312</v>
      </c>
      <c r="C384" s="49" t="s">
        <v>221</v>
      </c>
      <c r="D384" s="49" t="s">
        <v>153</v>
      </c>
      <c r="E384" s="49" t="s">
        <v>245</v>
      </c>
      <c r="F384" s="50">
        <v>43230.0</v>
      </c>
      <c r="G384" s="50">
        <v>43230.0</v>
      </c>
      <c r="H384" s="51">
        <v>43230.66527777778</v>
      </c>
      <c r="I384" s="52">
        <v>1.0</v>
      </c>
      <c r="J384" s="53"/>
      <c r="K384" s="53"/>
    </row>
    <row r="385">
      <c r="A385" s="48" t="s">
        <v>1314</v>
      </c>
      <c r="B385" s="49" t="s">
        <v>1315</v>
      </c>
      <c r="C385" s="49" t="s">
        <v>257</v>
      </c>
      <c r="D385" s="49" t="s">
        <v>153</v>
      </c>
      <c r="E385" s="49" t="s">
        <v>245</v>
      </c>
      <c r="F385" s="50">
        <v>43229.0</v>
      </c>
      <c r="G385" s="50">
        <v>43229.0</v>
      </c>
      <c r="H385" s="51">
        <v>43229.69236111111</v>
      </c>
      <c r="I385" s="52">
        <v>1.0</v>
      </c>
      <c r="J385" s="53"/>
      <c r="K385" s="53"/>
    </row>
    <row r="386">
      <c r="A386" s="48" t="s">
        <v>1316</v>
      </c>
      <c r="B386" s="49" t="s">
        <v>1317</v>
      </c>
      <c r="C386" s="49" t="s">
        <v>257</v>
      </c>
      <c r="D386" s="49" t="s">
        <v>153</v>
      </c>
      <c r="E386" s="49" t="s">
        <v>245</v>
      </c>
      <c r="F386" s="50">
        <v>43229.0</v>
      </c>
      <c r="G386" s="50">
        <v>43229.0</v>
      </c>
      <c r="H386" s="51">
        <v>43229.69513888889</v>
      </c>
      <c r="I386" s="52">
        <v>1.0</v>
      </c>
      <c r="J386" s="53"/>
      <c r="K386" s="53"/>
    </row>
    <row r="387">
      <c r="A387" s="48" t="s">
        <v>1320</v>
      </c>
      <c r="B387" s="49" t="s">
        <v>1321</v>
      </c>
      <c r="C387" s="49" t="s">
        <v>257</v>
      </c>
      <c r="D387" s="49" t="s">
        <v>153</v>
      </c>
      <c r="E387" s="49" t="s">
        <v>245</v>
      </c>
      <c r="F387" s="50">
        <v>43229.0</v>
      </c>
      <c r="G387" s="50">
        <v>43229.0</v>
      </c>
      <c r="H387" s="51">
        <v>43229.69513888889</v>
      </c>
      <c r="I387" s="52">
        <v>1.0</v>
      </c>
      <c r="J387" s="53"/>
      <c r="K387" s="53"/>
    </row>
    <row r="388">
      <c r="A388" s="48" t="s">
        <v>1323</v>
      </c>
      <c r="B388" s="49" t="s">
        <v>1324</v>
      </c>
      <c r="C388" s="49" t="s">
        <v>221</v>
      </c>
      <c r="D388" s="49" t="s">
        <v>153</v>
      </c>
      <c r="E388" s="49" t="s">
        <v>245</v>
      </c>
      <c r="F388" s="50">
        <v>43229.0</v>
      </c>
      <c r="G388" s="50">
        <v>43229.0</v>
      </c>
      <c r="H388" s="51">
        <v>43229.69583333333</v>
      </c>
      <c r="I388" s="52">
        <v>1.0</v>
      </c>
      <c r="J388" s="53"/>
      <c r="K388" s="53"/>
    </row>
    <row r="389">
      <c r="A389" s="48" t="s">
        <v>1326</v>
      </c>
      <c r="B389" s="49" t="s">
        <v>1327</v>
      </c>
      <c r="C389" s="49" t="s">
        <v>221</v>
      </c>
      <c r="D389" s="49" t="s">
        <v>153</v>
      </c>
      <c r="E389" s="49" t="s">
        <v>245</v>
      </c>
      <c r="F389" s="50">
        <v>43229.0</v>
      </c>
      <c r="G389" s="50">
        <v>43229.0</v>
      </c>
      <c r="H389" s="51">
        <v>43229.69513888889</v>
      </c>
      <c r="I389" s="52">
        <v>1.0</v>
      </c>
      <c r="J389" s="53"/>
      <c r="K389" s="53"/>
    </row>
    <row r="390">
      <c r="A390" s="48" t="s">
        <v>1328</v>
      </c>
      <c r="B390" s="49" t="s">
        <v>1329</v>
      </c>
      <c r="C390" s="49" t="s">
        <v>257</v>
      </c>
      <c r="D390" s="49" t="s">
        <v>120</v>
      </c>
      <c r="E390" s="49" t="s">
        <v>245</v>
      </c>
      <c r="F390" s="50">
        <v>43229.0</v>
      </c>
      <c r="G390" s="50">
        <v>43229.0</v>
      </c>
      <c r="H390" s="51">
        <v>43313.729166666664</v>
      </c>
      <c r="I390" s="52">
        <v>1.0</v>
      </c>
      <c r="J390" s="53"/>
      <c r="K390" s="53"/>
    </row>
    <row r="391">
      <c r="A391" s="48" t="s">
        <v>1330</v>
      </c>
      <c r="B391" s="49" t="s">
        <v>1332</v>
      </c>
      <c r="C391" s="49" t="s">
        <v>257</v>
      </c>
      <c r="D391" s="49" t="s">
        <v>120</v>
      </c>
      <c r="E391" s="49" t="s">
        <v>245</v>
      </c>
      <c r="F391" s="50">
        <v>43229.0</v>
      </c>
      <c r="G391" s="50">
        <v>43229.0</v>
      </c>
      <c r="H391" s="51">
        <v>43313.728472222225</v>
      </c>
      <c r="I391" s="52">
        <v>1.0</v>
      </c>
      <c r="J391" s="53"/>
      <c r="K391" s="53"/>
    </row>
    <row r="392">
      <c r="A392" s="48" t="s">
        <v>1333</v>
      </c>
      <c r="B392" s="49" t="s">
        <v>1334</v>
      </c>
      <c r="C392" s="49" t="s">
        <v>257</v>
      </c>
      <c r="D392" s="49" t="s">
        <v>153</v>
      </c>
      <c r="E392" s="49" t="s">
        <v>245</v>
      </c>
      <c r="F392" s="50">
        <v>43228.0</v>
      </c>
      <c r="G392" s="50">
        <v>43228.0</v>
      </c>
      <c r="H392" s="51">
        <v>43229.694444444445</v>
      </c>
      <c r="I392" s="52">
        <v>1.0</v>
      </c>
      <c r="J392" s="53"/>
      <c r="K392" s="53"/>
    </row>
    <row r="393">
      <c r="A393" s="48" t="s">
        <v>1335</v>
      </c>
      <c r="B393" s="49" t="s">
        <v>1336</v>
      </c>
      <c r="C393" s="49" t="s">
        <v>221</v>
      </c>
      <c r="D393" s="49" t="s">
        <v>153</v>
      </c>
      <c r="E393" s="49" t="s">
        <v>245</v>
      </c>
      <c r="F393" s="50">
        <v>43228.0</v>
      </c>
      <c r="G393" s="50">
        <v>43228.0</v>
      </c>
      <c r="H393" s="51">
        <v>43229.694444444445</v>
      </c>
      <c r="I393" s="52">
        <v>1.0</v>
      </c>
      <c r="J393" s="53"/>
      <c r="K393" s="53"/>
    </row>
    <row r="394">
      <c r="A394" s="48" t="s">
        <v>1338</v>
      </c>
      <c r="B394" s="49" t="s">
        <v>1339</v>
      </c>
      <c r="C394" s="49" t="s">
        <v>238</v>
      </c>
      <c r="D394" s="49" t="s">
        <v>148</v>
      </c>
      <c r="E394" s="49" t="s">
        <v>245</v>
      </c>
      <c r="F394" s="50">
        <v>43228.0</v>
      </c>
      <c r="G394" s="50">
        <v>43231.0</v>
      </c>
      <c r="H394" s="51">
        <v>43231.813888888886</v>
      </c>
      <c r="I394" s="52">
        <v>1.0</v>
      </c>
      <c r="J394" s="53"/>
      <c r="K394" s="53"/>
    </row>
    <row r="395">
      <c r="A395" s="48" t="s">
        <v>1340</v>
      </c>
      <c r="B395" s="49" t="s">
        <v>1341</v>
      </c>
      <c r="C395" s="49" t="s">
        <v>257</v>
      </c>
      <c r="D395" s="49" t="s">
        <v>120</v>
      </c>
      <c r="E395" s="49" t="s">
        <v>245</v>
      </c>
      <c r="F395" s="50">
        <v>43228.0</v>
      </c>
      <c r="G395" s="50">
        <v>43228.0</v>
      </c>
      <c r="H395" s="51">
        <v>43313.72708333333</v>
      </c>
      <c r="I395" s="52">
        <v>1.0</v>
      </c>
      <c r="J395" s="53"/>
      <c r="K395" s="53"/>
    </row>
    <row r="396">
      <c r="A396" s="48" t="s">
        <v>1343</v>
      </c>
      <c r="B396" s="49" t="s">
        <v>1344</v>
      </c>
      <c r="C396" s="49" t="s">
        <v>257</v>
      </c>
      <c r="D396" s="49" t="s">
        <v>153</v>
      </c>
      <c r="E396" s="49" t="s">
        <v>245</v>
      </c>
      <c r="F396" s="50">
        <v>43227.0</v>
      </c>
      <c r="G396" s="50">
        <v>43227.0</v>
      </c>
      <c r="H396" s="51">
        <v>43229.691666666666</v>
      </c>
      <c r="I396" s="52">
        <v>1.0</v>
      </c>
      <c r="J396" s="53"/>
      <c r="K396" s="53"/>
    </row>
    <row r="397">
      <c r="A397" s="48" t="s">
        <v>1345</v>
      </c>
      <c r="B397" s="49" t="s">
        <v>1346</v>
      </c>
      <c r="C397" s="49" t="s">
        <v>257</v>
      </c>
      <c r="D397" s="49" t="s">
        <v>153</v>
      </c>
      <c r="E397" s="49" t="s">
        <v>245</v>
      </c>
      <c r="F397" s="50">
        <v>43227.0</v>
      </c>
      <c r="G397" s="50">
        <v>43227.0</v>
      </c>
      <c r="H397" s="51">
        <v>43229.69305555556</v>
      </c>
      <c r="I397" s="52">
        <v>1.0</v>
      </c>
      <c r="J397" s="53"/>
      <c r="K397" s="53"/>
    </row>
    <row r="398">
      <c r="A398" s="48" t="s">
        <v>1350</v>
      </c>
      <c r="B398" s="49" t="s">
        <v>1351</v>
      </c>
      <c r="C398" s="49" t="s">
        <v>221</v>
      </c>
      <c r="D398" s="49" t="s">
        <v>153</v>
      </c>
      <c r="E398" s="49" t="s">
        <v>245</v>
      </c>
      <c r="F398" s="50">
        <v>43227.0</v>
      </c>
      <c r="G398" s="50">
        <v>43227.0</v>
      </c>
      <c r="H398" s="51">
        <v>43229.69375</v>
      </c>
      <c r="I398" s="52">
        <v>1.0</v>
      </c>
      <c r="J398" s="53"/>
      <c r="K398" s="53"/>
    </row>
    <row r="399">
      <c r="A399" s="48" t="s">
        <v>1353</v>
      </c>
      <c r="B399" s="49" t="s">
        <v>1354</v>
      </c>
      <c r="C399" s="49" t="s">
        <v>257</v>
      </c>
      <c r="D399" s="49" t="s">
        <v>153</v>
      </c>
      <c r="E399" s="49" t="s">
        <v>245</v>
      </c>
      <c r="F399" s="50">
        <v>43227.0</v>
      </c>
      <c r="G399" s="50">
        <v>43227.0</v>
      </c>
      <c r="H399" s="51">
        <v>43229.69305555556</v>
      </c>
      <c r="I399" s="52">
        <v>1.0</v>
      </c>
      <c r="J399" s="53"/>
      <c r="K399" s="53"/>
    </row>
    <row r="400">
      <c r="A400" s="48" t="s">
        <v>1356</v>
      </c>
      <c r="B400" s="49" t="s">
        <v>1357</v>
      </c>
      <c r="C400" s="49" t="s">
        <v>221</v>
      </c>
      <c r="D400" s="49" t="s">
        <v>153</v>
      </c>
      <c r="E400" s="49" t="s">
        <v>245</v>
      </c>
      <c r="F400" s="50">
        <v>43227.0</v>
      </c>
      <c r="G400" s="50">
        <v>43227.0</v>
      </c>
      <c r="H400" s="51">
        <v>43229.69375</v>
      </c>
      <c r="I400" s="52">
        <v>1.0</v>
      </c>
      <c r="J400" s="53"/>
      <c r="K400" s="53"/>
    </row>
    <row r="401">
      <c r="A401" s="48" t="s">
        <v>1360</v>
      </c>
      <c r="B401" s="49" t="s">
        <v>1361</v>
      </c>
      <c r="C401" s="49" t="s">
        <v>221</v>
      </c>
      <c r="D401" s="49" t="s">
        <v>153</v>
      </c>
      <c r="E401" s="49" t="s">
        <v>245</v>
      </c>
      <c r="F401" s="50">
        <v>43227.0</v>
      </c>
      <c r="G401" s="50">
        <v>43227.0</v>
      </c>
      <c r="H401" s="51">
        <v>43238.770833333336</v>
      </c>
      <c r="I401" s="52">
        <v>1.0</v>
      </c>
      <c r="J401" s="53"/>
      <c r="K401" s="53"/>
    </row>
    <row r="402">
      <c r="A402" s="48" t="s">
        <v>1363</v>
      </c>
      <c r="B402" s="49" t="s">
        <v>1364</v>
      </c>
      <c r="C402" s="49" t="s">
        <v>238</v>
      </c>
      <c r="D402" s="49" t="s">
        <v>148</v>
      </c>
      <c r="E402" s="49" t="s">
        <v>245</v>
      </c>
      <c r="F402" s="50">
        <v>43227.0</v>
      </c>
      <c r="G402" s="50">
        <v>43231.0</v>
      </c>
      <c r="H402" s="51">
        <v>43231.81458333333</v>
      </c>
      <c r="I402" s="52">
        <v>1.0</v>
      </c>
      <c r="J402" s="53"/>
      <c r="K402" s="53"/>
    </row>
    <row r="403">
      <c r="A403" s="48" t="s">
        <v>1365</v>
      </c>
      <c r="B403" s="49" t="s">
        <v>1366</v>
      </c>
      <c r="C403" s="49" t="s">
        <v>238</v>
      </c>
      <c r="D403" s="49" t="s">
        <v>148</v>
      </c>
      <c r="E403" s="49" t="s">
        <v>245</v>
      </c>
      <c r="F403" s="50">
        <v>43227.0</v>
      </c>
      <c r="G403" s="50">
        <v>43231.0</v>
      </c>
      <c r="H403" s="51">
        <v>43231.81458333333</v>
      </c>
      <c r="I403" s="52">
        <v>1.0</v>
      </c>
      <c r="J403" s="53"/>
      <c r="K403" s="53"/>
    </row>
    <row r="404">
      <c r="A404" s="48" t="s">
        <v>1368</v>
      </c>
      <c r="B404" s="49" t="s">
        <v>1369</v>
      </c>
      <c r="C404" s="49" t="s">
        <v>238</v>
      </c>
      <c r="D404" s="49" t="s">
        <v>148</v>
      </c>
      <c r="E404" s="49" t="s">
        <v>245</v>
      </c>
      <c r="F404" s="50">
        <v>43227.0</v>
      </c>
      <c r="G404" s="50">
        <v>43231.0</v>
      </c>
      <c r="H404" s="51">
        <v>43231.81458333333</v>
      </c>
      <c r="I404" s="52">
        <v>1.0</v>
      </c>
      <c r="J404" s="53"/>
      <c r="K404" s="53"/>
    </row>
    <row r="405">
      <c r="A405" s="48" t="s">
        <v>1371</v>
      </c>
      <c r="B405" s="49" t="s">
        <v>1372</v>
      </c>
      <c r="C405" s="49" t="s">
        <v>257</v>
      </c>
      <c r="D405" s="49" t="s">
        <v>120</v>
      </c>
      <c r="E405" s="49" t="s">
        <v>245</v>
      </c>
      <c r="F405" s="50">
        <v>43227.0</v>
      </c>
      <c r="G405" s="50">
        <v>43227.0</v>
      </c>
      <c r="H405" s="51">
        <v>43313.725694444445</v>
      </c>
      <c r="I405" s="52">
        <v>1.0</v>
      </c>
      <c r="J405" s="53"/>
      <c r="K405" s="53"/>
    </row>
    <row r="406">
      <c r="A406" s="48" t="s">
        <v>1373</v>
      </c>
      <c r="B406" s="49" t="s">
        <v>1374</v>
      </c>
      <c r="C406" s="49" t="s">
        <v>243</v>
      </c>
      <c r="D406" s="49" t="s">
        <v>148</v>
      </c>
      <c r="E406" s="49" t="s">
        <v>204</v>
      </c>
      <c r="F406" s="50">
        <v>43224.0</v>
      </c>
      <c r="G406" s="50">
        <v>43231.0</v>
      </c>
      <c r="H406" s="51">
        <v>43224.697222222225</v>
      </c>
      <c r="I406" s="52">
        <v>0.0</v>
      </c>
      <c r="J406" s="53"/>
      <c r="K406" s="53"/>
    </row>
    <row r="407">
      <c r="A407" s="48" t="s">
        <v>1375</v>
      </c>
      <c r="B407" s="49" t="s">
        <v>1376</v>
      </c>
      <c r="C407" s="49" t="s">
        <v>243</v>
      </c>
      <c r="D407" s="49" t="s">
        <v>148</v>
      </c>
      <c r="E407" s="49" t="s">
        <v>204</v>
      </c>
      <c r="F407" s="50">
        <v>43224.0</v>
      </c>
      <c r="G407" s="50">
        <v>43231.0</v>
      </c>
      <c r="H407" s="51">
        <v>43224.7375</v>
      </c>
      <c r="I407" s="52">
        <v>0.0</v>
      </c>
      <c r="J407" s="53"/>
      <c r="K407" s="53"/>
    </row>
    <row r="408">
      <c r="A408" s="48" t="s">
        <v>1377</v>
      </c>
      <c r="B408" s="49" t="s">
        <v>1378</v>
      </c>
      <c r="C408" s="49" t="s">
        <v>243</v>
      </c>
      <c r="D408" s="49" t="s">
        <v>148</v>
      </c>
      <c r="E408" s="49" t="s">
        <v>204</v>
      </c>
      <c r="F408" s="50">
        <v>43224.0</v>
      </c>
      <c r="G408" s="50">
        <v>43231.0</v>
      </c>
      <c r="H408" s="51">
        <v>43224.73819444444</v>
      </c>
      <c r="I408" s="52">
        <v>0.0</v>
      </c>
      <c r="J408" s="53"/>
      <c r="K408" s="53"/>
    </row>
    <row r="409">
      <c r="A409" s="48" t="s">
        <v>1381</v>
      </c>
      <c r="B409" s="49" t="s">
        <v>1382</v>
      </c>
      <c r="C409" s="49" t="s">
        <v>243</v>
      </c>
      <c r="D409" s="49" t="s">
        <v>148</v>
      </c>
      <c r="E409" s="49" t="s">
        <v>245</v>
      </c>
      <c r="F409" s="50">
        <v>43224.0</v>
      </c>
      <c r="G409" s="50">
        <v>43224.0</v>
      </c>
      <c r="H409" s="51">
        <v>43224.694444444445</v>
      </c>
      <c r="I409" s="52">
        <v>1.0</v>
      </c>
      <c r="J409" s="53"/>
      <c r="K409" s="53"/>
    </row>
    <row r="410">
      <c r="A410" s="48" t="s">
        <v>1384</v>
      </c>
      <c r="B410" s="49" t="s">
        <v>1385</v>
      </c>
      <c r="C410" s="49" t="s">
        <v>243</v>
      </c>
      <c r="D410" s="49" t="s">
        <v>148</v>
      </c>
      <c r="E410" s="49" t="s">
        <v>245</v>
      </c>
      <c r="F410" s="50">
        <v>43224.0</v>
      </c>
      <c r="G410" s="50">
        <v>43227.0</v>
      </c>
      <c r="H410" s="51">
        <v>43224.694444444445</v>
      </c>
      <c r="I410" s="52">
        <v>1.0</v>
      </c>
      <c r="J410" s="53"/>
      <c r="K410" s="53"/>
    </row>
    <row r="411">
      <c r="A411" s="48" t="s">
        <v>1386</v>
      </c>
      <c r="B411" s="49" t="s">
        <v>1387</v>
      </c>
      <c r="C411" s="49" t="s">
        <v>243</v>
      </c>
      <c r="D411" s="49" t="s">
        <v>148</v>
      </c>
      <c r="E411" s="49" t="s">
        <v>245</v>
      </c>
      <c r="F411" s="50">
        <v>43224.0</v>
      </c>
      <c r="G411" s="50">
        <v>43224.0</v>
      </c>
      <c r="H411" s="51">
        <v>43224.697222222225</v>
      </c>
      <c r="I411" s="52">
        <v>1.0</v>
      </c>
      <c r="J411" s="53"/>
      <c r="K411" s="53"/>
    </row>
    <row r="412">
      <c r="A412" s="48" t="s">
        <v>1389</v>
      </c>
      <c r="B412" s="49" t="s">
        <v>1390</v>
      </c>
      <c r="C412" s="49" t="s">
        <v>243</v>
      </c>
      <c r="D412" s="49" t="s">
        <v>148</v>
      </c>
      <c r="E412" s="49" t="s">
        <v>245</v>
      </c>
      <c r="F412" s="50">
        <v>43224.0</v>
      </c>
      <c r="G412" s="50">
        <v>43224.0</v>
      </c>
      <c r="H412" s="51">
        <v>43224.697222222225</v>
      </c>
      <c r="I412" s="52">
        <v>1.0</v>
      </c>
      <c r="J412" s="53"/>
      <c r="K412" s="53"/>
    </row>
    <row r="413">
      <c r="A413" s="48" t="s">
        <v>1392</v>
      </c>
      <c r="B413" s="49" t="s">
        <v>1393</v>
      </c>
      <c r="C413" s="49" t="s">
        <v>243</v>
      </c>
      <c r="D413" s="49" t="s">
        <v>148</v>
      </c>
      <c r="E413" s="49" t="s">
        <v>245</v>
      </c>
      <c r="F413" s="50">
        <v>43224.0</v>
      </c>
      <c r="G413" s="50">
        <v>43224.0</v>
      </c>
      <c r="H413" s="51">
        <v>43224.74236111111</v>
      </c>
      <c r="I413" s="52">
        <v>1.0</v>
      </c>
      <c r="J413" s="53"/>
      <c r="K413" s="53"/>
    </row>
    <row r="414">
      <c r="A414" s="48" t="s">
        <v>1394</v>
      </c>
      <c r="B414" s="49" t="s">
        <v>1395</v>
      </c>
      <c r="C414" s="49" t="s">
        <v>243</v>
      </c>
      <c r="D414" s="49" t="s">
        <v>120</v>
      </c>
      <c r="E414" s="49" t="s">
        <v>204</v>
      </c>
      <c r="F414" s="50">
        <v>43222.0</v>
      </c>
      <c r="G414" s="50">
        <v>43224.0</v>
      </c>
      <c r="H414" s="51">
        <v>43245.68125</v>
      </c>
      <c r="I414" s="52">
        <v>0.0</v>
      </c>
      <c r="J414" s="53"/>
      <c r="K414" s="53"/>
    </row>
    <row r="415">
      <c r="A415" s="48" t="s">
        <v>1396</v>
      </c>
      <c r="B415" s="49" t="s">
        <v>1397</v>
      </c>
      <c r="C415" s="49" t="s">
        <v>203</v>
      </c>
      <c r="D415" s="49" t="s">
        <v>148</v>
      </c>
      <c r="E415" s="49" t="s">
        <v>245</v>
      </c>
      <c r="F415" s="50">
        <v>43222.0</v>
      </c>
      <c r="G415" s="50">
        <v>43224.0</v>
      </c>
      <c r="H415" s="51">
        <v>43231.81458333333</v>
      </c>
      <c r="I415" s="52">
        <v>1.0</v>
      </c>
      <c r="J415" s="53"/>
      <c r="K415" s="53"/>
    </row>
    <row r="416">
      <c r="A416" s="48" t="s">
        <v>1401</v>
      </c>
      <c r="B416" s="49" t="s">
        <v>1402</v>
      </c>
      <c r="C416" s="49" t="s">
        <v>1403</v>
      </c>
      <c r="D416" s="49" t="s">
        <v>310</v>
      </c>
      <c r="E416" s="49" t="s">
        <v>245</v>
      </c>
      <c r="F416" s="50">
        <v>43217.0</v>
      </c>
      <c r="G416" s="50">
        <v>43217.0</v>
      </c>
      <c r="H416" s="51">
        <v>43217.60555555556</v>
      </c>
      <c r="I416" s="52">
        <v>1.0</v>
      </c>
      <c r="J416" s="53"/>
      <c r="K416" s="53"/>
    </row>
    <row r="417">
      <c r="A417" s="48" t="s">
        <v>1404</v>
      </c>
      <c r="B417" s="49" t="s">
        <v>1405</v>
      </c>
      <c r="C417" s="49" t="s">
        <v>1403</v>
      </c>
      <c r="D417" s="49" t="s">
        <v>310</v>
      </c>
      <c r="E417" s="49" t="s">
        <v>245</v>
      </c>
      <c r="F417" s="50">
        <v>43217.0</v>
      </c>
      <c r="G417" s="50">
        <v>43217.0</v>
      </c>
      <c r="H417" s="51">
        <v>43217.60625</v>
      </c>
      <c r="I417" s="52">
        <v>1.0</v>
      </c>
      <c r="J417" s="53"/>
      <c r="K417" s="53"/>
    </row>
    <row r="418">
      <c r="A418" s="48" t="s">
        <v>1407</v>
      </c>
      <c r="B418" s="49" t="s">
        <v>1408</v>
      </c>
      <c r="C418" s="49" t="s">
        <v>203</v>
      </c>
      <c r="D418" s="49" t="s">
        <v>148</v>
      </c>
      <c r="E418" s="49" t="s">
        <v>245</v>
      </c>
      <c r="F418" s="50">
        <v>43217.0</v>
      </c>
      <c r="G418" s="50">
        <v>43217.0</v>
      </c>
      <c r="H418" s="51">
        <v>43218.680555555555</v>
      </c>
      <c r="I418" s="52">
        <v>1.0</v>
      </c>
      <c r="J418" s="53"/>
      <c r="K418" s="53"/>
    </row>
    <row r="419">
      <c r="A419" s="48" t="s">
        <v>1409</v>
      </c>
      <c r="B419" s="49" t="s">
        <v>1410</v>
      </c>
      <c r="C419" s="49" t="s">
        <v>257</v>
      </c>
      <c r="D419" s="49" t="s">
        <v>153</v>
      </c>
      <c r="E419" s="49" t="s">
        <v>245</v>
      </c>
      <c r="F419" s="50">
        <v>43216.0</v>
      </c>
      <c r="G419" s="50">
        <v>43216.0</v>
      </c>
      <c r="H419" s="51">
        <v>43216.791666666664</v>
      </c>
      <c r="I419" s="52">
        <v>1.0</v>
      </c>
      <c r="J419" s="53"/>
      <c r="K419" s="53"/>
    </row>
    <row r="420">
      <c r="A420" s="48" t="s">
        <v>1414</v>
      </c>
      <c r="B420" s="49" t="s">
        <v>1415</v>
      </c>
      <c r="C420" s="49" t="s">
        <v>221</v>
      </c>
      <c r="D420" s="49" t="s">
        <v>153</v>
      </c>
      <c r="E420" s="49" t="s">
        <v>245</v>
      </c>
      <c r="F420" s="50">
        <v>43216.0</v>
      </c>
      <c r="G420" s="50">
        <v>43216.0</v>
      </c>
      <c r="H420" s="51">
        <v>43216.79236111111</v>
      </c>
      <c r="I420" s="52">
        <v>1.0</v>
      </c>
      <c r="J420" s="53"/>
      <c r="K420" s="53"/>
    </row>
    <row r="421">
      <c r="A421" s="48" t="s">
        <v>1416</v>
      </c>
      <c r="B421" s="49" t="s">
        <v>1417</v>
      </c>
      <c r="C421" s="49" t="s">
        <v>257</v>
      </c>
      <c r="D421" s="49" t="s">
        <v>120</v>
      </c>
      <c r="E421" s="49" t="s">
        <v>245</v>
      </c>
      <c r="F421" s="50">
        <v>43216.0</v>
      </c>
      <c r="G421" s="50">
        <v>43217.0</v>
      </c>
      <c r="H421" s="51">
        <v>43238.770833333336</v>
      </c>
      <c r="I421" s="52">
        <v>1.0</v>
      </c>
      <c r="J421" s="53"/>
      <c r="K421" s="53"/>
    </row>
    <row r="422">
      <c r="A422" s="48" t="s">
        <v>1418</v>
      </c>
      <c r="B422" s="49" t="s">
        <v>1419</v>
      </c>
      <c r="C422" s="49" t="s">
        <v>257</v>
      </c>
      <c r="D422" s="49" t="s">
        <v>120</v>
      </c>
      <c r="E422" s="49" t="s">
        <v>245</v>
      </c>
      <c r="F422" s="50">
        <v>43216.0</v>
      </c>
      <c r="G422" s="50">
        <v>43217.0</v>
      </c>
      <c r="H422" s="51">
        <v>43313.725</v>
      </c>
      <c r="I422" s="52">
        <v>1.0</v>
      </c>
      <c r="J422" s="53"/>
      <c r="K422" s="53"/>
    </row>
    <row r="423">
      <c r="A423" s="48" t="s">
        <v>1422</v>
      </c>
      <c r="B423" s="49" t="s">
        <v>1423</v>
      </c>
      <c r="C423" s="49" t="s">
        <v>221</v>
      </c>
      <c r="D423" s="49" t="s">
        <v>153</v>
      </c>
      <c r="E423" s="49" t="s">
        <v>245</v>
      </c>
      <c r="F423" s="50">
        <v>43215.0</v>
      </c>
      <c r="G423" s="50">
        <v>43215.0</v>
      </c>
      <c r="H423" s="51">
        <v>43217.66111111111</v>
      </c>
      <c r="I423" s="52">
        <v>1.0</v>
      </c>
      <c r="J423" s="53"/>
      <c r="K423" s="53"/>
    </row>
    <row r="424">
      <c r="A424" s="48" t="s">
        <v>1424</v>
      </c>
      <c r="B424" s="49" t="s">
        <v>1425</v>
      </c>
      <c r="C424" s="49" t="s">
        <v>257</v>
      </c>
      <c r="D424" s="49" t="s">
        <v>153</v>
      </c>
      <c r="E424" s="49" t="s">
        <v>245</v>
      </c>
      <c r="F424" s="50">
        <v>43215.0</v>
      </c>
      <c r="G424" s="50">
        <v>43215.0</v>
      </c>
      <c r="H424" s="51">
        <v>43215.501388888886</v>
      </c>
      <c r="I424" s="52">
        <v>1.0</v>
      </c>
      <c r="J424" s="53"/>
      <c r="K424" s="53"/>
    </row>
    <row r="425">
      <c r="A425" s="48" t="s">
        <v>1427</v>
      </c>
      <c r="B425" s="49" t="s">
        <v>1428</v>
      </c>
      <c r="C425" s="49" t="s">
        <v>203</v>
      </c>
      <c r="D425" s="49" t="s">
        <v>148</v>
      </c>
      <c r="E425" s="49" t="s">
        <v>245</v>
      </c>
      <c r="F425" s="50">
        <v>43215.0</v>
      </c>
      <c r="G425" s="50">
        <v>43217.0</v>
      </c>
      <c r="H425" s="51">
        <v>43218.68194444444</v>
      </c>
      <c r="I425" s="52">
        <v>1.0</v>
      </c>
      <c r="J425" s="53"/>
      <c r="K425" s="53"/>
    </row>
    <row r="426">
      <c r="A426" s="48" t="s">
        <v>1429</v>
      </c>
      <c r="B426" s="49" t="s">
        <v>1430</v>
      </c>
      <c r="C426" s="49" t="s">
        <v>243</v>
      </c>
      <c r="D426" s="49" t="s">
        <v>148</v>
      </c>
      <c r="E426" s="49" t="s">
        <v>204</v>
      </c>
      <c r="F426" s="50">
        <v>43214.0</v>
      </c>
      <c r="G426" s="50">
        <v>43224.0</v>
      </c>
      <c r="H426" s="51">
        <v>43214.43819444445</v>
      </c>
      <c r="I426" s="52">
        <v>0.0</v>
      </c>
      <c r="J426" s="53"/>
      <c r="K426" s="53"/>
    </row>
    <row r="427">
      <c r="A427" s="48" t="s">
        <v>1431</v>
      </c>
      <c r="B427" s="49" t="s">
        <v>1433</v>
      </c>
      <c r="C427" s="49" t="s">
        <v>1403</v>
      </c>
      <c r="D427" s="49" t="s">
        <v>310</v>
      </c>
      <c r="E427" s="49" t="s">
        <v>245</v>
      </c>
      <c r="F427" s="50">
        <v>43214.0</v>
      </c>
      <c r="G427" s="50">
        <v>43214.0</v>
      </c>
      <c r="H427" s="51">
        <v>43214.44375</v>
      </c>
      <c r="I427" s="52">
        <v>1.0</v>
      </c>
      <c r="J427" s="53"/>
      <c r="K427" s="53"/>
    </row>
    <row r="428">
      <c r="A428" s="48" t="s">
        <v>1434</v>
      </c>
      <c r="B428" s="49" t="s">
        <v>1435</v>
      </c>
      <c r="C428" s="49" t="s">
        <v>257</v>
      </c>
      <c r="D428" s="49" t="s">
        <v>153</v>
      </c>
      <c r="E428" s="49" t="s">
        <v>245</v>
      </c>
      <c r="F428" s="50">
        <v>43214.0</v>
      </c>
      <c r="G428" s="50">
        <v>43214.0</v>
      </c>
      <c r="H428" s="51">
        <v>43214.58888888889</v>
      </c>
      <c r="I428" s="52">
        <v>1.0</v>
      </c>
      <c r="J428" s="53"/>
      <c r="K428" s="53"/>
    </row>
    <row r="429">
      <c r="A429" s="48" t="s">
        <v>1436</v>
      </c>
      <c r="B429" s="49" t="s">
        <v>1437</v>
      </c>
      <c r="C429" s="49" t="s">
        <v>221</v>
      </c>
      <c r="D429" s="49" t="s">
        <v>153</v>
      </c>
      <c r="E429" s="49" t="s">
        <v>245</v>
      </c>
      <c r="F429" s="50">
        <v>43214.0</v>
      </c>
      <c r="G429" s="50">
        <v>43214.0</v>
      </c>
      <c r="H429" s="51">
        <v>43214.589583333334</v>
      </c>
      <c r="I429" s="52">
        <v>1.0</v>
      </c>
      <c r="J429" s="53"/>
      <c r="K429" s="53"/>
    </row>
    <row r="430">
      <c r="A430" s="48" t="s">
        <v>1439</v>
      </c>
      <c r="B430" s="49" t="s">
        <v>1440</v>
      </c>
      <c r="C430" s="49" t="s">
        <v>243</v>
      </c>
      <c r="D430" s="49" t="s">
        <v>148</v>
      </c>
      <c r="E430" s="49" t="s">
        <v>245</v>
      </c>
      <c r="F430" s="50">
        <v>43214.0</v>
      </c>
      <c r="G430" s="50">
        <v>43217.0</v>
      </c>
      <c r="H430" s="51">
        <v>43218.68194444444</v>
      </c>
      <c r="I430" s="52">
        <v>1.0</v>
      </c>
      <c r="J430" s="53"/>
      <c r="K430" s="53"/>
    </row>
    <row r="431">
      <c r="A431" s="48" t="s">
        <v>1442</v>
      </c>
      <c r="B431" s="49" t="s">
        <v>1443</v>
      </c>
      <c r="C431" s="49" t="s">
        <v>203</v>
      </c>
      <c r="D431" s="49" t="s">
        <v>148</v>
      </c>
      <c r="E431" s="49" t="s">
        <v>245</v>
      </c>
      <c r="F431" s="50">
        <v>43214.0</v>
      </c>
      <c r="G431" s="50">
        <v>43217.0</v>
      </c>
      <c r="H431" s="51">
        <v>43218.68194444444</v>
      </c>
      <c r="I431" s="52">
        <v>1.0</v>
      </c>
      <c r="J431" s="53"/>
      <c r="K431" s="53"/>
    </row>
    <row r="432">
      <c r="A432" s="48" t="s">
        <v>1445</v>
      </c>
      <c r="B432" s="49" t="s">
        <v>1446</v>
      </c>
      <c r="C432" s="49" t="s">
        <v>257</v>
      </c>
      <c r="D432" s="49" t="s">
        <v>153</v>
      </c>
      <c r="E432" s="49" t="s">
        <v>245</v>
      </c>
      <c r="F432" s="50">
        <v>43213.0</v>
      </c>
      <c r="G432" s="50">
        <v>43213.0</v>
      </c>
      <c r="H432" s="51">
        <v>43213.580555555556</v>
      </c>
      <c r="I432" s="52">
        <v>1.0</v>
      </c>
      <c r="J432" s="53"/>
      <c r="K432" s="53"/>
    </row>
    <row r="433">
      <c r="A433" s="48" t="s">
        <v>1447</v>
      </c>
      <c r="B433" s="49" t="s">
        <v>1448</v>
      </c>
      <c r="C433" s="49" t="s">
        <v>257</v>
      </c>
      <c r="D433" s="49" t="s">
        <v>153</v>
      </c>
      <c r="E433" s="49" t="s">
        <v>245</v>
      </c>
      <c r="F433" s="50">
        <v>43213.0</v>
      </c>
      <c r="G433" s="50">
        <v>43213.0</v>
      </c>
      <c r="H433" s="51">
        <v>43213.58125</v>
      </c>
      <c r="I433" s="52">
        <v>1.0</v>
      </c>
      <c r="J433" s="53"/>
      <c r="K433" s="53"/>
    </row>
    <row r="434">
      <c r="A434" s="48" t="s">
        <v>1449</v>
      </c>
      <c r="B434" s="49" t="s">
        <v>1450</v>
      </c>
      <c r="C434" s="49" t="s">
        <v>221</v>
      </c>
      <c r="D434" s="49" t="s">
        <v>153</v>
      </c>
      <c r="E434" s="49" t="s">
        <v>245</v>
      </c>
      <c r="F434" s="50">
        <v>43213.0</v>
      </c>
      <c r="G434" s="50">
        <v>43213.0</v>
      </c>
      <c r="H434" s="51">
        <v>43213.58125</v>
      </c>
      <c r="I434" s="52">
        <v>1.0</v>
      </c>
      <c r="J434" s="53"/>
      <c r="K434" s="53"/>
    </row>
    <row r="435">
      <c r="A435" s="48" t="s">
        <v>1451</v>
      </c>
      <c r="B435" s="49" t="s">
        <v>1452</v>
      </c>
      <c r="C435" s="49" t="s">
        <v>221</v>
      </c>
      <c r="D435" s="49" t="s">
        <v>153</v>
      </c>
      <c r="E435" s="49" t="s">
        <v>245</v>
      </c>
      <c r="F435" s="50">
        <v>43213.0</v>
      </c>
      <c r="G435" s="50">
        <v>43213.0</v>
      </c>
      <c r="H435" s="51">
        <v>43213.58194444444</v>
      </c>
      <c r="I435" s="52">
        <v>1.0</v>
      </c>
      <c r="J435" s="53"/>
      <c r="K435" s="53"/>
    </row>
    <row r="436">
      <c r="A436" s="48" t="s">
        <v>1454</v>
      </c>
      <c r="B436" s="49" t="s">
        <v>1455</v>
      </c>
      <c r="C436" s="49" t="s">
        <v>203</v>
      </c>
      <c r="D436" s="49" t="s">
        <v>148</v>
      </c>
      <c r="E436" s="49" t="s">
        <v>245</v>
      </c>
      <c r="F436" s="50">
        <v>43213.0</v>
      </c>
      <c r="G436" s="50">
        <v>43217.0</v>
      </c>
      <c r="H436" s="51">
        <v>43218.68125</v>
      </c>
      <c r="I436" s="52">
        <v>1.0</v>
      </c>
      <c r="J436" s="53"/>
      <c r="K436" s="53"/>
    </row>
    <row r="437">
      <c r="A437" s="48" t="s">
        <v>1457</v>
      </c>
      <c r="B437" s="49" t="s">
        <v>1458</v>
      </c>
      <c r="C437" s="49" t="s">
        <v>203</v>
      </c>
      <c r="D437" s="49" t="s">
        <v>148</v>
      </c>
      <c r="E437" s="49" t="s">
        <v>245</v>
      </c>
      <c r="F437" s="50">
        <v>43213.0</v>
      </c>
      <c r="G437" s="50">
        <v>43217.0</v>
      </c>
      <c r="H437" s="51">
        <v>43218.68263888889</v>
      </c>
      <c r="I437" s="52">
        <v>1.0</v>
      </c>
      <c r="J437" s="53"/>
      <c r="K437" s="53"/>
    </row>
    <row r="438">
      <c r="A438" s="48" t="s">
        <v>1460</v>
      </c>
      <c r="B438" s="49" t="s">
        <v>1461</v>
      </c>
      <c r="C438" s="49" t="s">
        <v>203</v>
      </c>
      <c r="D438" s="49" t="s">
        <v>148</v>
      </c>
      <c r="E438" s="49" t="s">
        <v>245</v>
      </c>
      <c r="F438" s="50">
        <v>43213.0</v>
      </c>
      <c r="G438" s="50">
        <v>43217.0</v>
      </c>
      <c r="H438" s="51">
        <v>43218.683333333334</v>
      </c>
      <c r="I438" s="52">
        <v>1.0</v>
      </c>
      <c r="J438" s="53"/>
      <c r="K438" s="53"/>
    </row>
    <row r="439">
      <c r="A439" s="48" t="s">
        <v>1462</v>
      </c>
      <c r="B439" s="49" t="s">
        <v>1463</v>
      </c>
      <c r="C439" s="49" t="s">
        <v>203</v>
      </c>
      <c r="D439" s="49" t="s">
        <v>148</v>
      </c>
      <c r="E439" s="49" t="s">
        <v>245</v>
      </c>
      <c r="F439" s="50">
        <v>43213.0</v>
      </c>
      <c r="G439" s="50">
        <v>43216.0</v>
      </c>
      <c r="H439" s="51">
        <v>43218.68958333333</v>
      </c>
      <c r="I439" s="52">
        <v>1.0</v>
      </c>
      <c r="J439" s="53"/>
      <c r="K439" s="53"/>
    </row>
    <row r="440">
      <c r="A440" s="48" t="s">
        <v>1464</v>
      </c>
      <c r="B440" s="49" t="s">
        <v>1465</v>
      </c>
      <c r="C440" s="49" t="s">
        <v>203</v>
      </c>
      <c r="D440" s="49" t="s">
        <v>148</v>
      </c>
      <c r="E440" s="49" t="s">
        <v>245</v>
      </c>
      <c r="F440" s="50">
        <v>43213.0</v>
      </c>
      <c r="G440" s="50">
        <v>43217.0</v>
      </c>
      <c r="H440" s="51">
        <v>43218.68958333333</v>
      </c>
      <c r="I440" s="52">
        <v>1.0</v>
      </c>
      <c r="J440" s="53"/>
      <c r="K440" s="53"/>
    </row>
    <row r="441">
      <c r="A441" s="48" t="s">
        <v>1466</v>
      </c>
      <c r="B441" s="49" t="s">
        <v>1467</v>
      </c>
      <c r="C441" s="49" t="s">
        <v>203</v>
      </c>
      <c r="D441" s="49" t="s">
        <v>148</v>
      </c>
      <c r="E441" s="49" t="s">
        <v>245</v>
      </c>
      <c r="F441" s="50">
        <v>43213.0</v>
      </c>
      <c r="G441" s="50">
        <v>43213.0</v>
      </c>
      <c r="H441" s="51">
        <v>43218.68680555555</v>
      </c>
      <c r="I441" s="52">
        <v>1.0</v>
      </c>
      <c r="J441" s="53"/>
      <c r="K441" s="53"/>
    </row>
    <row r="442">
      <c r="A442" s="48" t="s">
        <v>1468</v>
      </c>
      <c r="B442" s="49" t="s">
        <v>1469</v>
      </c>
      <c r="C442" s="49" t="s">
        <v>257</v>
      </c>
      <c r="D442" s="49" t="s">
        <v>120</v>
      </c>
      <c r="E442" s="49" t="s">
        <v>245</v>
      </c>
      <c r="F442" s="50">
        <v>43213.0</v>
      </c>
      <c r="G442" s="50">
        <v>43213.0</v>
      </c>
      <c r="H442" s="51">
        <v>43245.674305555556</v>
      </c>
      <c r="I442" s="52">
        <v>1.0</v>
      </c>
      <c r="J442" s="53"/>
      <c r="K442" s="53"/>
    </row>
    <row r="443">
      <c r="A443" s="48" t="s">
        <v>1472</v>
      </c>
      <c r="B443" s="49" t="s">
        <v>1473</v>
      </c>
      <c r="C443" s="49" t="s">
        <v>203</v>
      </c>
      <c r="D443" s="49" t="s">
        <v>148</v>
      </c>
      <c r="E443" s="49" t="s">
        <v>245</v>
      </c>
      <c r="F443" s="50">
        <v>43213.0</v>
      </c>
      <c r="G443" s="50">
        <v>43224.0</v>
      </c>
      <c r="H443" s="51">
        <v>43238.770833333336</v>
      </c>
      <c r="I443" s="52">
        <v>1.0</v>
      </c>
      <c r="J443" s="53"/>
      <c r="K443" s="53"/>
    </row>
    <row r="444">
      <c r="A444" s="48" t="s">
        <v>1474</v>
      </c>
      <c r="B444" s="49" t="s">
        <v>1475</v>
      </c>
      <c r="C444" s="49" t="s">
        <v>243</v>
      </c>
      <c r="D444" s="49" t="s">
        <v>148</v>
      </c>
      <c r="E444" s="49" t="s">
        <v>245</v>
      </c>
      <c r="F444" s="50">
        <v>43210.0</v>
      </c>
      <c r="G444" s="50">
        <v>43217.0</v>
      </c>
      <c r="H444" s="51">
        <v>43210.42361111111</v>
      </c>
      <c r="I444" s="52">
        <v>1.0</v>
      </c>
      <c r="J444" s="53"/>
      <c r="K444" s="53"/>
    </row>
    <row r="445">
      <c r="A445" s="48" t="s">
        <v>1477</v>
      </c>
      <c r="B445" s="49" t="s">
        <v>1478</v>
      </c>
      <c r="C445" s="49" t="s">
        <v>243</v>
      </c>
      <c r="D445" s="49" t="s">
        <v>148</v>
      </c>
      <c r="E445" s="49" t="s">
        <v>245</v>
      </c>
      <c r="F445" s="50">
        <v>43210.0</v>
      </c>
      <c r="G445" s="50">
        <v>43221.0</v>
      </c>
      <c r="H445" s="51">
        <v>43210.493055555555</v>
      </c>
      <c r="I445" s="52">
        <v>1.0</v>
      </c>
      <c r="J445" s="53"/>
      <c r="K445" s="53"/>
    </row>
    <row r="446">
      <c r="A446" s="48" t="s">
        <v>1480</v>
      </c>
      <c r="B446" s="49" t="s">
        <v>1481</v>
      </c>
      <c r="C446" s="49" t="s">
        <v>257</v>
      </c>
      <c r="D446" s="49" t="s">
        <v>153</v>
      </c>
      <c r="E446" s="49" t="s">
        <v>245</v>
      </c>
      <c r="F446" s="50">
        <v>43210.0</v>
      </c>
      <c r="G446" s="50">
        <v>43210.0</v>
      </c>
      <c r="H446" s="51">
        <v>43210.7125</v>
      </c>
      <c r="I446" s="52">
        <v>1.0</v>
      </c>
      <c r="J446" s="53"/>
      <c r="K446" s="53"/>
    </row>
    <row r="447">
      <c r="A447" s="48" t="s">
        <v>1483</v>
      </c>
      <c r="B447" s="49" t="s">
        <v>1484</v>
      </c>
      <c r="C447" s="49" t="s">
        <v>257</v>
      </c>
      <c r="D447" s="49" t="s">
        <v>153</v>
      </c>
      <c r="E447" s="49" t="s">
        <v>245</v>
      </c>
      <c r="F447" s="50">
        <v>43210.0</v>
      </c>
      <c r="G447" s="50">
        <v>43210.0</v>
      </c>
      <c r="H447" s="51">
        <v>43210.7125</v>
      </c>
      <c r="I447" s="52">
        <v>1.0</v>
      </c>
      <c r="J447" s="53"/>
      <c r="K447" s="53"/>
    </row>
    <row r="448">
      <c r="A448" s="48" t="s">
        <v>1486</v>
      </c>
      <c r="B448" s="49" t="s">
        <v>1487</v>
      </c>
      <c r="C448" s="49" t="s">
        <v>257</v>
      </c>
      <c r="D448" s="49" t="s">
        <v>153</v>
      </c>
      <c r="E448" s="49" t="s">
        <v>245</v>
      </c>
      <c r="F448" s="50">
        <v>43210.0</v>
      </c>
      <c r="G448" s="50">
        <v>43210.0</v>
      </c>
      <c r="H448" s="51">
        <v>43317.175</v>
      </c>
      <c r="I448" s="52">
        <v>1.0</v>
      </c>
      <c r="J448" s="53"/>
      <c r="K448" s="53"/>
    </row>
    <row r="449">
      <c r="A449" s="48" t="s">
        <v>1488</v>
      </c>
      <c r="B449" s="49" t="s">
        <v>1489</v>
      </c>
      <c r="C449" s="49" t="s">
        <v>257</v>
      </c>
      <c r="D449" s="49" t="s">
        <v>153</v>
      </c>
      <c r="E449" s="49" t="s">
        <v>245</v>
      </c>
      <c r="F449" s="50">
        <v>43210.0</v>
      </c>
      <c r="G449" s="50">
        <v>43210.0</v>
      </c>
      <c r="H449" s="51">
        <v>43210.71319444444</v>
      </c>
      <c r="I449" s="52">
        <v>1.0</v>
      </c>
      <c r="J449" s="53"/>
      <c r="K449" s="53"/>
    </row>
    <row r="450">
      <c r="A450" s="48" t="s">
        <v>1490</v>
      </c>
      <c r="B450" s="49" t="s">
        <v>1491</v>
      </c>
      <c r="C450" s="49" t="s">
        <v>257</v>
      </c>
      <c r="D450" s="49" t="s">
        <v>153</v>
      </c>
      <c r="E450" s="49" t="s">
        <v>245</v>
      </c>
      <c r="F450" s="50">
        <v>43210.0</v>
      </c>
      <c r="G450" s="50">
        <v>43210.0</v>
      </c>
      <c r="H450" s="51">
        <v>43317.175</v>
      </c>
      <c r="I450" s="52">
        <v>1.0</v>
      </c>
      <c r="J450" s="53"/>
      <c r="K450" s="53"/>
    </row>
    <row r="451">
      <c r="A451" s="48" t="s">
        <v>1492</v>
      </c>
      <c r="B451" s="49" t="s">
        <v>1423</v>
      </c>
      <c r="C451" s="49" t="s">
        <v>221</v>
      </c>
      <c r="D451" s="49" t="s">
        <v>153</v>
      </c>
      <c r="E451" s="49" t="s">
        <v>245</v>
      </c>
      <c r="F451" s="50">
        <v>43210.0</v>
      </c>
      <c r="G451" s="50">
        <v>43210.0</v>
      </c>
      <c r="H451" s="51">
        <v>43210.714583333334</v>
      </c>
      <c r="I451" s="52">
        <v>1.0</v>
      </c>
      <c r="J451" s="53"/>
      <c r="K451" s="53"/>
    </row>
    <row r="452">
      <c r="A452" s="48" t="s">
        <v>1494</v>
      </c>
      <c r="B452" s="49" t="s">
        <v>1495</v>
      </c>
      <c r="C452" s="49" t="s">
        <v>221</v>
      </c>
      <c r="D452" s="49" t="s">
        <v>153</v>
      </c>
      <c r="E452" s="49" t="s">
        <v>245</v>
      </c>
      <c r="F452" s="50">
        <v>43210.0</v>
      </c>
      <c r="G452" s="50">
        <v>43210.0</v>
      </c>
      <c r="H452" s="51">
        <v>43317.175</v>
      </c>
      <c r="I452" s="52">
        <v>1.0</v>
      </c>
      <c r="J452" s="53"/>
      <c r="K452" s="53"/>
    </row>
    <row r="453">
      <c r="A453" s="48" t="s">
        <v>1496</v>
      </c>
      <c r="B453" s="49" t="s">
        <v>1497</v>
      </c>
      <c r="C453" s="49" t="s">
        <v>221</v>
      </c>
      <c r="D453" s="49" t="s">
        <v>153</v>
      </c>
      <c r="E453" s="49" t="s">
        <v>245</v>
      </c>
      <c r="F453" s="50">
        <v>43210.0</v>
      </c>
      <c r="G453" s="50">
        <v>43210.0</v>
      </c>
      <c r="H453" s="51">
        <v>43210.714583333334</v>
      </c>
      <c r="I453" s="52">
        <v>1.0</v>
      </c>
      <c r="J453" s="53"/>
      <c r="K453" s="53"/>
    </row>
    <row r="454">
      <c r="A454" s="48" t="s">
        <v>1498</v>
      </c>
      <c r="B454" s="49" t="s">
        <v>1499</v>
      </c>
      <c r="C454" s="49" t="s">
        <v>221</v>
      </c>
      <c r="D454" s="49" t="s">
        <v>153</v>
      </c>
      <c r="E454" s="49" t="s">
        <v>245</v>
      </c>
      <c r="F454" s="50">
        <v>43210.0</v>
      </c>
      <c r="G454" s="50">
        <v>43210.0</v>
      </c>
      <c r="H454" s="51">
        <v>43210.71527777778</v>
      </c>
      <c r="I454" s="52">
        <v>1.0</v>
      </c>
      <c r="J454" s="53"/>
      <c r="K454" s="53"/>
    </row>
    <row r="455">
      <c r="A455" s="48" t="s">
        <v>1500</v>
      </c>
      <c r="B455" s="49" t="s">
        <v>1501</v>
      </c>
      <c r="C455" s="49" t="s">
        <v>221</v>
      </c>
      <c r="D455" s="49" t="s">
        <v>153</v>
      </c>
      <c r="E455" s="49" t="s">
        <v>245</v>
      </c>
      <c r="F455" s="50">
        <v>43210.0</v>
      </c>
      <c r="G455" s="50">
        <v>43210.0</v>
      </c>
      <c r="H455" s="51">
        <v>43210.71527777778</v>
      </c>
      <c r="I455" s="52">
        <v>1.0</v>
      </c>
      <c r="J455" s="53"/>
      <c r="K455" s="53"/>
    </row>
    <row r="456">
      <c r="A456" s="48" t="s">
        <v>1503</v>
      </c>
      <c r="B456" s="49" t="s">
        <v>1504</v>
      </c>
      <c r="C456" s="49" t="s">
        <v>221</v>
      </c>
      <c r="D456" s="49" t="s">
        <v>153</v>
      </c>
      <c r="E456" s="49" t="s">
        <v>245</v>
      </c>
      <c r="F456" s="50">
        <v>43210.0</v>
      </c>
      <c r="G456" s="50">
        <v>43210.0</v>
      </c>
      <c r="H456" s="51">
        <v>43210.71527777778</v>
      </c>
      <c r="I456" s="52">
        <v>1.0</v>
      </c>
      <c r="J456" s="53"/>
      <c r="K456" s="53"/>
    </row>
    <row r="457">
      <c r="A457" s="48" t="s">
        <v>1506</v>
      </c>
      <c r="B457" s="49" t="s">
        <v>1507</v>
      </c>
      <c r="C457" s="49" t="s">
        <v>221</v>
      </c>
      <c r="D457" s="49" t="s">
        <v>153</v>
      </c>
      <c r="E457" s="49" t="s">
        <v>245</v>
      </c>
      <c r="F457" s="50">
        <v>43210.0</v>
      </c>
      <c r="G457" s="50">
        <v>43210.0</v>
      </c>
      <c r="H457" s="51">
        <v>43210.71527777778</v>
      </c>
      <c r="I457" s="52">
        <v>1.0</v>
      </c>
      <c r="J457" s="53"/>
      <c r="K457" s="53"/>
    </row>
    <row r="458">
      <c r="A458" s="48" t="s">
        <v>1508</v>
      </c>
      <c r="B458" s="49" t="s">
        <v>1509</v>
      </c>
      <c r="C458" s="49" t="s">
        <v>257</v>
      </c>
      <c r="D458" s="49" t="s">
        <v>120</v>
      </c>
      <c r="E458" s="49" t="s">
        <v>245</v>
      </c>
      <c r="F458" s="50">
        <v>43210.0</v>
      </c>
      <c r="G458" s="50">
        <v>43210.0</v>
      </c>
      <c r="H458" s="51">
        <v>43245.68125</v>
      </c>
      <c r="I458" s="52">
        <v>1.0</v>
      </c>
      <c r="J458" s="53"/>
      <c r="K458" s="53"/>
    </row>
    <row r="459">
      <c r="A459" s="48" t="s">
        <v>1511</v>
      </c>
      <c r="B459" s="49" t="s">
        <v>1512</v>
      </c>
      <c r="C459" s="49" t="s">
        <v>243</v>
      </c>
      <c r="D459" s="49" t="s">
        <v>148</v>
      </c>
      <c r="E459" s="49" t="s">
        <v>245</v>
      </c>
      <c r="F459" s="50">
        <v>43208.0</v>
      </c>
      <c r="G459" s="50">
        <v>43212.0</v>
      </c>
      <c r="H459" s="51">
        <v>43208.57430555556</v>
      </c>
      <c r="I459" s="52">
        <v>1.0</v>
      </c>
      <c r="J459" s="53"/>
      <c r="K459" s="53"/>
    </row>
    <row r="460">
      <c r="A460" s="48" t="s">
        <v>1514</v>
      </c>
      <c r="B460" s="49" t="s">
        <v>1515</v>
      </c>
      <c r="C460" s="49" t="s">
        <v>243</v>
      </c>
      <c r="D460" s="49" t="s">
        <v>148</v>
      </c>
      <c r="E460" s="49" t="s">
        <v>245</v>
      </c>
      <c r="F460" s="50">
        <v>43208.0</v>
      </c>
      <c r="G460" s="50">
        <v>43208.0</v>
      </c>
      <c r="H460" s="51">
        <v>43208.59166666667</v>
      </c>
      <c r="I460" s="52">
        <v>1.0</v>
      </c>
      <c r="J460" s="53"/>
      <c r="K460" s="53"/>
    </row>
    <row r="461">
      <c r="A461" s="48" t="s">
        <v>1517</v>
      </c>
      <c r="B461" s="49" t="s">
        <v>1518</v>
      </c>
      <c r="C461" s="49" t="s">
        <v>203</v>
      </c>
      <c r="D461" s="49" t="s">
        <v>120</v>
      </c>
      <c r="E461" s="49" t="s">
        <v>245</v>
      </c>
      <c r="F461" s="50">
        <v>43207.0</v>
      </c>
      <c r="G461" s="50">
        <v>43214.0</v>
      </c>
      <c r="H461" s="51">
        <v>43313.74236111111</v>
      </c>
      <c r="I461" s="52">
        <v>1.0</v>
      </c>
      <c r="J461" s="53"/>
      <c r="K461" s="53"/>
    </row>
    <row r="462">
      <c r="A462" s="48" t="s">
        <v>1519</v>
      </c>
      <c r="B462" s="49" t="s">
        <v>1520</v>
      </c>
      <c r="C462" s="49" t="s">
        <v>203</v>
      </c>
      <c r="D462" s="49" t="s">
        <v>310</v>
      </c>
      <c r="E462" s="49" t="s">
        <v>245</v>
      </c>
      <c r="F462" s="50">
        <v>43206.0</v>
      </c>
      <c r="G462" s="50">
        <v>43210.0</v>
      </c>
      <c r="H462" s="51">
        <v>43266.700694444444</v>
      </c>
      <c r="I462" s="52">
        <v>1.0</v>
      </c>
      <c r="J462" s="53"/>
      <c r="K462" s="53"/>
    </row>
    <row r="463">
      <c r="A463" s="48" t="s">
        <v>1521</v>
      </c>
      <c r="B463" s="49" t="s">
        <v>1522</v>
      </c>
      <c r="C463" s="49" t="s">
        <v>257</v>
      </c>
      <c r="D463" s="49" t="s">
        <v>153</v>
      </c>
      <c r="E463" s="49" t="s">
        <v>245</v>
      </c>
      <c r="F463" s="50">
        <v>43206.0</v>
      </c>
      <c r="G463" s="50">
        <v>43206.0</v>
      </c>
      <c r="H463" s="51">
        <v>43210.711805555555</v>
      </c>
      <c r="I463" s="52">
        <v>1.0</v>
      </c>
      <c r="J463" s="53"/>
      <c r="K463" s="53"/>
    </row>
    <row r="464">
      <c r="A464" s="48" t="s">
        <v>1526</v>
      </c>
      <c r="B464" s="49" t="s">
        <v>1527</v>
      </c>
      <c r="C464" s="49" t="s">
        <v>257</v>
      </c>
      <c r="D464" s="49" t="s">
        <v>153</v>
      </c>
      <c r="E464" s="49" t="s">
        <v>245</v>
      </c>
      <c r="F464" s="50">
        <v>43206.0</v>
      </c>
      <c r="G464" s="50">
        <v>43206.0</v>
      </c>
      <c r="H464" s="51">
        <v>43210.7125</v>
      </c>
      <c r="I464" s="52">
        <v>1.0</v>
      </c>
      <c r="J464" s="53"/>
      <c r="K464" s="53"/>
    </row>
    <row r="465">
      <c r="A465" s="48" t="s">
        <v>1528</v>
      </c>
      <c r="B465" s="49" t="s">
        <v>1529</v>
      </c>
      <c r="C465" s="49" t="s">
        <v>243</v>
      </c>
      <c r="D465" s="49" t="s">
        <v>148</v>
      </c>
      <c r="E465" s="49" t="s">
        <v>245</v>
      </c>
      <c r="F465" s="50">
        <v>43202.0</v>
      </c>
      <c r="G465" s="50">
        <v>43212.0</v>
      </c>
      <c r="H465" s="51">
        <v>43202.59583333333</v>
      </c>
      <c r="I465" s="52">
        <v>1.0</v>
      </c>
      <c r="J465" s="53"/>
      <c r="K465" s="53"/>
    </row>
    <row r="466">
      <c r="A466" s="48" t="s">
        <v>1530</v>
      </c>
      <c r="B466" s="49" t="s">
        <v>1531</v>
      </c>
      <c r="C466" s="49" t="s">
        <v>1403</v>
      </c>
      <c r="D466" s="49" t="s">
        <v>310</v>
      </c>
      <c r="E466" s="49" t="s">
        <v>245</v>
      </c>
      <c r="F466" s="50">
        <v>43202.0</v>
      </c>
      <c r="G466" s="50">
        <v>43202.0</v>
      </c>
      <c r="H466" s="51">
        <v>43202.74166666667</v>
      </c>
      <c r="I466" s="52">
        <v>1.0</v>
      </c>
      <c r="J466" s="53"/>
      <c r="K466" s="53"/>
    </row>
    <row r="467">
      <c r="A467" s="48" t="s">
        <v>1532</v>
      </c>
      <c r="B467" s="49" t="s">
        <v>1534</v>
      </c>
      <c r="C467" s="49" t="s">
        <v>1403</v>
      </c>
      <c r="D467" s="49" t="s">
        <v>310</v>
      </c>
      <c r="E467" s="49" t="s">
        <v>245</v>
      </c>
      <c r="F467" s="50">
        <v>43202.0</v>
      </c>
      <c r="G467" s="50">
        <v>43202.0</v>
      </c>
      <c r="H467" s="51">
        <v>43202.743055555555</v>
      </c>
      <c r="I467" s="52">
        <v>1.0</v>
      </c>
      <c r="J467" s="53"/>
      <c r="K467" s="53"/>
    </row>
    <row r="468">
      <c r="A468" s="48" t="s">
        <v>1535</v>
      </c>
      <c r="B468" s="49" t="s">
        <v>1538</v>
      </c>
      <c r="C468" s="49" t="s">
        <v>257</v>
      </c>
      <c r="D468" s="49" t="s">
        <v>120</v>
      </c>
      <c r="E468" s="49" t="s">
        <v>245</v>
      </c>
      <c r="F468" s="50">
        <v>43202.0</v>
      </c>
      <c r="G468" s="50">
        <v>43202.0</v>
      </c>
      <c r="H468" s="51">
        <v>43203.57361111111</v>
      </c>
      <c r="I468" s="52">
        <v>1.0</v>
      </c>
      <c r="J468" s="53"/>
      <c r="K468" s="53"/>
    </row>
    <row r="469">
      <c r="A469" s="48" t="s">
        <v>1539</v>
      </c>
      <c r="B469" s="49" t="s">
        <v>1540</v>
      </c>
      <c r="C469" s="49" t="s">
        <v>257</v>
      </c>
      <c r="D469" s="49" t="s">
        <v>120</v>
      </c>
      <c r="E469" s="49" t="s">
        <v>245</v>
      </c>
      <c r="F469" s="50">
        <v>43202.0</v>
      </c>
      <c r="G469" s="50">
        <v>43206.0</v>
      </c>
      <c r="H469" s="51">
        <v>43245.67569444444</v>
      </c>
      <c r="I469" s="52">
        <v>1.0</v>
      </c>
      <c r="J469" s="53"/>
      <c r="K469" s="53"/>
    </row>
    <row r="470">
      <c r="A470" s="48" t="s">
        <v>1542</v>
      </c>
      <c r="B470" s="49" t="s">
        <v>1543</v>
      </c>
      <c r="C470" s="49" t="s">
        <v>243</v>
      </c>
      <c r="D470" s="49" t="s">
        <v>148</v>
      </c>
      <c r="E470" s="49" t="s">
        <v>245</v>
      </c>
      <c r="F470" s="50">
        <v>43201.0</v>
      </c>
      <c r="G470" s="50">
        <v>43211.0</v>
      </c>
      <c r="H470" s="51">
        <v>43201.42222222222</v>
      </c>
      <c r="I470" s="52">
        <v>1.0</v>
      </c>
      <c r="J470" s="53"/>
      <c r="K470" s="53"/>
    </row>
    <row r="471">
      <c r="A471" s="48" t="s">
        <v>1546</v>
      </c>
      <c r="B471" s="49" t="s">
        <v>1547</v>
      </c>
      <c r="C471" s="49" t="s">
        <v>1403</v>
      </c>
      <c r="D471" s="49" t="s">
        <v>310</v>
      </c>
      <c r="E471" s="49" t="s">
        <v>245</v>
      </c>
      <c r="F471" s="50">
        <v>43201.0</v>
      </c>
      <c r="G471" s="50">
        <v>43201.0</v>
      </c>
      <c r="H471" s="51">
        <v>43201.69652777778</v>
      </c>
      <c r="I471" s="52">
        <v>1.0</v>
      </c>
      <c r="J471" s="53"/>
      <c r="K471" s="53"/>
    </row>
    <row r="472">
      <c r="A472" s="48" t="s">
        <v>1548</v>
      </c>
      <c r="B472" s="49" t="s">
        <v>1550</v>
      </c>
      <c r="C472" s="49" t="s">
        <v>243</v>
      </c>
      <c r="D472" s="49" t="s">
        <v>148</v>
      </c>
      <c r="E472" s="49" t="s">
        <v>245</v>
      </c>
      <c r="F472" s="50">
        <v>43200.0</v>
      </c>
      <c r="G472" s="50">
        <v>43211.0</v>
      </c>
      <c r="H472" s="51">
        <v>43200.638194444444</v>
      </c>
      <c r="I472" s="52">
        <v>1.0</v>
      </c>
      <c r="J472" s="53"/>
      <c r="K472" s="53"/>
    </row>
    <row r="473">
      <c r="A473" s="48" t="s">
        <v>1551</v>
      </c>
      <c r="B473" s="49" t="s">
        <v>1552</v>
      </c>
      <c r="C473" s="49" t="s">
        <v>1403</v>
      </c>
      <c r="D473" s="49" t="s">
        <v>310</v>
      </c>
      <c r="E473" s="49" t="s">
        <v>245</v>
      </c>
      <c r="F473" s="50">
        <v>43200.0</v>
      </c>
      <c r="G473" s="50">
        <v>43200.0</v>
      </c>
      <c r="H473" s="51">
        <v>43201.69583333333</v>
      </c>
      <c r="I473" s="52">
        <v>1.0</v>
      </c>
      <c r="J473" s="53"/>
      <c r="K473" s="53"/>
    </row>
    <row r="474">
      <c r="A474" s="48" t="s">
        <v>1555</v>
      </c>
      <c r="B474" s="49" t="s">
        <v>1556</v>
      </c>
      <c r="C474" s="49" t="s">
        <v>257</v>
      </c>
      <c r="D474" s="49" t="s">
        <v>120</v>
      </c>
      <c r="E474" s="49" t="s">
        <v>245</v>
      </c>
      <c r="F474" s="50">
        <v>43199.0</v>
      </c>
      <c r="G474" s="50">
        <v>43203.0</v>
      </c>
      <c r="H474" s="51">
        <v>43210.71944444445</v>
      </c>
      <c r="I474" s="52">
        <v>1.0</v>
      </c>
      <c r="J474" s="53"/>
      <c r="K474" s="53"/>
    </row>
    <row r="475">
      <c r="A475" s="48" t="s">
        <v>1557</v>
      </c>
      <c r="B475" s="49" t="s">
        <v>1558</v>
      </c>
      <c r="C475" s="49" t="s">
        <v>257</v>
      </c>
      <c r="D475" s="49" t="s">
        <v>120</v>
      </c>
      <c r="E475" s="49" t="s">
        <v>245</v>
      </c>
      <c r="F475" s="50">
        <v>43194.0</v>
      </c>
      <c r="G475" s="50">
        <v>43201.0</v>
      </c>
      <c r="H475" s="51">
        <v>43210.71944444445</v>
      </c>
      <c r="I475" s="52">
        <v>1.0</v>
      </c>
      <c r="J475" s="53"/>
      <c r="K475" s="53"/>
    </row>
    <row r="476">
      <c r="A476" s="48" t="s">
        <v>1562</v>
      </c>
      <c r="B476" s="49" t="s">
        <v>1563</v>
      </c>
      <c r="C476" s="49" t="s">
        <v>257</v>
      </c>
      <c r="D476" s="49" t="s">
        <v>120</v>
      </c>
      <c r="E476" s="49" t="s">
        <v>245</v>
      </c>
      <c r="F476" s="50">
        <v>43194.0</v>
      </c>
      <c r="G476" s="50">
        <v>43201.0</v>
      </c>
      <c r="H476" s="51">
        <v>43245.68125</v>
      </c>
      <c r="I476" s="52">
        <v>1.0</v>
      </c>
      <c r="J476" s="53"/>
      <c r="K476" s="53"/>
    </row>
    <row r="477">
      <c r="A477" s="48" t="s">
        <v>1567</v>
      </c>
      <c r="B477" s="49" t="s">
        <v>1568</v>
      </c>
      <c r="C477" s="49" t="s">
        <v>257</v>
      </c>
      <c r="D477" s="49" t="s">
        <v>120</v>
      </c>
      <c r="E477" s="49" t="s">
        <v>245</v>
      </c>
      <c r="F477" s="50">
        <v>43194.0</v>
      </c>
      <c r="G477" s="50">
        <v>43201.0</v>
      </c>
      <c r="H477" s="51">
        <v>43245.67569444444</v>
      </c>
      <c r="I477" s="52">
        <v>1.0</v>
      </c>
      <c r="J477" s="53"/>
      <c r="K477" s="53"/>
    </row>
    <row r="478">
      <c r="A478" s="48" t="s">
        <v>1570</v>
      </c>
      <c r="B478" s="49" t="s">
        <v>1571</v>
      </c>
      <c r="C478" s="49" t="s">
        <v>379</v>
      </c>
      <c r="D478" s="49" t="s">
        <v>153</v>
      </c>
      <c r="E478" s="49" t="s">
        <v>277</v>
      </c>
      <c r="F478" s="50">
        <v>43193.0</v>
      </c>
      <c r="G478" s="50">
        <v>43224.0</v>
      </c>
      <c r="H478" s="51">
        <v>43264.611805555556</v>
      </c>
      <c r="I478" s="52">
        <v>0.0</v>
      </c>
      <c r="J478" s="53"/>
      <c r="K478" s="53"/>
    </row>
    <row r="479">
      <c r="A479" s="48" t="s">
        <v>1572</v>
      </c>
      <c r="B479" s="49" t="s">
        <v>1573</v>
      </c>
      <c r="C479" s="49" t="s">
        <v>243</v>
      </c>
      <c r="D479" s="49" t="s">
        <v>148</v>
      </c>
      <c r="E479" s="49" t="s">
        <v>245</v>
      </c>
      <c r="F479" s="50">
        <v>43193.0</v>
      </c>
      <c r="G479" s="50">
        <v>43201.0</v>
      </c>
      <c r="H479" s="51">
        <v>43193.700694444444</v>
      </c>
      <c r="I479" s="52">
        <v>1.0</v>
      </c>
      <c r="J479" s="53"/>
      <c r="K479" s="53"/>
    </row>
    <row r="480">
      <c r="A480" s="48" t="s">
        <v>1574</v>
      </c>
      <c r="B480" s="49" t="s">
        <v>1575</v>
      </c>
      <c r="C480" s="49" t="s">
        <v>243</v>
      </c>
      <c r="D480" s="49" t="s">
        <v>148</v>
      </c>
      <c r="E480" s="49" t="s">
        <v>245</v>
      </c>
      <c r="F480" s="50">
        <v>43193.0</v>
      </c>
      <c r="G480" s="50">
        <v>43202.0</v>
      </c>
      <c r="H480" s="51">
        <v>43193.48819444444</v>
      </c>
      <c r="I480" s="52">
        <v>1.0</v>
      </c>
      <c r="J480" s="53"/>
      <c r="K480" s="53"/>
    </row>
    <row r="481">
      <c r="A481" s="48" t="s">
        <v>1578</v>
      </c>
      <c r="B481" s="49" t="s">
        <v>1579</v>
      </c>
      <c r="C481" s="49" t="s">
        <v>257</v>
      </c>
      <c r="D481" s="49" t="s">
        <v>120</v>
      </c>
      <c r="E481" s="49" t="s">
        <v>245</v>
      </c>
      <c r="F481" s="50">
        <v>43193.0</v>
      </c>
      <c r="G481" s="50">
        <v>43194.0</v>
      </c>
      <c r="H481" s="51">
        <v>43210.720138888886</v>
      </c>
      <c r="I481" s="52">
        <v>1.0</v>
      </c>
      <c r="J481" s="53"/>
      <c r="K481" s="53"/>
    </row>
    <row r="482">
      <c r="A482" s="48" t="s">
        <v>1580</v>
      </c>
      <c r="B482" s="49" t="s">
        <v>1581</v>
      </c>
      <c r="C482" s="49" t="s">
        <v>379</v>
      </c>
      <c r="D482" s="49" t="s">
        <v>120</v>
      </c>
      <c r="E482" s="49" t="s">
        <v>204</v>
      </c>
      <c r="F482" s="50">
        <v>43192.0</v>
      </c>
      <c r="G482" s="50">
        <v>43224.0</v>
      </c>
      <c r="H482" s="51">
        <v>43189.64444444444</v>
      </c>
      <c r="I482" s="52">
        <v>0.0</v>
      </c>
      <c r="J482" s="53"/>
      <c r="K482" s="53"/>
    </row>
    <row r="483">
      <c r="A483" s="48" t="s">
        <v>1583</v>
      </c>
      <c r="B483" s="49" t="s">
        <v>1584</v>
      </c>
      <c r="C483" s="49" t="s">
        <v>257</v>
      </c>
      <c r="D483" s="49" t="s">
        <v>120</v>
      </c>
      <c r="E483" s="49" t="s">
        <v>245</v>
      </c>
      <c r="F483" s="50">
        <v>43192.0</v>
      </c>
      <c r="G483" s="50">
        <v>43203.0</v>
      </c>
      <c r="H483" s="51">
        <v>43210.720138888886</v>
      </c>
      <c r="I483" s="52">
        <v>1.0</v>
      </c>
      <c r="J483" s="53"/>
      <c r="K483" s="53"/>
    </row>
    <row r="484">
      <c r="A484" s="48" t="s">
        <v>1586</v>
      </c>
      <c r="B484" s="49" t="s">
        <v>1588</v>
      </c>
      <c r="C484" s="49" t="s">
        <v>379</v>
      </c>
      <c r="D484" s="49" t="s">
        <v>148</v>
      </c>
      <c r="E484" s="49" t="s">
        <v>277</v>
      </c>
      <c r="F484" s="50">
        <v>43188.0</v>
      </c>
      <c r="G484" s="50">
        <v>43189.0</v>
      </c>
      <c r="H484" s="51">
        <v>43188.691666666666</v>
      </c>
      <c r="I484" s="52">
        <v>0.0</v>
      </c>
      <c r="J484" s="53"/>
      <c r="K484" s="53"/>
    </row>
    <row r="485">
      <c r="A485" s="48" t="s">
        <v>1590</v>
      </c>
      <c r="B485" s="49" t="s">
        <v>1591</v>
      </c>
      <c r="C485" s="49" t="s">
        <v>379</v>
      </c>
      <c r="D485" s="49" t="s">
        <v>148</v>
      </c>
      <c r="E485" s="49" t="s">
        <v>277</v>
      </c>
      <c r="F485" s="50">
        <v>43188.0</v>
      </c>
      <c r="G485" s="50">
        <v>43189.0</v>
      </c>
      <c r="H485" s="51">
        <v>43201.45763888889</v>
      </c>
      <c r="I485" s="52">
        <v>0.0</v>
      </c>
      <c r="J485" s="53"/>
      <c r="K485" s="53"/>
    </row>
    <row r="486">
      <c r="A486" s="48" t="s">
        <v>1592</v>
      </c>
      <c r="B486" s="49" t="s">
        <v>1593</v>
      </c>
      <c r="C486" s="49" t="s">
        <v>379</v>
      </c>
      <c r="D486" s="49" t="s">
        <v>148</v>
      </c>
      <c r="E486" s="49" t="s">
        <v>245</v>
      </c>
      <c r="F486" s="50">
        <v>43188.0</v>
      </c>
      <c r="G486" s="50">
        <v>43189.0</v>
      </c>
      <c r="H486" s="51">
        <v>43189.875</v>
      </c>
      <c r="I486" s="52">
        <v>1.0</v>
      </c>
      <c r="J486" s="53"/>
      <c r="K486" s="53"/>
    </row>
    <row r="487">
      <c r="A487" s="48" t="s">
        <v>1595</v>
      </c>
      <c r="B487" s="49" t="s">
        <v>1596</v>
      </c>
      <c r="C487" s="49" t="s">
        <v>243</v>
      </c>
      <c r="D487" s="49" t="s">
        <v>148</v>
      </c>
      <c r="E487" s="49" t="s">
        <v>245</v>
      </c>
      <c r="F487" s="50">
        <v>43188.0</v>
      </c>
      <c r="G487" s="50">
        <v>43188.0</v>
      </c>
      <c r="H487" s="51">
        <v>43189.87569444445</v>
      </c>
      <c r="I487" s="52">
        <v>1.0</v>
      </c>
      <c r="J487" s="53"/>
      <c r="K487" s="53"/>
    </row>
    <row r="488">
      <c r="A488" s="48" t="s">
        <v>1597</v>
      </c>
      <c r="B488" s="49" t="s">
        <v>1598</v>
      </c>
      <c r="C488" s="49" t="s">
        <v>1403</v>
      </c>
      <c r="D488" s="49" t="s">
        <v>310</v>
      </c>
      <c r="E488" s="49" t="s">
        <v>245</v>
      </c>
      <c r="F488" s="50">
        <v>43188.0</v>
      </c>
      <c r="G488" s="50">
        <v>43188.0</v>
      </c>
      <c r="H488" s="51">
        <v>43188.774305555555</v>
      </c>
      <c r="I488" s="52">
        <v>1.0</v>
      </c>
      <c r="J488" s="53"/>
      <c r="K488" s="53"/>
    </row>
    <row r="489">
      <c r="A489" s="48" t="s">
        <v>1600</v>
      </c>
      <c r="B489" s="49" t="s">
        <v>1601</v>
      </c>
      <c r="C489" s="49" t="s">
        <v>243</v>
      </c>
      <c r="D489" s="49" t="s">
        <v>148</v>
      </c>
      <c r="E489" s="49" t="s">
        <v>245</v>
      </c>
      <c r="F489" s="50">
        <v>43187.0</v>
      </c>
      <c r="G489" s="50">
        <v>43198.0</v>
      </c>
      <c r="H489" s="51">
        <v>43187.68541666667</v>
      </c>
      <c r="I489" s="52">
        <v>1.0</v>
      </c>
      <c r="J489" s="53"/>
      <c r="K489" s="53"/>
    </row>
    <row r="490">
      <c r="A490" s="48" t="s">
        <v>1602</v>
      </c>
      <c r="B490" s="49" t="s">
        <v>1603</v>
      </c>
      <c r="C490" s="49" t="s">
        <v>243</v>
      </c>
      <c r="D490" s="49" t="s">
        <v>148</v>
      </c>
      <c r="E490" s="49" t="s">
        <v>245</v>
      </c>
      <c r="F490" s="50">
        <v>43187.0</v>
      </c>
      <c r="G490" s="50">
        <v>43191.0</v>
      </c>
      <c r="H490" s="51">
        <v>43187.660416666666</v>
      </c>
      <c r="I490" s="52">
        <v>1.0</v>
      </c>
      <c r="J490" s="53"/>
      <c r="K490" s="53"/>
    </row>
    <row r="491">
      <c r="A491" s="48" t="s">
        <v>1605</v>
      </c>
      <c r="B491" s="49" t="s">
        <v>1606</v>
      </c>
      <c r="C491" s="49" t="s">
        <v>243</v>
      </c>
      <c r="D491" s="49" t="s">
        <v>148</v>
      </c>
      <c r="E491" s="49" t="s">
        <v>245</v>
      </c>
      <c r="F491" s="50">
        <v>43187.0</v>
      </c>
      <c r="G491" s="50">
        <v>43190.0</v>
      </c>
      <c r="H491" s="51">
        <v>43187.458333333336</v>
      </c>
      <c r="I491" s="52">
        <v>1.0</v>
      </c>
      <c r="J491" s="53"/>
      <c r="K491" s="53"/>
    </row>
    <row r="492">
      <c r="A492" s="48" t="s">
        <v>1607</v>
      </c>
      <c r="B492" s="49" t="s">
        <v>1609</v>
      </c>
      <c r="C492" s="49" t="s">
        <v>243</v>
      </c>
      <c r="D492" s="49" t="s">
        <v>148</v>
      </c>
      <c r="E492" s="49" t="s">
        <v>245</v>
      </c>
      <c r="F492" s="50">
        <v>43187.0</v>
      </c>
      <c r="G492" s="50">
        <v>43190.0</v>
      </c>
      <c r="H492" s="51">
        <v>43187.45347222222</v>
      </c>
      <c r="I492" s="52">
        <v>1.0</v>
      </c>
      <c r="J492" s="53"/>
      <c r="K492" s="53"/>
    </row>
    <row r="493">
      <c r="A493" s="48" t="s">
        <v>1610</v>
      </c>
      <c r="B493" s="49" t="s">
        <v>1612</v>
      </c>
      <c r="C493" s="49" t="s">
        <v>379</v>
      </c>
      <c r="D493" s="49" t="s">
        <v>148</v>
      </c>
      <c r="E493" s="49" t="s">
        <v>245</v>
      </c>
      <c r="F493" s="50">
        <v>43187.0</v>
      </c>
      <c r="G493" s="50">
        <v>43189.0</v>
      </c>
      <c r="H493" s="51">
        <v>43189.875</v>
      </c>
      <c r="I493" s="52">
        <v>1.0</v>
      </c>
      <c r="J493" s="53"/>
      <c r="K493" s="53"/>
    </row>
    <row r="494">
      <c r="A494" s="48" t="s">
        <v>1614</v>
      </c>
      <c r="B494" s="49" t="s">
        <v>1615</v>
      </c>
      <c r="C494" s="49" t="s">
        <v>379</v>
      </c>
      <c r="D494" s="49" t="s">
        <v>148</v>
      </c>
      <c r="E494" s="49" t="s">
        <v>245</v>
      </c>
      <c r="F494" s="50">
        <v>43187.0</v>
      </c>
      <c r="G494" s="50">
        <v>43189.0</v>
      </c>
      <c r="H494" s="51">
        <v>43189.875</v>
      </c>
      <c r="I494" s="52">
        <v>1.0</v>
      </c>
      <c r="J494" s="53"/>
      <c r="K494" s="53"/>
    </row>
    <row r="495">
      <c r="A495" s="48" t="s">
        <v>1616</v>
      </c>
      <c r="B495" s="49" t="s">
        <v>1617</v>
      </c>
      <c r="C495" s="49" t="s">
        <v>379</v>
      </c>
      <c r="D495" s="49" t="s">
        <v>148</v>
      </c>
      <c r="E495" s="49" t="s">
        <v>245</v>
      </c>
      <c r="F495" s="50">
        <v>43187.0</v>
      </c>
      <c r="G495" s="50">
        <v>43189.0</v>
      </c>
      <c r="H495" s="51">
        <v>43189.875</v>
      </c>
      <c r="I495" s="52">
        <v>1.0</v>
      </c>
      <c r="J495" s="53"/>
      <c r="K495" s="53"/>
    </row>
    <row r="496">
      <c r="A496" s="48" t="s">
        <v>1619</v>
      </c>
      <c r="B496" s="49" t="s">
        <v>1620</v>
      </c>
      <c r="C496" s="49" t="s">
        <v>243</v>
      </c>
      <c r="D496" s="49" t="s">
        <v>148</v>
      </c>
      <c r="E496" s="49" t="s">
        <v>245</v>
      </c>
      <c r="F496" s="50">
        <v>43187.0</v>
      </c>
      <c r="G496" s="50">
        <v>43187.0</v>
      </c>
      <c r="H496" s="51">
        <v>43189.875</v>
      </c>
      <c r="I496" s="52">
        <v>1.0</v>
      </c>
      <c r="J496" s="53"/>
      <c r="K496" s="53"/>
    </row>
    <row r="497">
      <c r="A497" s="48" t="s">
        <v>1622</v>
      </c>
      <c r="B497" s="49" t="s">
        <v>1623</v>
      </c>
      <c r="C497" s="49" t="s">
        <v>1403</v>
      </c>
      <c r="D497" s="49" t="s">
        <v>310</v>
      </c>
      <c r="E497" s="49" t="s">
        <v>245</v>
      </c>
      <c r="F497" s="50">
        <v>43187.0</v>
      </c>
      <c r="G497" s="50">
        <v>43187.0</v>
      </c>
      <c r="H497" s="51">
        <v>43188.77569444444</v>
      </c>
      <c r="I497" s="52">
        <v>1.0</v>
      </c>
      <c r="J497" s="53"/>
      <c r="K497" s="53"/>
    </row>
    <row r="498">
      <c r="A498" s="48" t="s">
        <v>1626</v>
      </c>
      <c r="B498" s="49" t="s">
        <v>1628</v>
      </c>
      <c r="C498" s="49" t="s">
        <v>1403</v>
      </c>
      <c r="D498" s="49" t="s">
        <v>310</v>
      </c>
      <c r="E498" s="49" t="s">
        <v>245</v>
      </c>
      <c r="F498" s="50">
        <v>43187.0</v>
      </c>
      <c r="G498" s="50">
        <v>43187.0</v>
      </c>
      <c r="H498" s="51">
        <v>43188.77569444444</v>
      </c>
      <c r="I498" s="52">
        <v>1.0</v>
      </c>
      <c r="J498" s="53"/>
      <c r="K498" s="53"/>
    </row>
    <row r="499">
      <c r="A499" s="48" t="s">
        <v>1630</v>
      </c>
      <c r="B499" s="49" t="s">
        <v>1631</v>
      </c>
      <c r="C499" s="49" t="s">
        <v>203</v>
      </c>
      <c r="D499" s="49" t="s">
        <v>140</v>
      </c>
      <c r="E499" s="49" t="s">
        <v>245</v>
      </c>
      <c r="F499" s="50">
        <v>43187.0</v>
      </c>
      <c r="G499" s="50">
        <v>43187.0</v>
      </c>
      <c r="H499" s="51">
        <v>43266.70625</v>
      </c>
      <c r="I499" s="52">
        <v>1.0</v>
      </c>
      <c r="J499" s="53"/>
      <c r="K499" s="53"/>
    </row>
    <row r="500">
      <c r="A500" s="48" t="s">
        <v>1634</v>
      </c>
      <c r="B500" s="49" t="s">
        <v>1635</v>
      </c>
      <c r="C500" s="49" t="s">
        <v>257</v>
      </c>
      <c r="D500" s="49" t="s">
        <v>153</v>
      </c>
      <c r="E500" s="49" t="s">
        <v>245</v>
      </c>
      <c r="F500" s="50">
        <v>43186.0</v>
      </c>
      <c r="G500" s="50">
        <v>43186.0</v>
      </c>
      <c r="H500" s="51">
        <v>43186.65416666667</v>
      </c>
      <c r="I500" s="52">
        <v>1.0</v>
      </c>
      <c r="J500" s="53"/>
      <c r="K500" s="53"/>
    </row>
    <row r="501">
      <c r="A501" s="48" t="s">
        <v>1637</v>
      </c>
      <c r="B501" s="49" t="s">
        <v>1638</v>
      </c>
      <c r="C501" s="49" t="s">
        <v>221</v>
      </c>
      <c r="D501" s="49" t="s">
        <v>153</v>
      </c>
      <c r="E501" s="49" t="s">
        <v>245</v>
      </c>
      <c r="F501" s="50">
        <v>43186.0</v>
      </c>
      <c r="G501" s="50">
        <v>43186.0</v>
      </c>
      <c r="H501" s="51">
        <v>43186.654861111114</v>
      </c>
      <c r="I501" s="52">
        <v>1.0</v>
      </c>
      <c r="J501" s="53"/>
      <c r="K501" s="53"/>
    </row>
    <row r="502">
      <c r="A502" s="48" t="s">
        <v>1639</v>
      </c>
      <c r="B502" s="49" t="s">
        <v>1641</v>
      </c>
      <c r="C502" s="49" t="s">
        <v>243</v>
      </c>
      <c r="D502" s="49" t="s">
        <v>148</v>
      </c>
      <c r="E502" s="49" t="s">
        <v>245</v>
      </c>
      <c r="F502" s="50">
        <v>43186.0</v>
      </c>
      <c r="G502" s="50">
        <v>43190.0</v>
      </c>
      <c r="H502" s="51">
        <v>43186.48125</v>
      </c>
      <c r="I502" s="52">
        <v>1.0</v>
      </c>
      <c r="J502" s="53"/>
      <c r="K502" s="53"/>
    </row>
    <row r="503">
      <c r="A503" s="48" t="s">
        <v>1642</v>
      </c>
      <c r="B503" s="49" t="s">
        <v>1643</v>
      </c>
      <c r="C503" s="49" t="s">
        <v>257</v>
      </c>
      <c r="D503" s="49" t="s">
        <v>120</v>
      </c>
      <c r="E503" s="49" t="s">
        <v>245</v>
      </c>
      <c r="F503" s="50">
        <v>43186.0</v>
      </c>
      <c r="G503" s="50">
        <v>43187.0</v>
      </c>
      <c r="H503" s="51">
        <v>43192.393055555556</v>
      </c>
      <c r="I503" s="52">
        <v>1.0</v>
      </c>
      <c r="J503" s="53"/>
      <c r="K503" s="53"/>
    </row>
    <row r="504">
      <c r="A504" s="48" t="s">
        <v>1646</v>
      </c>
      <c r="B504" s="49" t="s">
        <v>1647</v>
      </c>
      <c r="C504" s="49" t="s">
        <v>257</v>
      </c>
      <c r="D504" s="49" t="s">
        <v>120</v>
      </c>
      <c r="E504" s="49" t="s">
        <v>245</v>
      </c>
      <c r="F504" s="50">
        <v>43186.0</v>
      </c>
      <c r="G504" s="50">
        <v>43187.0</v>
      </c>
      <c r="H504" s="51">
        <v>43203.57430555556</v>
      </c>
      <c r="I504" s="52">
        <v>1.0</v>
      </c>
      <c r="J504" s="53"/>
      <c r="K504" s="53"/>
    </row>
    <row r="505">
      <c r="A505" s="48" t="s">
        <v>1649</v>
      </c>
      <c r="B505" s="49" t="s">
        <v>1650</v>
      </c>
      <c r="C505" s="49" t="s">
        <v>379</v>
      </c>
      <c r="D505" s="49" t="s">
        <v>153</v>
      </c>
      <c r="E505" s="49" t="s">
        <v>277</v>
      </c>
      <c r="F505" s="50">
        <v>43185.0</v>
      </c>
      <c r="G505" s="50">
        <v>43189.0</v>
      </c>
      <c r="H505" s="51">
        <v>43264.61111111111</v>
      </c>
      <c r="I505" s="52">
        <v>0.0</v>
      </c>
      <c r="J505" s="53"/>
      <c r="K505" s="53"/>
    </row>
    <row r="506">
      <c r="A506" s="48" t="s">
        <v>1651</v>
      </c>
      <c r="B506" s="49" t="s">
        <v>1652</v>
      </c>
      <c r="C506" s="49" t="s">
        <v>379</v>
      </c>
      <c r="D506" s="49" t="s">
        <v>1653</v>
      </c>
      <c r="E506" s="49" t="s">
        <v>245</v>
      </c>
      <c r="F506" s="50">
        <v>43185.0</v>
      </c>
      <c r="G506" s="50">
        <v>43189.0</v>
      </c>
      <c r="H506" s="51">
        <v>43189.61597222222</v>
      </c>
      <c r="I506" s="52">
        <v>1.0</v>
      </c>
      <c r="J506" s="53"/>
      <c r="K506" s="53"/>
    </row>
    <row r="507">
      <c r="A507" s="48" t="s">
        <v>1654</v>
      </c>
      <c r="B507" s="49" t="s">
        <v>1655</v>
      </c>
      <c r="C507" s="49" t="s">
        <v>243</v>
      </c>
      <c r="D507" s="49" t="s">
        <v>148</v>
      </c>
      <c r="E507" s="49" t="s">
        <v>245</v>
      </c>
      <c r="F507" s="50">
        <v>43185.0</v>
      </c>
      <c r="G507" s="50">
        <v>43185.0</v>
      </c>
      <c r="H507" s="51">
        <v>43189.87430555555</v>
      </c>
      <c r="I507" s="52">
        <v>1.0</v>
      </c>
      <c r="J507" s="53"/>
      <c r="K507" s="53"/>
    </row>
    <row r="508">
      <c r="A508" s="48" t="s">
        <v>1656</v>
      </c>
      <c r="B508" s="49" t="s">
        <v>1658</v>
      </c>
      <c r="C508" s="49" t="s">
        <v>243</v>
      </c>
      <c r="D508" s="49" t="s">
        <v>1653</v>
      </c>
      <c r="E508" s="49" t="s">
        <v>245</v>
      </c>
      <c r="F508" s="50">
        <v>43185.0</v>
      </c>
      <c r="G508" s="50">
        <v>43185.0</v>
      </c>
      <c r="H508" s="51">
        <v>43186.82083333333</v>
      </c>
      <c r="I508" s="52">
        <v>1.0</v>
      </c>
      <c r="J508" s="53"/>
      <c r="K508" s="53"/>
    </row>
    <row r="509">
      <c r="A509" s="48" t="s">
        <v>1659</v>
      </c>
      <c r="B509" s="49" t="s">
        <v>1660</v>
      </c>
      <c r="C509" s="49" t="s">
        <v>379</v>
      </c>
      <c r="D509" s="49" t="s">
        <v>153</v>
      </c>
      <c r="E509" s="49" t="s">
        <v>245</v>
      </c>
      <c r="F509" s="50">
        <v>43185.0</v>
      </c>
      <c r="G509" s="50">
        <v>43185.0</v>
      </c>
      <c r="H509" s="51">
        <v>43189.87430555555</v>
      </c>
      <c r="I509" s="52">
        <v>1.0</v>
      </c>
      <c r="J509" s="53"/>
      <c r="K509" s="53"/>
    </row>
    <row r="510">
      <c r="A510" s="48" t="s">
        <v>1663</v>
      </c>
      <c r="B510" s="49" t="s">
        <v>1664</v>
      </c>
      <c r="C510" s="49" t="s">
        <v>379</v>
      </c>
      <c r="D510" s="49" t="s">
        <v>148</v>
      </c>
      <c r="E510" s="49" t="s">
        <v>245</v>
      </c>
      <c r="F510" s="50">
        <v>43185.0</v>
      </c>
      <c r="G510" s="50">
        <v>43185.0</v>
      </c>
      <c r="H510" s="51">
        <v>43189.87430555555</v>
      </c>
      <c r="I510" s="52">
        <v>1.0</v>
      </c>
      <c r="J510" s="53"/>
      <c r="K510" s="53"/>
    </row>
    <row r="511">
      <c r="A511" s="48" t="s">
        <v>1665</v>
      </c>
      <c r="B511" s="49" t="s">
        <v>1666</v>
      </c>
      <c r="C511" s="49" t="s">
        <v>257</v>
      </c>
      <c r="D511" s="49" t="s">
        <v>153</v>
      </c>
      <c r="E511" s="49" t="s">
        <v>245</v>
      </c>
      <c r="F511" s="50">
        <v>43185.0</v>
      </c>
      <c r="G511" s="50">
        <v>43185.0</v>
      </c>
      <c r="H511" s="51">
        <v>43186.425</v>
      </c>
      <c r="I511" s="52">
        <v>1.0</v>
      </c>
      <c r="J511" s="53"/>
      <c r="K511" s="53"/>
    </row>
    <row r="512">
      <c r="A512" s="48" t="s">
        <v>1669</v>
      </c>
      <c r="B512" s="49" t="s">
        <v>1670</v>
      </c>
      <c r="C512" s="49" t="s">
        <v>221</v>
      </c>
      <c r="D512" s="49" t="s">
        <v>153</v>
      </c>
      <c r="E512" s="49" t="s">
        <v>245</v>
      </c>
      <c r="F512" s="50">
        <v>43185.0</v>
      </c>
      <c r="G512" s="50">
        <v>43185.0</v>
      </c>
      <c r="H512" s="51">
        <v>43186.425</v>
      </c>
      <c r="I512" s="52">
        <v>1.0</v>
      </c>
      <c r="J512" s="53"/>
      <c r="K512" s="53"/>
    </row>
    <row r="513">
      <c r="A513" s="48" t="s">
        <v>1671</v>
      </c>
      <c r="B513" s="49" t="s">
        <v>1672</v>
      </c>
      <c r="C513" s="49" t="s">
        <v>203</v>
      </c>
      <c r="D513" s="49" t="s">
        <v>140</v>
      </c>
      <c r="E513" s="49" t="s">
        <v>245</v>
      </c>
      <c r="F513" s="50">
        <v>43185.0</v>
      </c>
      <c r="G513" s="50">
        <v>43189.0</v>
      </c>
      <c r="H513" s="51">
        <v>43266.70625</v>
      </c>
      <c r="I513" s="52">
        <v>1.0</v>
      </c>
      <c r="J513" s="53"/>
      <c r="K513" s="53"/>
    </row>
    <row r="514">
      <c r="A514" s="48" t="s">
        <v>1674</v>
      </c>
      <c r="B514" s="49" t="s">
        <v>1675</v>
      </c>
      <c r="C514" s="49" t="s">
        <v>1676</v>
      </c>
      <c r="D514" s="49" t="s">
        <v>120</v>
      </c>
      <c r="E514" s="49" t="s">
        <v>277</v>
      </c>
      <c r="F514" s="50">
        <v>43181.0</v>
      </c>
      <c r="G514" s="50">
        <v>43187.0</v>
      </c>
      <c r="H514" s="51">
        <v>43181.5875</v>
      </c>
      <c r="I514" s="52">
        <v>0.0</v>
      </c>
      <c r="J514" s="53"/>
      <c r="K514" s="53"/>
    </row>
    <row r="515">
      <c r="A515" s="48" t="s">
        <v>1677</v>
      </c>
      <c r="B515" s="49" t="s">
        <v>1678</v>
      </c>
      <c r="C515" s="49" t="s">
        <v>379</v>
      </c>
      <c r="D515" s="49" t="s">
        <v>120</v>
      </c>
      <c r="E515" s="49" t="s">
        <v>245</v>
      </c>
      <c r="F515" s="50">
        <v>43181.0</v>
      </c>
      <c r="G515" s="50">
        <v>43182.0</v>
      </c>
      <c r="H515" s="51">
        <v>43189.87430555555</v>
      </c>
      <c r="I515" s="52">
        <v>1.0</v>
      </c>
      <c r="J515" s="53"/>
      <c r="K515" s="53"/>
    </row>
    <row r="516">
      <c r="A516" s="48" t="s">
        <v>1680</v>
      </c>
      <c r="B516" s="49" t="s">
        <v>1681</v>
      </c>
      <c r="C516" s="49" t="s">
        <v>257</v>
      </c>
      <c r="D516" s="49" t="s">
        <v>153</v>
      </c>
      <c r="E516" s="49" t="s">
        <v>245</v>
      </c>
      <c r="F516" s="50">
        <v>43181.0</v>
      </c>
      <c r="G516" s="50">
        <v>43181.0</v>
      </c>
      <c r="H516" s="51">
        <v>43181.5875</v>
      </c>
      <c r="I516" s="52">
        <v>1.0</v>
      </c>
      <c r="J516" s="53"/>
      <c r="K516" s="53"/>
    </row>
    <row r="517">
      <c r="A517" s="48" t="s">
        <v>1682</v>
      </c>
      <c r="B517" s="49" t="s">
        <v>1683</v>
      </c>
      <c r="C517" s="49" t="s">
        <v>221</v>
      </c>
      <c r="D517" s="49" t="s">
        <v>153</v>
      </c>
      <c r="E517" s="49" t="s">
        <v>245</v>
      </c>
      <c r="F517" s="50">
        <v>43181.0</v>
      </c>
      <c r="G517" s="50">
        <v>43181.0</v>
      </c>
      <c r="H517" s="51">
        <v>43181.5875</v>
      </c>
      <c r="I517" s="52">
        <v>1.0</v>
      </c>
      <c r="J517" s="53"/>
      <c r="K517" s="53"/>
    </row>
    <row r="518">
      <c r="A518" s="48" t="s">
        <v>1685</v>
      </c>
      <c r="B518" s="49" t="s">
        <v>1686</v>
      </c>
      <c r="C518" s="49" t="s">
        <v>1687</v>
      </c>
      <c r="D518" s="49" t="s">
        <v>140</v>
      </c>
      <c r="E518" s="49" t="s">
        <v>245</v>
      </c>
      <c r="F518" s="50">
        <v>43181.0</v>
      </c>
      <c r="G518" s="50">
        <v>43181.0</v>
      </c>
      <c r="H518" s="51">
        <v>43182.42986111111</v>
      </c>
      <c r="I518" s="52">
        <v>1.0</v>
      </c>
      <c r="J518" s="53"/>
      <c r="K518" s="53"/>
    </row>
    <row r="519">
      <c r="A519" s="48" t="s">
        <v>1688</v>
      </c>
      <c r="B519" s="49" t="s">
        <v>1689</v>
      </c>
      <c r="C519" s="49" t="s">
        <v>379</v>
      </c>
      <c r="D519" s="49" t="s">
        <v>120</v>
      </c>
      <c r="E519" s="49" t="s">
        <v>245</v>
      </c>
      <c r="F519" s="50">
        <v>43181.0</v>
      </c>
      <c r="G519" s="50">
        <v>43182.0</v>
      </c>
      <c r="H519" s="51">
        <v>43194.45763888889</v>
      </c>
      <c r="I519" s="52">
        <v>1.0</v>
      </c>
      <c r="J519" s="53"/>
      <c r="K519" s="53"/>
    </row>
    <row r="520">
      <c r="A520" s="48" t="s">
        <v>1691</v>
      </c>
      <c r="B520" s="49" t="s">
        <v>1692</v>
      </c>
      <c r="C520" s="49" t="s">
        <v>221</v>
      </c>
      <c r="D520" s="49" t="s">
        <v>153</v>
      </c>
      <c r="E520" s="49" t="s">
        <v>245</v>
      </c>
      <c r="F520" s="50">
        <v>43180.0</v>
      </c>
      <c r="G520" s="50">
        <v>43180.0</v>
      </c>
      <c r="H520" s="51">
        <v>43264.61111111111</v>
      </c>
      <c r="I520" s="52">
        <v>1.0</v>
      </c>
      <c r="J520" s="53"/>
      <c r="K520" s="53"/>
    </row>
    <row r="521">
      <c r="A521" s="48" t="s">
        <v>1693</v>
      </c>
      <c r="B521" s="49" t="s">
        <v>1694</v>
      </c>
      <c r="C521" s="49" t="s">
        <v>243</v>
      </c>
      <c r="D521" s="49" t="s">
        <v>148</v>
      </c>
      <c r="E521" s="49" t="s">
        <v>245</v>
      </c>
      <c r="F521" s="50">
        <v>43180.0</v>
      </c>
      <c r="G521" s="50">
        <v>43188.0</v>
      </c>
      <c r="H521" s="51">
        <v>43180.73263888889</v>
      </c>
      <c r="I521" s="52">
        <v>1.0</v>
      </c>
      <c r="J521" s="53"/>
      <c r="K521" s="53"/>
    </row>
    <row r="522">
      <c r="A522" s="48" t="s">
        <v>1697</v>
      </c>
      <c r="B522" s="49" t="s">
        <v>1698</v>
      </c>
      <c r="C522" s="49" t="s">
        <v>203</v>
      </c>
      <c r="D522" s="49" t="s">
        <v>148</v>
      </c>
      <c r="E522" s="49" t="s">
        <v>245</v>
      </c>
      <c r="F522" s="50">
        <v>43180.0</v>
      </c>
      <c r="G522" s="50">
        <v>43182.0</v>
      </c>
      <c r="H522" s="51">
        <v>43182.82986111111</v>
      </c>
      <c r="I522" s="52">
        <v>1.0</v>
      </c>
      <c r="J522" s="53"/>
      <c r="K522" s="53"/>
    </row>
    <row r="523">
      <c r="A523" s="48" t="s">
        <v>1699</v>
      </c>
      <c r="B523" s="49" t="s">
        <v>1700</v>
      </c>
      <c r="C523" s="49" t="s">
        <v>203</v>
      </c>
      <c r="D523" s="49" t="s">
        <v>148</v>
      </c>
      <c r="E523" s="49" t="s">
        <v>245</v>
      </c>
      <c r="F523" s="50">
        <v>43180.0</v>
      </c>
      <c r="G523" s="50">
        <v>43181.0</v>
      </c>
      <c r="H523" s="51">
        <v>43182.82986111111</v>
      </c>
      <c r="I523" s="52">
        <v>1.0</v>
      </c>
      <c r="J523" s="53"/>
      <c r="K523" s="53"/>
    </row>
    <row r="524">
      <c r="A524" s="48" t="s">
        <v>1702</v>
      </c>
      <c r="B524" s="49" t="s">
        <v>1703</v>
      </c>
      <c r="C524" s="49" t="s">
        <v>452</v>
      </c>
      <c r="D524" s="49" t="s">
        <v>140</v>
      </c>
      <c r="E524" s="49" t="s">
        <v>245</v>
      </c>
      <c r="F524" s="50">
        <v>43180.0</v>
      </c>
      <c r="G524" s="50">
        <v>43181.0</v>
      </c>
      <c r="H524" s="51">
        <v>43182.43263888889</v>
      </c>
      <c r="I524" s="52">
        <v>1.0</v>
      </c>
      <c r="J524" s="53"/>
      <c r="K524" s="53"/>
    </row>
    <row r="525">
      <c r="A525" s="48" t="s">
        <v>1705</v>
      </c>
      <c r="B525" s="49" t="s">
        <v>1249</v>
      </c>
      <c r="C525" s="49" t="s">
        <v>1403</v>
      </c>
      <c r="D525" s="49" t="s">
        <v>310</v>
      </c>
      <c r="E525" s="49" t="s">
        <v>245</v>
      </c>
      <c r="F525" s="50">
        <v>43180.0</v>
      </c>
      <c r="G525" s="50">
        <v>43180.0</v>
      </c>
      <c r="H525" s="51">
        <v>43180.509722222225</v>
      </c>
      <c r="I525" s="52">
        <v>1.0</v>
      </c>
      <c r="J525" s="53"/>
      <c r="K525" s="53"/>
    </row>
    <row r="526">
      <c r="A526" s="48" t="s">
        <v>1708</v>
      </c>
      <c r="B526" s="49" t="s">
        <v>1709</v>
      </c>
      <c r="C526" s="49" t="s">
        <v>257</v>
      </c>
      <c r="D526" s="49" t="s">
        <v>153</v>
      </c>
      <c r="E526" s="49" t="s">
        <v>245</v>
      </c>
      <c r="F526" s="50">
        <v>43180.0</v>
      </c>
      <c r="G526" s="50">
        <v>43180.0</v>
      </c>
      <c r="H526" s="51">
        <v>43180.75277777778</v>
      </c>
      <c r="I526" s="52">
        <v>1.0</v>
      </c>
      <c r="J526" s="53"/>
      <c r="K526" s="53"/>
    </row>
    <row r="527">
      <c r="A527" s="48" t="s">
        <v>1712</v>
      </c>
      <c r="B527" s="49" t="s">
        <v>1713</v>
      </c>
      <c r="C527" s="49" t="s">
        <v>221</v>
      </c>
      <c r="D527" s="49" t="s">
        <v>153</v>
      </c>
      <c r="E527" s="49" t="s">
        <v>245</v>
      </c>
      <c r="F527" s="50">
        <v>43180.0</v>
      </c>
      <c r="G527" s="50">
        <v>43180.0</v>
      </c>
      <c r="H527" s="51">
        <v>43180.75347222222</v>
      </c>
      <c r="I527" s="52">
        <v>1.0</v>
      </c>
      <c r="J527" s="53"/>
      <c r="K527" s="53"/>
    </row>
    <row r="528">
      <c r="A528" s="48" t="s">
        <v>1715</v>
      </c>
      <c r="B528" s="49" t="s">
        <v>1716</v>
      </c>
      <c r="C528" s="49" t="s">
        <v>257</v>
      </c>
      <c r="D528" s="49" t="s">
        <v>153</v>
      </c>
      <c r="E528" s="49" t="s">
        <v>245</v>
      </c>
      <c r="F528" s="50">
        <v>43180.0</v>
      </c>
      <c r="G528" s="50">
        <v>43180.0</v>
      </c>
      <c r="H528" s="51">
        <v>43180.75347222222</v>
      </c>
      <c r="I528" s="52">
        <v>1.0</v>
      </c>
      <c r="J528" s="53"/>
      <c r="K528" s="53"/>
    </row>
    <row r="529">
      <c r="A529" s="48" t="s">
        <v>1717</v>
      </c>
      <c r="B529" s="49" t="s">
        <v>1718</v>
      </c>
      <c r="C529" s="49" t="s">
        <v>221</v>
      </c>
      <c r="D529" s="49" t="s">
        <v>153</v>
      </c>
      <c r="E529" s="49" t="s">
        <v>245</v>
      </c>
      <c r="F529" s="50">
        <v>43180.0</v>
      </c>
      <c r="G529" s="50">
        <v>43180.0</v>
      </c>
      <c r="H529" s="51">
        <v>43180.754166666666</v>
      </c>
      <c r="I529" s="52">
        <v>1.0</v>
      </c>
      <c r="J529" s="53"/>
      <c r="K529" s="53"/>
    </row>
    <row r="530">
      <c r="A530" s="48" t="s">
        <v>1720</v>
      </c>
      <c r="B530" s="49" t="s">
        <v>1721</v>
      </c>
      <c r="C530" s="49" t="s">
        <v>257</v>
      </c>
      <c r="D530" s="49" t="s">
        <v>153</v>
      </c>
      <c r="E530" s="49" t="s">
        <v>245</v>
      </c>
      <c r="F530" s="50">
        <v>43180.0</v>
      </c>
      <c r="G530" s="50">
        <v>43180.0</v>
      </c>
      <c r="H530" s="51">
        <v>43180.754166666666</v>
      </c>
      <c r="I530" s="52">
        <v>1.0</v>
      </c>
      <c r="J530" s="53"/>
      <c r="K530" s="53"/>
    </row>
    <row r="531">
      <c r="A531" s="48" t="s">
        <v>1722</v>
      </c>
      <c r="B531" s="49" t="s">
        <v>1254</v>
      </c>
      <c r="C531" s="49" t="s">
        <v>1403</v>
      </c>
      <c r="D531" s="49" t="s">
        <v>310</v>
      </c>
      <c r="E531" s="49" t="s">
        <v>245</v>
      </c>
      <c r="F531" s="50">
        <v>43180.0</v>
      </c>
      <c r="G531" s="50">
        <v>43180.0</v>
      </c>
      <c r="H531" s="51">
        <v>43180.80694444444</v>
      </c>
      <c r="I531" s="52">
        <v>1.0</v>
      </c>
      <c r="J531" s="53"/>
      <c r="K531" s="53"/>
    </row>
    <row r="532">
      <c r="A532" s="48" t="s">
        <v>1724</v>
      </c>
      <c r="B532" s="49" t="s">
        <v>1725</v>
      </c>
      <c r="C532" s="49" t="s">
        <v>1049</v>
      </c>
      <c r="D532" s="49" t="s">
        <v>140</v>
      </c>
      <c r="E532" s="49" t="s">
        <v>245</v>
      </c>
      <c r="F532" s="50">
        <v>43180.0</v>
      </c>
      <c r="G532" s="50">
        <v>43180.0</v>
      </c>
      <c r="H532" s="51">
        <v>43180.68958333333</v>
      </c>
      <c r="I532" s="52">
        <v>1.0</v>
      </c>
      <c r="J532" s="53"/>
      <c r="K532" s="53"/>
    </row>
    <row r="533">
      <c r="A533" s="48" t="s">
        <v>1727</v>
      </c>
      <c r="B533" s="49" t="s">
        <v>1728</v>
      </c>
      <c r="C533" s="49" t="s">
        <v>1049</v>
      </c>
      <c r="D533" s="49" t="s">
        <v>140</v>
      </c>
      <c r="E533" s="49" t="s">
        <v>245</v>
      </c>
      <c r="F533" s="50">
        <v>43180.0</v>
      </c>
      <c r="G533" s="50">
        <v>43180.0</v>
      </c>
      <c r="H533" s="51">
        <v>43180.688888888886</v>
      </c>
      <c r="I533" s="52">
        <v>1.0</v>
      </c>
      <c r="J533" s="53"/>
      <c r="K533" s="53"/>
    </row>
    <row r="534">
      <c r="A534" s="48" t="s">
        <v>1730</v>
      </c>
      <c r="B534" s="49" t="s">
        <v>1731</v>
      </c>
      <c r="C534" s="49" t="s">
        <v>1732</v>
      </c>
      <c r="D534" s="49" t="s">
        <v>140</v>
      </c>
      <c r="E534" s="49" t="s">
        <v>245</v>
      </c>
      <c r="F534" s="50">
        <v>43180.0</v>
      </c>
      <c r="G534" s="50">
        <v>43180.0</v>
      </c>
      <c r="H534" s="51">
        <v>43185.50763888889</v>
      </c>
      <c r="I534" s="52">
        <v>1.0</v>
      </c>
      <c r="J534" s="53"/>
      <c r="K534" s="53"/>
    </row>
    <row r="535">
      <c r="A535" s="48" t="s">
        <v>1734</v>
      </c>
      <c r="B535" s="49" t="s">
        <v>1735</v>
      </c>
      <c r="C535" s="49" t="s">
        <v>243</v>
      </c>
      <c r="D535" s="49" t="s">
        <v>1736</v>
      </c>
      <c r="E535" s="49" t="s">
        <v>245</v>
      </c>
      <c r="F535" s="50">
        <v>43179.0</v>
      </c>
      <c r="G535" s="50">
        <v>43179.0</v>
      </c>
      <c r="H535" s="51">
        <v>43264.61041666667</v>
      </c>
      <c r="I535" s="52">
        <v>1.0</v>
      </c>
      <c r="J535" s="53"/>
      <c r="K535" s="53"/>
    </row>
    <row r="536">
      <c r="A536" s="48" t="s">
        <v>1739</v>
      </c>
      <c r="B536" s="49" t="s">
        <v>1740</v>
      </c>
      <c r="C536" s="49" t="s">
        <v>257</v>
      </c>
      <c r="D536" s="49" t="s">
        <v>153</v>
      </c>
      <c r="E536" s="49" t="s">
        <v>245</v>
      </c>
      <c r="F536" s="50">
        <v>43179.0</v>
      </c>
      <c r="G536" s="50">
        <v>43179.0</v>
      </c>
      <c r="H536" s="51">
        <v>43264.61111111111</v>
      </c>
      <c r="I536" s="52">
        <v>1.0</v>
      </c>
      <c r="J536" s="53"/>
      <c r="K536" s="53"/>
    </row>
    <row r="537">
      <c r="A537" s="48" t="s">
        <v>1741</v>
      </c>
      <c r="B537" s="49" t="s">
        <v>1725</v>
      </c>
      <c r="C537" s="49" t="s">
        <v>1687</v>
      </c>
      <c r="D537" s="49" t="s">
        <v>153</v>
      </c>
      <c r="E537" s="49" t="s">
        <v>245</v>
      </c>
      <c r="F537" s="50">
        <v>43179.0</v>
      </c>
      <c r="G537" s="50">
        <v>43179.0</v>
      </c>
      <c r="H537" s="51">
        <v>43264.61111111111</v>
      </c>
      <c r="I537" s="52">
        <v>1.0</v>
      </c>
      <c r="J537" s="53"/>
      <c r="K537" s="53"/>
    </row>
    <row r="538">
      <c r="A538" s="48" t="s">
        <v>1743</v>
      </c>
      <c r="B538" s="49" t="s">
        <v>1744</v>
      </c>
      <c r="C538" s="49" t="s">
        <v>243</v>
      </c>
      <c r="D538" s="49" t="s">
        <v>1736</v>
      </c>
      <c r="E538" s="49" t="s">
        <v>245</v>
      </c>
      <c r="F538" s="50">
        <v>43179.0</v>
      </c>
      <c r="G538" s="50">
        <v>43179.0</v>
      </c>
      <c r="H538" s="51">
        <v>43264.61041666667</v>
      </c>
      <c r="I538" s="52">
        <v>1.0</v>
      </c>
      <c r="J538" s="53"/>
      <c r="K538" s="53"/>
    </row>
    <row r="539">
      <c r="A539" s="48" t="s">
        <v>1745</v>
      </c>
      <c r="B539" s="49" t="s">
        <v>1747</v>
      </c>
      <c r="C539" s="49" t="s">
        <v>243</v>
      </c>
      <c r="D539" s="49" t="s">
        <v>1736</v>
      </c>
      <c r="E539" s="49" t="s">
        <v>245</v>
      </c>
      <c r="F539" s="50">
        <v>43179.0</v>
      </c>
      <c r="G539" s="50">
        <v>43179.0</v>
      </c>
      <c r="H539" s="51">
        <v>43264.61041666667</v>
      </c>
      <c r="I539" s="52">
        <v>1.0</v>
      </c>
      <c r="J539" s="53"/>
      <c r="K539" s="53"/>
    </row>
    <row r="540">
      <c r="A540" s="48" t="s">
        <v>1750</v>
      </c>
      <c r="B540" s="49" t="s">
        <v>1751</v>
      </c>
      <c r="C540" s="49" t="s">
        <v>379</v>
      </c>
      <c r="D540" s="49" t="s">
        <v>148</v>
      </c>
      <c r="E540" s="49" t="s">
        <v>245</v>
      </c>
      <c r="F540" s="50">
        <v>43179.0</v>
      </c>
      <c r="G540" s="50">
        <v>43182.0</v>
      </c>
      <c r="H540" s="51">
        <v>43182.82916666667</v>
      </c>
      <c r="I540" s="52">
        <v>1.0</v>
      </c>
      <c r="J540" s="53"/>
      <c r="K540" s="53"/>
    </row>
    <row r="541">
      <c r="A541" s="48" t="s">
        <v>1753</v>
      </c>
      <c r="B541" s="49" t="s">
        <v>1754</v>
      </c>
      <c r="C541" s="49" t="s">
        <v>243</v>
      </c>
      <c r="D541" s="49" t="s">
        <v>148</v>
      </c>
      <c r="E541" s="49" t="s">
        <v>245</v>
      </c>
      <c r="F541" s="50">
        <v>43179.0</v>
      </c>
      <c r="G541" s="50">
        <v>43179.0</v>
      </c>
      <c r="H541" s="51">
        <v>43179.57430555556</v>
      </c>
      <c r="I541" s="52">
        <v>1.0</v>
      </c>
      <c r="J541" s="53"/>
      <c r="K541" s="53"/>
    </row>
    <row r="542">
      <c r="A542" s="48" t="s">
        <v>1757</v>
      </c>
      <c r="B542" s="49" t="s">
        <v>1758</v>
      </c>
      <c r="C542" s="49" t="s">
        <v>243</v>
      </c>
      <c r="D542" s="49" t="s">
        <v>148</v>
      </c>
      <c r="E542" s="49" t="s">
        <v>245</v>
      </c>
      <c r="F542" s="50">
        <v>43179.0</v>
      </c>
      <c r="G542" s="50">
        <v>43179.0</v>
      </c>
      <c r="H542" s="51">
        <v>43179.57152777778</v>
      </c>
      <c r="I542" s="52">
        <v>1.0</v>
      </c>
      <c r="J542" s="53"/>
      <c r="K542" s="53"/>
    </row>
    <row r="543">
      <c r="A543" s="48" t="s">
        <v>1762</v>
      </c>
      <c r="B543" s="49" t="s">
        <v>1763</v>
      </c>
      <c r="C543" s="49" t="s">
        <v>257</v>
      </c>
      <c r="D543" s="49" t="s">
        <v>153</v>
      </c>
      <c r="E543" s="49" t="s">
        <v>245</v>
      </c>
      <c r="F543" s="50">
        <v>43179.0</v>
      </c>
      <c r="G543" s="50">
        <v>43179.0</v>
      </c>
      <c r="H543" s="51">
        <v>43179.59722222222</v>
      </c>
      <c r="I543" s="52">
        <v>1.0</v>
      </c>
      <c r="J543" s="53"/>
      <c r="K543" s="53"/>
    </row>
    <row r="544">
      <c r="A544" s="48" t="s">
        <v>1766</v>
      </c>
      <c r="B544" s="49" t="s">
        <v>1767</v>
      </c>
      <c r="C544" s="49" t="s">
        <v>221</v>
      </c>
      <c r="D544" s="49" t="s">
        <v>153</v>
      </c>
      <c r="E544" s="49" t="s">
        <v>245</v>
      </c>
      <c r="F544" s="50">
        <v>43179.0</v>
      </c>
      <c r="G544" s="50">
        <v>43179.0</v>
      </c>
      <c r="H544" s="51">
        <v>43179.597916666666</v>
      </c>
      <c r="I544" s="52">
        <v>1.0</v>
      </c>
      <c r="J544" s="53"/>
      <c r="K544" s="53"/>
    </row>
    <row r="545">
      <c r="A545" s="48" t="s">
        <v>1770</v>
      </c>
      <c r="B545" s="49" t="s">
        <v>1771</v>
      </c>
      <c r="C545" s="49" t="s">
        <v>1403</v>
      </c>
      <c r="D545" s="49" t="s">
        <v>310</v>
      </c>
      <c r="E545" s="49" t="s">
        <v>245</v>
      </c>
      <c r="F545" s="50">
        <v>43179.0</v>
      </c>
      <c r="G545" s="50">
        <v>43179.0</v>
      </c>
      <c r="H545" s="51">
        <v>43180.50902777778</v>
      </c>
      <c r="I545" s="52">
        <v>1.0</v>
      </c>
      <c r="J545" s="53"/>
      <c r="K545" s="53"/>
    </row>
    <row r="546">
      <c r="A546" s="48" t="s">
        <v>1776</v>
      </c>
      <c r="B546" s="49" t="s">
        <v>1777</v>
      </c>
      <c r="C546" s="49" t="s">
        <v>243</v>
      </c>
      <c r="D546" s="49" t="s">
        <v>148</v>
      </c>
      <c r="E546" s="49" t="s">
        <v>245</v>
      </c>
      <c r="F546" s="50">
        <v>43179.0</v>
      </c>
      <c r="G546" s="50">
        <v>43183.0</v>
      </c>
      <c r="H546" s="51">
        <v>43179.50277777778</v>
      </c>
      <c r="I546" s="52">
        <v>1.0</v>
      </c>
      <c r="J546" s="53"/>
      <c r="K546" s="53"/>
    </row>
    <row r="547">
      <c r="A547" s="48" t="s">
        <v>1779</v>
      </c>
      <c r="B547" s="49" t="s">
        <v>1780</v>
      </c>
      <c r="C547" s="49" t="s">
        <v>379</v>
      </c>
      <c r="D547" s="49" t="s">
        <v>148</v>
      </c>
      <c r="E547" s="49" t="s">
        <v>245</v>
      </c>
      <c r="F547" s="50">
        <v>43178.0</v>
      </c>
      <c r="G547" s="50">
        <v>43182.0</v>
      </c>
      <c r="H547" s="51">
        <v>43182.82916666667</v>
      </c>
      <c r="I547" s="52">
        <v>1.0</v>
      </c>
      <c r="J547" s="53"/>
      <c r="K547" s="53"/>
    </row>
    <row r="548">
      <c r="A548" s="48" t="s">
        <v>1781</v>
      </c>
      <c r="B548" s="49" t="s">
        <v>1782</v>
      </c>
      <c r="C548" s="49" t="s">
        <v>379</v>
      </c>
      <c r="D548" s="49" t="s">
        <v>148</v>
      </c>
      <c r="E548" s="49" t="s">
        <v>245</v>
      </c>
      <c r="F548" s="50">
        <v>43178.0</v>
      </c>
      <c r="G548" s="50">
        <v>43182.0</v>
      </c>
      <c r="H548" s="51">
        <v>43182.82916666667</v>
      </c>
      <c r="I548" s="52">
        <v>1.0</v>
      </c>
      <c r="J548" s="53"/>
      <c r="K548" s="53"/>
    </row>
    <row r="549">
      <c r="A549" s="48" t="s">
        <v>1784</v>
      </c>
      <c r="B549" s="49" t="s">
        <v>1785</v>
      </c>
      <c r="C549" s="49" t="s">
        <v>379</v>
      </c>
      <c r="D549" s="49" t="s">
        <v>148</v>
      </c>
      <c r="E549" s="49" t="s">
        <v>245</v>
      </c>
      <c r="F549" s="50">
        <v>43178.0</v>
      </c>
      <c r="G549" s="50">
        <v>43182.0</v>
      </c>
      <c r="H549" s="51">
        <v>43182.82916666667</v>
      </c>
      <c r="I549" s="52">
        <v>1.0</v>
      </c>
      <c r="J549" s="53"/>
      <c r="K549" s="53"/>
    </row>
    <row r="550">
      <c r="A550" s="48" t="s">
        <v>1790</v>
      </c>
      <c r="B550" s="49" t="s">
        <v>1792</v>
      </c>
      <c r="C550" s="49" t="s">
        <v>203</v>
      </c>
      <c r="D550" s="49" t="s">
        <v>310</v>
      </c>
      <c r="E550" s="49" t="s">
        <v>245</v>
      </c>
      <c r="F550" s="50">
        <v>43178.0</v>
      </c>
      <c r="G550" s="50">
        <v>43182.0</v>
      </c>
      <c r="H550" s="51">
        <v>43180.510416666664</v>
      </c>
      <c r="I550" s="52">
        <v>1.0</v>
      </c>
      <c r="J550" s="53"/>
      <c r="K550" s="53"/>
    </row>
    <row r="551">
      <c r="A551" s="48" t="s">
        <v>1793</v>
      </c>
      <c r="B551" s="49" t="s">
        <v>1794</v>
      </c>
      <c r="C551" s="49" t="s">
        <v>1795</v>
      </c>
      <c r="D551" s="49" t="s">
        <v>140</v>
      </c>
      <c r="E551" s="49" t="s">
        <v>245</v>
      </c>
      <c r="F551" s="50">
        <v>43178.0</v>
      </c>
      <c r="G551" s="50">
        <v>43180.0</v>
      </c>
      <c r="H551" s="51">
        <v>43180.816666666666</v>
      </c>
      <c r="I551" s="52">
        <v>1.0</v>
      </c>
      <c r="J551" s="53"/>
      <c r="K551" s="53"/>
    </row>
    <row r="552">
      <c r="A552" s="48" t="s">
        <v>1797</v>
      </c>
      <c r="B552" s="49" t="s">
        <v>1799</v>
      </c>
      <c r="C552" s="49" t="s">
        <v>221</v>
      </c>
      <c r="D552" s="49" t="s">
        <v>148</v>
      </c>
      <c r="E552" s="49" t="s">
        <v>245</v>
      </c>
      <c r="F552" s="50">
        <v>43178.0</v>
      </c>
      <c r="G552" s="50">
        <v>43178.0</v>
      </c>
      <c r="H552" s="51">
        <v>43178.84097222222</v>
      </c>
      <c r="I552" s="52">
        <v>1.0</v>
      </c>
      <c r="J552" s="53"/>
      <c r="K552" s="53"/>
    </row>
    <row r="553">
      <c r="A553" s="48" t="s">
        <v>1800</v>
      </c>
      <c r="B553" s="49" t="s">
        <v>1802</v>
      </c>
      <c r="C553" s="49" t="s">
        <v>243</v>
      </c>
      <c r="D553" s="49" t="s">
        <v>148</v>
      </c>
      <c r="E553" s="49" t="s">
        <v>245</v>
      </c>
      <c r="F553" s="50">
        <v>43178.0</v>
      </c>
      <c r="G553" s="50">
        <v>43178.0</v>
      </c>
      <c r="H553" s="51">
        <v>43178.82083333333</v>
      </c>
      <c r="I553" s="52">
        <v>1.0</v>
      </c>
      <c r="J553" s="53"/>
      <c r="K553" s="53"/>
    </row>
    <row r="554">
      <c r="A554" s="48" t="s">
        <v>1804</v>
      </c>
      <c r="B554" s="49" t="s">
        <v>1805</v>
      </c>
      <c r="C554" s="49" t="s">
        <v>221</v>
      </c>
      <c r="D554" s="49" t="s">
        <v>153</v>
      </c>
      <c r="E554" s="49" t="s">
        <v>245</v>
      </c>
      <c r="F554" s="50">
        <v>43178.0</v>
      </c>
      <c r="G554" s="50">
        <v>43178.0</v>
      </c>
      <c r="H554" s="51">
        <v>43179.59861111111</v>
      </c>
      <c r="I554" s="52">
        <v>1.0</v>
      </c>
      <c r="J554" s="53"/>
      <c r="K554" s="53"/>
    </row>
    <row r="555">
      <c r="A555" s="48" t="s">
        <v>1808</v>
      </c>
      <c r="B555" s="49" t="s">
        <v>1809</v>
      </c>
      <c r="C555" s="49" t="s">
        <v>257</v>
      </c>
      <c r="D555" s="49" t="s">
        <v>153</v>
      </c>
      <c r="E555" s="49" t="s">
        <v>245</v>
      </c>
      <c r="F555" s="50">
        <v>43178.0</v>
      </c>
      <c r="G555" s="50">
        <v>43178.0</v>
      </c>
      <c r="H555" s="51">
        <v>43179.597916666666</v>
      </c>
      <c r="I555" s="52">
        <v>1.0</v>
      </c>
      <c r="J555" s="53"/>
      <c r="K555" s="53"/>
    </row>
    <row r="556">
      <c r="A556" s="48" t="s">
        <v>1810</v>
      </c>
      <c r="B556" s="49" t="s">
        <v>1811</v>
      </c>
      <c r="C556" s="49" t="s">
        <v>243</v>
      </c>
      <c r="D556" s="49" t="s">
        <v>148</v>
      </c>
      <c r="E556" s="49" t="s">
        <v>245</v>
      </c>
      <c r="F556" s="50">
        <v>43178.0</v>
      </c>
      <c r="G556" s="50">
        <v>43182.0</v>
      </c>
      <c r="H556" s="51">
        <v>43178.80416666667</v>
      </c>
      <c r="I556" s="52">
        <v>1.0</v>
      </c>
      <c r="J556" s="53"/>
      <c r="K556" s="53"/>
    </row>
    <row r="557">
      <c r="A557" s="48" t="s">
        <v>1813</v>
      </c>
      <c r="B557" s="49" t="s">
        <v>1814</v>
      </c>
      <c r="C557" s="49" t="s">
        <v>243</v>
      </c>
      <c r="D557" s="49" t="s">
        <v>148</v>
      </c>
      <c r="E557" s="49" t="s">
        <v>245</v>
      </c>
      <c r="F557" s="50">
        <v>43178.0</v>
      </c>
      <c r="G557" s="50">
        <v>43188.0</v>
      </c>
      <c r="H557" s="51">
        <v>43178.73333333333</v>
      </c>
      <c r="I557" s="52">
        <v>1.0</v>
      </c>
      <c r="J557" s="53"/>
      <c r="K557" s="53"/>
    </row>
    <row r="558">
      <c r="A558" s="48" t="s">
        <v>1816</v>
      </c>
      <c r="B558" s="49" t="s">
        <v>1817</v>
      </c>
      <c r="C558" s="49" t="s">
        <v>243</v>
      </c>
      <c r="D558" s="49" t="s">
        <v>148</v>
      </c>
      <c r="E558" s="49" t="s">
        <v>245</v>
      </c>
      <c r="F558" s="50">
        <v>43175.0</v>
      </c>
      <c r="G558" s="50">
        <v>43184.0</v>
      </c>
      <c r="H558" s="51">
        <v>43178.447222222225</v>
      </c>
      <c r="I558" s="52">
        <v>1.0</v>
      </c>
      <c r="J558" s="53"/>
      <c r="K558" s="53"/>
    </row>
    <row r="559">
      <c r="A559" s="48" t="s">
        <v>1819</v>
      </c>
      <c r="B559" s="49" t="s">
        <v>1820</v>
      </c>
      <c r="C559" s="49" t="s">
        <v>243</v>
      </c>
      <c r="D559" s="49" t="s">
        <v>148</v>
      </c>
      <c r="E559" s="49" t="s">
        <v>245</v>
      </c>
      <c r="F559" s="50">
        <v>43175.0</v>
      </c>
      <c r="G559" s="50">
        <v>43185.0</v>
      </c>
      <c r="H559" s="51">
        <v>43175.82013888889</v>
      </c>
      <c r="I559" s="52">
        <v>1.0</v>
      </c>
      <c r="J559" s="53"/>
      <c r="K559" s="53"/>
    </row>
    <row r="560">
      <c r="A560" s="48" t="s">
        <v>1822</v>
      </c>
      <c r="B560" s="49" t="s">
        <v>1823</v>
      </c>
      <c r="C560" s="49" t="s">
        <v>257</v>
      </c>
      <c r="D560" s="49" t="s">
        <v>120</v>
      </c>
      <c r="E560" s="49" t="s">
        <v>245</v>
      </c>
      <c r="F560" s="50">
        <v>43174.0</v>
      </c>
      <c r="G560" s="50">
        <v>43180.0</v>
      </c>
      <c r="H560" s="51">
        <v>43181.58888888889</v>
      </c>
      <c r="I560" s="52">
        <v>1.0</v>
      </c>
      <c r="J560" s="53"/>
      <c r="K560" s="53"/>
    </row>
    <row r="561">
      <c r="A561" s="48" t="s">
        <v>1824</v>
      </c>
      <c r="B561" s="49" t="s">
        <v>1825</v>
      </c>
      <c r="C561" s="49" t="s">
        <v>243</v>
      </c>
      <c r="D561" s="49" t="s">
        <v>148</v>
      </c>
      <c r="E561" s="49" t="s">
        <v>245</v>
      </c>
      <c r="F561" s="50">
        <v>43174.0</v>
      </c>
      <c r="G561" s="50">
        <v>43175.0</v>
      </c>
      <c r="H561" s="51">
        <v>43174.75277777778</v>
      </c>
      <c r="I561" s="52">
        <v>1.0</v>
      </c>
      <c r="J561" s="53"/>
      <c r="K561" s="53"/>
    </row>
    <row r="562">
      <c r="A562" s="48" t="s">
        <v>1826</v>
      </c>
      <c r="B562" s="49" t="s">
        <v>1827</v>
      </c>
      <c r="C562" s="49" t="s">
        <v>203</v>
      </c>
      <c r="D562" s="49" t="s">
        <v>310</v>
      </c>
      <c r="E562" s="49" t="s">
        <v>245</v>
      </c>
      <c r="F562" s="50">
        <v>43174.0</v>
      </c>
      <c r="G562" s="50">
        <v>43174.0</v>
      </c>
      <c r="H562" s="51">
        <v>43174.45625</v>
      </c>
      <c r="I562" s="52">
        <v>1.0</v>
      </c>
      <c r="J562" s="53"/>
      <c r="K562" s="53"/>
    </row>
    <row r="563">
      <c r="A563" s="48" t="s">
        <v>1829</v>
      </c>
      <c r="B563" s="49" t="s">
        <v>1830</v>
      </c>
      <c r="C563" s="49" t="s">
        <v>243</v>
      </c>
      <c r="D563" s="49" t="s">
        <v>148</v>
      </c>
      <c r="E563" s="49" t="s">
        <v>245</v>
      </c>
      <c r="F563" s="50">
        <v>43174.0</v>
      </c>
      <c r="G563" s="50">
        <v>43174.0</v>
      </c>
      <c r="H563" s="51">
        <v>43174.64722222222</v>
      </c>
      <c r="I563" s="52">
        <v>1.0</v>
      </c>
      <c r="J563" s="53"/>
      <c r="K563" s="53"/>
    </row>
    <row r="564">
      <c r="A564" s="48" t="s">
        <v>1832</v>
      </c>
      <c r="B564" s="49" t="s">
        <v>1834</v>
      </c>
      <c r="C564" s="49" t="s">
        <v>1403</v>
      </c>
      <c r="D564" s="49" t="s">
        <v>310</v>
      </c>
      <c r="E564" s="49" t="s">
        <v>245</v>
      </c>
      <c r="F564" s="50">
        <v>43174.0</v>
      </c>
      <c r="G564" s="50">
        <v>43174.0</v>
      </c>
      <c r="H564" s="51">
        <v>43175.46944444445</v>
      </c>
      <c r="I564" s="52">
        <v>1.0</v>
      </c>
      <c r="J564" s="53"/>
      <c r="K564" s="53"/>
    </row>
    <row r="565">
      <c r="A565" s="48" t="s">
        <v>1835</v>
      </c>
      <c r="B565" s="49" t="s">
        <v>1836</v>
      </c>
      <c r="C565" s="49" t="s">
        <v>257</v>
      </c>
      <c r="D565" s="49" t="s">
        <v>120</v>
      </c>
      <c r="E565" s="49" t="s">
        <v>245</v>
      </c>
      <c r="F565" s="50">
        <v>43174.0</v>
      </c>
      <c r="G565" s="50">
        <v>43180.0</v>
      </c>
      <c r="H565" s="51">
        <v>43181.58888888889</v>
      </c>
      <c r="I565" s="52">
        <v>1.0</v>
      </c>
      <c r="J565" s="53"/>
      <c r="K565" s="53"/>
    </row>
    <row r="566">
      <c r="A566" s="48" t="s">
        <v>1838</v>
      </c>
      <c r="B566" s="49" t="s">
        <v>1839</v>
      </c>
      <c r="C566" s="49" t="s">
        <v>243</v>
      </c>
      <c r="D566" s="49" t="s">
        <v>148</v>
      </c>
      <c r="E566" s="49" t="s">
        <v>245</v>
      </c>
      <c r="F566" s="50">
        <v>43173.0</v>
      </c>
      <c r="G566" s="50">
        <v>43182.0</v>
      </c>
      <c r="H566" s="51">
        <v>43173.59097222222</v>
      </c>
      <c r="I566" s="52">
        <v>1.0</v>
      </c>
      <c r="J566" s="53"/>
      <c r="K566" s="53"/>
    </row>
    <row r="567">
      <c r="A567" s="48" t="s">
        <v>1840</v>
      </c>
      <c r="B567" s="49" t="s">
        <v>1841</v>
      </c>
      <c r="C567" s="49" t="s">
        <v>243</v>
      </c>
      <c r="D567" s="49" t="s">
        <v>148</v>
      </c>
      <c r="E567" s="49" t="s">
        <v>245</v>
      </c>
      <c r="F567" s="50">
        <v>43173.0</v>
      </c>
      <c r="G567" s="50">
        <v>43182.0</v>
      </c>
      <c r="H567" s="51">
        <v>43173.680555555555</v>
      </c>
      <c r="I567" s="52">
        <v>1.0</v>
      </c>
      <c r="J567" s="53"/>
      <c r="K567" s="53"/>
    </row>
    <row r="568">
      <c r="A568" s="48" t="s">
        <v>1843</v>
      </c>
      <c r="B568" s="49" t="s">
        <v>1844</v>
      </c>
      <c r="C568" s="49" t="s">
        <v>1845</v>
      </c>
      <c r="D568" s="49" t="s">
        <v>140</v>
      </c>
      <c r="E568" s="49" t="s">
        <v>245</v>
      </c>
      <c r="F568" s="50">
        <v>43173.0</v>
      </c>
      <c r="G568" s="50">
        <v>43180.0</v>
      </c>
      <c r="H568" s="51">
        <v>43182.64722222222</v>
      </c>
      <c r="I568" s="52">
        <v>1.0</v>
      </c>
      <c r="J568" s="53"/>
      <c r="K568" s="53"/>
    </row>
    <row r="569">
      <c r="A569" s="48" t="s">
        <v>1846</v>
      </c>
      <c r="B569" s="49" t="s">
        <v>1848</v>
      </c>
      <c r="C569" s="49" t="s">
        <v>243</v>
      </c>
      <c r="D569" s="49" t="s">
        <v>148</v>
      </c>
      <c r="E569" s="49" t="s">
        <v>245</v>
      </c>
      <c r="F569" s="50">
        <v>43172.0</v>
      </c>
      <c r="G569" s="50">
        <v>43183.0</v>
      </c>
      <c r="H569" s="51">
        <v>43172.62777777778</v>
      </c>
      <c r="I569" s="52">
        <v>1.0</v>
      </c>
      <c r="J569" s="53"/>
      <c r="K569" s="53"/>
    </row>
    <row r="570">
      <c r="A570" s="48" t="s">
        <v>1850</v>
      </c>
      <c r="B570" s="49" t="s">
        <v>1852</v>
      </c>
      <c r="C570" s="49" t="s">
        <v>243</v>
      </c>
      <c r="D570" s="49" t="s">
        <v>148</v>
      </c>
      <c r="E570" s="49" t="s">
        <v>245</v>
      </c>
      <c r="F570" s="50">
        <v>43172.0</v>
      </c>
      <c r="G570" s="50">
        <v>43181.0</v>
      </c>
      <c r="H570" s="51">
        <v>43172.6625</v>
      </c>
      <c r="I570" s="52">
        <v>1.0</v>
      </c>
      <c r="J570" s="53"/>
      <c r="K570" s="53"/>
    </row>
    <row r="571">
      <c r="A571" s="48" t="s">
        <v>1854</v>
      </c>
      <c r="B571" s="49" t="s">
        <v>1855</v>
      </c>
      <c r="C571" s="49" t="s">
        <v>221</v>
      </c>
      <c r="D571" s="49" t="s">
        <v>120</v>
      </c>
      <c r="E571" s="49" t="s">
        <v>245</v>
      </c>
      <c r="F571" s="50">
        <v>43172.0</v>
      </c>
      <c r="G571" s="50">
        <v>43174.0</v>
      </c>
      <c r="H571" s="51">
        <v>43175.68263888889</v>
      </c>
      <c r="I571" s="52">
        <v>1.0</v>
      </c>
      <c r="J571" s="53"/>
      <c r="K571" s="53"/>
    </row>
    <row r="572">
      <c r="A572" s="48" t="s">
        <v>1857</v>
      </c>
      <c r="B572" s="49" t="s">
        <v>1858</v>
      </c>
      <c r="C572" s="49" t="s">
        <v>379</v>
      </c>
      <c r="D572" s="49" t="s">
        <v>148</v>
      </c>
      <c r="E572" s="49" t="s">
        <v>204</v>
      </c>
      <c r="F572" s="50">
        <v>43171.0</v>
      </c>
      <c r="G572" s="50">
        <v>43171.0</v>
      </c>
      <c r="H572" s="51">
        <v>43168.694444444445</v>
      </c>
      <c r="I572" s="52">
        <v>0.0</v>
      </c>
      <c r="J572" s="53"/>
      <c r="K572" s="53"/>
    </row>
    <row r="573">
      <c r="A573" s="48" t="s">
        <v>1861</v>
      </c>
      <c r="B573" s="49" t="s">
        <v>1862</v>
      </c>
      <c r="C573" s="49" t="s">
        <v>243</v>
      </c>
      <c r="D573" s="49" t="s">
        <v>148</v>
      </c>
      <c r="E573" s="49" t="s">
        <v>245</v>
      </c>
      <c r="F573" s="50">
        <v>43171.0</v>
      </c>
      <c r="G573" s="50">
        <v>43180.0</v>
      </c>
      <c r="H573" s="51">
        <v>43171.725694444445</v>
      </c>
      <c r="I573" s="52">
        <v>1.0</v>
      </c>
      <c r="J573" s="53"/>
      <c r="K573" s="53"/>
    </row>
    <row r="574">
      <c r="A574" s="48" t="s">
        <v>1863</v>
      </c>
      <c r="B574" s="49" t="s">
        <v>1864</v>
      </c>
      <c r="C574" s="49" t="s">
        <v>243</v>
      </c>
      <c r="D574" s="49" t="s">
        <v>148</v>
      </c>
      <c r="E574" s="49" t="s">
        <v>245</v>
      </c>
      <c r="F574" s="50">
        <v>43171.0</v>
      </c>
      <c r="G574" s="50">
        <v>43180.0</v>
      </c>
      <c r="H574" s="51">
        <v>43171.740277777775</v>
      </c>
      <c r="I574" s="52">
        <v>1.0</v>
      </c>
      <c r="J574" s="53"/>
      <c r="K574" s="53"/>
    </row>
    <row r="575">
      <c r="A575" s="48" t="s">
        <v>1866</v>
      </c>
      <c r="B575" s="49" t="s">
        <v>1867</v>
      </c>
      <c r="C575" s="49" t="s">
        <v>221</v>
      </c>
      <c r="D575" s="49" t="s">
        <v>120</v>
      </c>
      <c r="E575" s="49" t="s">
        <v>245</v>
      </c>
      <c r="F575" s="50">
        <v>43171.0</v>
      </c>
      <c r="G575" s="50">
        <v>43172.0</v>
      </c>
      <c r="H575" s="51">
        <v>43175.42083333333</v>
      </c>
      <c r="I575" s="52">
        <v>1.0</v>
      </c>
      <c r="J575" s="53"/>
      <c r="K575" s="53"/>
    </row>
    <row r="576">
      <c r="A576" s="48" t="s">
        <v>1869</v>
      </c>
      <c r="B576" s="49" t="s">
        <v>1870</v>
      </c>
      <c r="C576" s="49" t="s">
        <v>379</v>
      </c>
      <c r="D576" s="49" t="s">
        <v>148</v>
      </c>
      <c r="E576" s="49" t="s">
        <v>245</v>
      </c>
      <c r="F576" s="50">
        <v>43171.0</v>
      </c>
      <c r="G576" s="50">
        <v>43171.0</v>
      </c>
      <c r="H576" s="51">
        <v>43175.82986111111</v>
      </c>
      <c r="I576" s="52">
        <v>1.0</v>
      </c>
      <c r="J576" s="53"/>
      <c r="K576" s="53"/>
    </row>
    <row r="577">
      <c r="A577" s="48" t="s">
        <v>1874</v>
      </c>
      <c r="B577" s="49" t="s">
        <v>1875</v>
      </c>
      <c r="C577" s="49" t="s">
        <v>243</v>
      </c>
      <c r="D577" s="49" t="s">
        <v>148</v>
      </c>
      <c r="E577" s="49" t="s">
        <v>245</v>
      </c>
      <c r="F577" s="50">
        <v>43171.0</v>
      </c>
      <c r="G577" s="50">
        <v>43171.0</v>
      </c>
      <c r="H577" s="51">
        <v>43172.39375</v>
      </c>
      <c r="I577" s="52">
        <v>1.0</v>
      </c>
      <c r="J577" s="53"/>
      <c r="K577" s="53"/>
    </row>
    <row r="578">
      <c r="A578" s="48" t="s">
        <v>1877</v>
      </c>
      <c r="B578" s="49" t="s">
        <v>1878</v>
      </c>
      <c r="C578" s="49" t="s">
        <v>257</v>
      </c>
      <c r="D578" s="49" t="s">
        <v>153</v>
      </c>
      <c r="E578" s="49" t="s">
        <v>245</v>
      </c>
      <c r="F578" s="50">
        <v>43168.0</v>
      </c>
      <c r="G578" s="50">
        <v>43171.0</v>
      </c>
      <c r="H578" s="51">
        <v>43171.541666666664</v>
      </c>
      <c r="I578" s="52">
        <v>1.0</v>
      </c>
      <c r="J578" s="53"/>
      <c r="K578" s="53"/>
    </row>
    <row r="579">
      <c r="A579" s="48" t="s">
        <v>1880</v>
      </c>
      <c r="B579" s="49" t="s">
        <v>1882</v>
      </c>
      <c r="C579" s="49" t="s">
        <v>1403</v>
      </c>
      <c r="D579" s="49" t="s">
        <v>310</v>
      </c>
      <c r="E579" s="49" t="s">
        <v>245</v>
      </c>
      <c r="F579" s="50">
        <v>43168.0</v>
      </c>
      <c r="G579" s="50">
        <v>43168.0</v>
      </c>
      <c r="H579" s="51">
        <v>43168.44305555556</v>
      </c>
      <c r="I579" s="52">
        <v>1.0</v>
      </c>
      <c r="J579" s="53"/>
      <c r="K579" s="53"/>
    </row>
    <row r="580">
      <c r="A580" s="48" t="s">
        <v>1884</v>
      </c>
      <c r="B580" s="49" t="s">
        <v>1885</v>
      </c>
      <c r="C580" s="49" t="s">
        <v>243</v>
      </c>
      <c r="D580" s="49" t="s">
        <v>148</v>
      </c>
      <c r="E580" s="49" t="s">
        <v>245</v>
      </c>
      <c r="F580" s="50">
        <v>43167.0</v>
      </c>
      <c r="G580" s="50">
        <v>43177.0</v>
      </c>
      <c r="H580" s="51">
        <v>43167.65277777778</v>
      </c>
      <c r="I580" s="52">
        <v>1.0</v>
      </c>
      <c r="J580" s="53"/>
      <c r="K580" s="53"/>
    </row>
    <row r="581">
      <c r="A581" s="48" t="s">
        <v>1887</v>
      </c>
      <c r="B581" s="49" t="s">
        <v>1888</v>
      </c>
      <c r="C581" s="49" t="s">
        <v>243</v>
      </c>
      <c r="D581" s="49" t="s">
        <v>148</v>
      </c>
      <c r="E581" s="49" t="s">
        <v>245</v>
      </c>
      <c r="F581" s="50">
        <v>43167.0</v>
      </c>
      <c r="G581" s="50">
        <v>43177.0</v>
      </c>
      <c r="H581" s="51">
        <v>43167.720138888886</v>
      </c>
      <c r="I581" s="52">
        <v>1.0</v>
      </c>
      <c r="J581" s="53"/>
      <c r="K581" s="53"/>
    </row>
    <row r="582">
      <c r="A582" s="48" t="s">
        <v>1892</v>
      </c>
      <c r="B582" s="49" t="s">
        <v>1893</v>
      </c>
      <c r="C582" s="49" t="s">
        <v>243</v>
      </c>
      <c r="D582" s="49" t="s">
        <v>148</v>
      </c>
      <c r="E582" s="49" t="s">
        <v>245</v>
      </c>
      <c r="F582" s="50">
        <v>43167.0</v>
      </c>
      <c r="G582" s="50">
        <v>43171.0</v>
      </c>
      <c r="H582" s="51">
        <v>43167.714583333334</v>
      </c>
      <c r="I582" s="52">
        <v>1.0</v>
      </c>
      <c r="J582" s="53"/>
      <c r="K582" s="53"/>
    </row>
    <row r="583">
      <c r="A583" s="48" t="s">
        <v>1901</v>
      </c>
      <c r="B583" s="49" t="s">
        <v>1902</v>
      </c>
      <c r="C583" s="49" t="s">
        <v>243</v>
      </c>
      <c r="D583" s="49" t="s">
        <v>148</v>
      </c>
      <c r="E583" s="49" t="s">
        <v>245</v>
      </c>
      <c r="F583" s="50">
        <v>43167.0</v>
      </c>
      <c r="G583" s="50">
        <v>43168.0</v>
      </c>
      <c r="H583" s="51">
        <v>43167.745833333334</v>
      </c>
      <c r="I583" s="52">
        <v>1.0</v>
      </c>
      <c r="J583" s="53"/>
      <c r="K583" s="53"/>
    </row>
    <row r="584">
      <c r="A584" s="48" t="s">
        <v>1905</v>
      </c>
      <c r="B584" s="49" t="s">
        <v>1907</v>
      </c>
      <c r="C584" s="49" t="s">
        <v>379</v>
      </c>
      <c r="D584" s="49" t="s">
        <v>148</v>
      </c>
      <c r="E584" s="49" t="s">
        <v>245</v>
      </c>
      <c r="F584" s="50">
        <v>43167.0</v>
      </c>
      <c r="G584" s="50">
        <v>43168.0</v>
      </c>
      <c r="H584" s="51">
        <v>43168.84305555555</v>
      </c>
      <c r="I584" s="52">
        <v>1.0</v>
      </c>
      <c r="J584" s="53"/>
      <c r="K584" s="53"/>
    </row>
    <row r="585">
      <c r="A585" s="48" t="s">
        <v>1910</v>
      </c>
      <c r="B585" s="49" t="s">
        <v>1911</v>
      </c>
      <c r="C585" s="49" t="s">
        <v>379</v>
      </c>
      <c r="D585" s="49" t="s">
        <v>148</v>
      </c>
      <c r="E585" s="49" t="s">
        <v>245</v>
      </c>
      <c r="F585" s="50">
        <v>43167.0</v>
      </c>
      <c r="G585" s="50">
        <v>43168.0</v>
      </c>
      <c r="H585" s="51">
        <v>43168.84305555555</v>
      </c>
      <c r="I585" s="52">
        <v>1.0</v>
      </c>
      <c r="J585" s="53"/>
      <c r="K585" s="53"/>
    </row>
    <row r="586">
      <c r="A586" s="48" t="s">
        <v>1914</v>
      </c>
      <c r="B586" s="49" t="s">
        <v>1915</v>
      </c>
      <c r="C586" s="49" t="s">
        <v>379</v>
      </c>
      <c r="D586" s="49" t="s">
        <v>148</v>
      </c>
      <c r="E586" s="49" t="s">
        <v>245</v>
      </c>
      <c r="F586" s="50">
        <v>43167.0</v>
      </c>
      <c r="G586" s="50">
        <v>43167.0</v>
      </c>
      <c r="H586" s="51">
        <v>43168.84305555555</v>
      </c>
      <c r="I586" s="52">
        <v>1.0</v>
      </c>
      <c r="J586" s="53"/>
      <c r="K586" s="53"/>
    </row>
    <row r="587">
      <c r="A587" s="48" t="s">
        <v>1917</v>
      </c>
      <c r="B587" s="49" t="s">
        <v>1918</v>
      </c>
      <c r="C587" s="49" t="s">
        <v>243</v>
      </c>
      <c r="D587" s="49" t="s">
        <v>148</v>
      </c>
      <c r="E587" s="49" t="s">
        <v>245</v>
      </c>
      <c r="F587" s="50">
        <v>43167.0</v>
      </c>
      <c r="G587" s="50">
        <v>43178.0</v>
      </c>
      <c r="H587" s="51">
        <v>43167.745833333334</v>
      </c>
      <c r="I587" s="52">
        <v>1.0</v>
      </c>
      <c r="J587" s="53"/>
      <c r="K587" s="53"/>
    </row>
    <row r="588">
      <c r="A588" s="48" t="s">
        <v>1921</v>
      </c>
      <c r="B588" s="49" t="s">
        <v>1922</v>
      </c>
      <c r="C588" s="49" t="s">
        <v>243</v>
      </c>
      <c r="D588" s="49" t="s">
        <v>148</v>
      </c>
      <c r="E588" s="49" t="s">
        <v>245</v>
      </c>
      <c r="F588" s="50">
        <v>43166.0</v>
      </c>
      <c r="G588" s="50">
        <v>43175.0</v>
      </c>
      <c r="H588" s="51">
        <v>43166.57708333333</v>
      </c>
      <c r="I588" s="52">
        <v>1.0</v>
      </c>
      <c r="J588" s="53"/>
      <c r="K588" s="53"/>
    </row>
    <row r="589">
      <c r="A589" s="48" t="s">
        <v>1924</v>
      </c>
      <c r="B589" s="49" t="s">
        <v>1925</v>
      </c>
      <c r="C589" s="49" t="s">
        <v>243</v>
      </c>
      <c r="D589" s="49" t="s">
        <v>148</v>
      </c>
      <c r="E589" s="49" t="s">
        <v>245</v>
      </c>
      <c r="F589" s="50">
        <v>43166.0</v>
      </c>
      <c r="G589" s="50">
        <v>43175.0</v>
      </c>
      <c r="H589" s="51">
        <v>43166.57708333333</v>
      </c>
      <c r="I589" s="52">
        <v>1.0</v>
      </c>
      <c r="J589" s="53"/>
      <c r="K589" s="53"/>
    </row>
    <row r="590">
      <c r="A590" s="48" t="s">
        <v>1928</v>
      </c>
      <c r="B590" s="49" t="s">
        <v>1929</v>
      </c>
      <c r="C590" s="49" t="s">
        <v>379</v>
      </c>
      <c r="D590" s="49" t="s">
        <v>310</v>
      </c>
      <c r="E590" s="49" t="s">
        <v>245</v>
      </c>
      <c r="F590" s="50">
        <v>43166.0</v>
      </c>
      <c r="G590" s="50">
        <v>43166.0</v>
      </c>
      <c r="H590" s="51">
        <v>43167.45277777778</v>
      </c>
      <c r="I590" s="52">
        <v>1.0</v>
      </c>
      <c r="J590" s="53"/>
      <c r="K590" s="53"/>
    </row>
    <row r="591">
      <c r="A591" s="48" t="s">
        <v>1931</v>
      </c>
      <c r="B591" s="49" t="s">
        <v>1932</v>
      </c>
      <c r="C591" s="49" t="s">
        <v>379</v>
      </c>
      <c r="D591" s="49" t="s">
        <v>148</v>
      </c>
      <c r="E591" s="49" t="s">
        <v>245</v>
      </c>
      <c r="F591" s="50">
        <v>43166.0</v>
      </c>
      <c r="G591" s="50">
        <v>43166.0</v>
      </c>
      <c r="H591" s="51">
        <v>43168.84305555555</v>
      </c>
      <c r="I591" s="52">
        <v>1.0</v>
      </c>
      <c r="J591" s="53"/>
      <c r="K591" s="53"/>
    </row>
    <row r="592">
      <c r="A592" s="48" t="s">
        <v>1936</v>
      </c>
      <c r="B592" s="49" t="s">
        <v>1938</v>
      </c>
      <c r="C592" s="49" t="s">
        <v>1403</v>
      </c>
      <c r="D592" s="49" t="s">
        <v>310</v>
      </c>
      <c r="E592" s="49" t="s">
        <v>245</v>
      </c>
      <c r="F592" s="50">
        <v>43165.0</v>
      </c>
      <c r="G592" s="50">
        <v>43165.0</v>
      </c>
      <c r="H592" s="51">
        <v>43165.56875</v>
      </c>
      <c r="I592" s="52">
        <v>1.0</v>
      </c>
      <c r="J592" s="53"/>
      <c r="K592" s="53"/>
    </row>
    <row r="593">
      <c r="A593" s="48" t="s">
        <v>1940</v>
      </c>
      <c r="B593" s="49" t="s">
        <v>1941</v>
      </c>
      <c r="C593" s="49" t="s">
        <v>243</v>
      </c>
      <c r="D593" s="49" t="s">
        <v>148</v>
      </c>
      <c r="E593" s="49" t="s">
        <v>245</v>
      </c>
      <c r="F593" s="50">
        <v>43165.0</v>
      </c>
      <c r="G593" s="50">
        <v>43165.0</v>
      </c>
      <c r="H593" s="51">
        <v>43165.60833333333</v>
      </c>
      <c r="I593" s="52">
        <v>1.0</v>
      </c>
      <c r="J593" s="53"/>
      <c r="K593" s="53"/>
    </row>
    <row r="594">
      <c r="A594" s="48" t="s">
        <v>1944</v>
      </c>
      <c r="B594" s="49" t="s">
        <v>1945</v>
      </c>
      <c r="C594" s="49" t="s">
        <v>379</v>
      </c>
      <c r="D594" s="49" t="s">
        <v>153</v>
      </c>
      <c r="E594" s="49" t="s">
        <v>204</v>
      </c>
      <c r="F594" s="50">
        <v>43164.0</v>
      </c>
      <c r="G594" s="50">
        <v>43168.0</v>
      </c>
      <c r="H594" s="51">
        <v>43161.725694444445</v>
      </c>
      <c r="I594" s="52">
        <v>0.0</v>
      </c>
      <c r="J594" s="53"/>
      <c r="K594" s="53"/>
    </row>
    <row r="595">
      <c r="A595" s="48" t="s">
        <v>1948</v>
      </c>
      <c r="B595" s="49" t="s">
        <v>1949</v>
      </c>
      <c r="C595" s="49" t="s">
        <v>379</v>
      </c>
      <c r="D595" s="49" t="s">
        <v>148</v>
      </c>
      <c r="E595" s="49" t="s">
        <v>204</v>
      </c>
      <c r="F595" s="50">
        <v>43164.0</v>
      </c>
      <c r="G595" s="50">
        <v>43168.0</v>
      </c>
      <c r="H595" s="51">
        <v>43165.60833333333</v>
      </c>
      <c r="I595" s="52">
        <v>0.0</v>
      </c>
      <c r="J595" s="53"/>
      <c r="K595" s="53"/>
    </row>
    <row r="596">
      <c r="A596" s="48" t="s">
        <v>1951</v>
      </c>
      <c r="B596" s="49" t="s">
        <v>1952</v>
      </c>
      <c r="C596" s="49" t="s">
        <v>257</v>
      </c>
      <c r="D596" s="49" t="s">
        <v>140</v>
      </c>
      <c r="E596" s="49" t="s">
        <v>245</v>
      </c>
      <c r="F596" s="50">
        <v>43164.0</v>
      </c>
      <c r="G596" s="50">
        <v>43164.0</v>
      </c>
      <c r="H596" s="51">
        <v>43266.700694444444</v>
      </c>
      <c r="I596" s="52">
        <v>1.0</v>
      </c>
      <c r="J596" s="53"/>
      <c r="K596" s="53"/>
    </row>
    <row r="597">
      <c r="A597" s="48" t="s">
        <v>1954</v>
      </c>
      <c r="B597" s="49" t="s">
        <v>1955</v>
      </c>
      <c r="C597" s="49" t="s">
        <v>243</v>
      </c>
      <c r="D597" s="49" t="s">
        <v>148</v>
      </c>
      <c r="E597" s="49" t="s">
        <v>245</v>
      </c>
      <c r="F597" s="50">
        <v>43164.0</v>
      </c>
      <c r="G597" s="50">
        <v>43164.0</v>
      </c>
      <c r="H597" s="51">
        <v>43168.84444444445</v>
      </c>
      <c r="I597" s="52">
        <v>1.0</v>
      </c>
      <c r="J597" s="53"/>
      <c r="K597" s="53"/>
    </row>
    <row r="598">
      <c r="A598" s="48" t="s">
        <v>1957</v>
      </c>
      <c r="B598" s="49" t="s">
        <v>1958</v>
      </c>
      <c r="C598" s="49" t="s">
        <v>243</v>
      </c>
      <c r="D598" s="49" t="s">
        <v>148</v>
      </c>
      <c r="E598" s="49" t="s">
        <v>245</v>
      </c>
      <c r="F598" s="50">
        <v>43164.0</v>
      </c>
      <c r="G598" s="50">
        <v>43164.0</v>
      </c>
      <c r="H598" s="51">
        <v>43164.623611111114</v>
      </c>
      <c r="I598" s="52">
        <v>1.0</v>
      </c>
      <c r="J598" s="53"/>
      <c r="K598" s="53"/>
    </row>
    <row r="599">
      <c r="A599" s="48" t="s">
        <v>1962</v>
      </c>
      <c r="B599" s="49" t="s">
        <v>1963</v>
      </c>
      <c r="C599" s="49" t="s">
        <v>1964</v>
      </c>
      <c r="D599" s="49" t="s">
        <v>140</v>
      </c>
      <c r="E599" s="49" t="s">
        <v>245</v>
      </c>
      <c r="F599" s="50">
        <v>43164.0</v>
      </c>
      <c r="G599" s="50">
        <v>43164.0</v>
      </c>
      <c r="H599" s="51">
        <v>43266.70625</v>
      </c>
      <c r="I599" s="52">
        <v>1.0</v>
      </c>
      <c r="J599" s="53"/>
      <c r="K599" s="53"/>
    </row>
    <row r="600">
      <c r="A600" s="48" t="s">
        <v>1966</v>
      </c>
      <c r="B600" s="49" t="s">
        <v>1967</v>
      </c>
      <c r="C600" s="49" t="s">
        <v>1049</v>
      </c>
      <c r="D600" s="49" t="s">
        <v>140</v>
      </c>
      <c r="E600" s="49" t="s">
        <v>245</v>
      </c>
      <c r="F600" s="50">
        <v>43164.0</v>
      </c>
      <c r="G600" s="50">
        <v>43164.0</v>
      </c>
      <c r="H600" s="51">
        <v>43266.70625</v>
      </c>
      <c r="I600" s="52">
        <v>1.0</v>
      </c>
      <c r="J600" s="53"/>
      <c r="K600" s="53"/>
    </row>
    <row r="601">
      <c r="A601" s="48" t="s">
        <v>1969</v>
      </c>
      <c r="B601" s="49" t="s">
        <v>1971</v>
      </c>
      <c r="C601" s="49" t="s">
        <v>203</v>
      </c>
      <c r="D601" s="49" t="s">
        <v>140</v>
      </c>
      <c r="E601" s="49" t="s">
        <v>245</v>
      </c>
      <c r="F601" s="50">
        <v>43164.0</v>
      </c>
      <c r="G601" s="50">
        <v>43164.0</v>
      </c>
      <c r="H601" s="51">
        <v>43266.70625</v>
      </c>
      <c r="I601" s="52">
        <v>1.0</v>
      </c>
      <c r="J601" s="53"/>
      <c r="K601" s="53"/>
    </row>
    <row r="602">
      <c r="A602" s="48" t="s">
        <v>1973</v>
      </c>
      <c r="B602" s="49" t="s">
        <v>1974</v>
      </c>
      <c r="C602" s="49" t="s">
        <v>221</v>
      </c>
      <c r="D602" s="49" t="s">
        <v>153</v>
      </c>
      <c r="E602" s="49" t="s">
        <v>245</v>
      </c>
      <c r="F602" s="50">
        <v>43161.0</v>
      </c>
      <c r="G602" s="50">
        <v>43161.0</v>
      </c>
      <c r="H602" s="51">
        <v>43161.67152777778</v>
      </c>
      <c r="I602" s="52">
        <v>1.0</v>
      </c>
      <c r="J602" s="53"/>
      <c r="K602" s="53"/>
    </row>
    <row r="603">
      <c r="A603" s="48" t="s">
        <v>1977</v>
      </c>
      <c r="B603" s="49" t="s">
        <v>1978</v>
      </c>
      <c r="C603" s="49" t="s">
        <v>257</v>
      </c>
      <c r="D603" s="49" t="s">
        <v>153</v>
      </c>
      <c r="E603" s="49" t="s">
        <v>245</v>
      </c>
      <c r="F603" s="50">
        <v>43161.0</v>
      </c>
      <c r="G603" s="50">
        <v>43161.0</v>
      </c>
      <c r="H603" s="51">
        <v>43161.67083333333</v>
      </c>
      <c r="I603" s="52">
        <v>1.0</v>
      </c>
      <c r="J603" s="53"/>
      <c r="K603" s="53"/>
    </row>
    <row r="604">
      <c r="A604" s="48" t="s">
        <v>1980</v>
      </c>
      <c r="B604" s="49" t="s">
        <v>1982</v>
      </c>
      <c r="C604" s="49" t="s">
        <v>221</v>
      </c>
      <c r="D604" s="49" t="s">
        <v>153</v>
      </c>
      <c r="E604" s="49" t="s">
        <v>245</v>
      </c>
      <c r="F604" s="50">
        <v>43161.0</v>
      </c>
      <c r="G604" s="50">
        <v>43161.0</v>
      </c>
      <c r="H604" s="51">
        <v>43161.67291666667</v>
      </c>
      <c r="I604" s="52">
        <v>1.0</v>
      </c>
      <c r="J604" s="53"/>
      <c r="K604" s="53"/>
    </row>
    <row r="605">
      <c r="A605" s="48" t="s">
        <v>1984</v>
      </c>
      <c r="B605" s="49" t="s">
        <v>1985</v>
      </c>
      <c r="C605" s="49" t="s">
        <v>257</v>
      </c>
      <c r="D605" s="49" t="s">
        <v>153</v>
      </c>
      <c r="E605" s="49" t="s">
        <v>245</v>
      </c>
      <c r="F605" s="50">
        <v>43160.0</v>
      </c>
      <c r="G605" s="50">
        <v>43160.0</v>
      </c>
      <c r="H605" s="51">
        <v>43161.67013888889</v>
      </c>
      <c r="I605" s="52">
        <v>1.0</v>
      </c>
      <c r="J605" s="53"/>
      <c r="K605" s="53"/>
    </row>
    <row r="606">
      <c r="A606" s="48" t="s">
        <v>1988</v>
      </c>
      <c r="B606" s="49" t="s">
        <v>1989</v>
      </c>
      <c r="C606" s="49" t="s">
        <v>257</v>
      </c>
      <c r="D606" s="49" t="s">
        <v>153</v>
      </c>
      <c r="E606" s="49" t="s">
        <v>245</v>
      </c>
      <c r="F606" s="50">
        <v>43160.0</v>
      </c>
      <c r="G606" s="50">
        <v>43160.0</v>
      </c>
      <c r="H606" s="51">
        <v>43161.67083333333</v>
      </c>
      <c r="I606" s="52">
        <v>1.0</v>
      </c>
      <c r="J606" s="53"/>
      <c r="K606" s="53"/>
    </row>
    <row r="607">
      <c r="A607" s="48" t="s">
        <v>1991</v>
      </c>
      <c r="B607" s="49" t="s">
        <v>1992</v>
      </c>
      <c r="C607" s="49" t="s">
        <v>257</v>
      </c>
      <c r="D607" s="49" t="s">
        <v>153</v>
      </c>
      <c r="E607" s="49" t="s">
        <v>245</v>
      </c>
      <c r="F607" s="50">
        <v>43160.0</v>
      </c>
      <c r="G607" s="50">
        <v>43160.0</v>
      </c>
      <c r="H607" s="51">
        <v>43161.67083333333</v>
      </c>
      <c r="I607" s="52">
        <v>1.0</v>
      </c>
      <c r="J607" s="53"/>
      <c r="K607" s="53"/>
    </row>
    <row r="608">
      <c r="A608" s="48" t="s">
        <v>1994</v>
      </c>
      <c r="B608" s="49" t="s">
        <v>1995</v>
      </c>
      <c r="C608" s="49" t="s">
        <v>257</v>
      </c>
      <c r="D608" s="49" t="s">
        <v>153</v>
      </c>
      <c r="E608" s="49" t="s">
        <v>245</v>
      </c>
      <c r="F608" s="50">
        <v>43160.0</v>
      </c>
      <c r="G608" s="50">
        <v>43160.0</v>
      </c>
      <c r="H608" s="51">
        <v>43161.67083333333</v>
      </c>
      <c r="I608" s="52">
        <v>1.0</v>
      </c>
      <c r="J608" s="53"/>
      <c r="K608" s="53"/>
    </row>
    <row r="609">
      <c r="A609" s="48" t="s">
        <v>1997</v>
      </c>
      <c r="B609" s="49" t="s">
        <v>2000</v>
      </c>
      <c r="C609" s="49" t="s">
        <v>243</v>
      </c>
      <c r="D609" s="49" t="s">
        <v>148</v>
      </c>
      <c r="E609" s="49" t="s">
        <v>245</v>
      </c>
      <c r="F609" s="50">
        <v>43159.0</v>
      </c>
      <c r="G609" s="50">
        <v>43162.0</v>
      </c>
      <c r="H609" s="51">
        <v>43159.39236111111</v>
      </c>
      <c r="I609" s="52">
        <v>1.0</v>
      </c>
      <c r="J609" s="53"/>
      <c r="K609" s="53"/>
    </row>
    <row r="610">
      <c r="A610" s="48" t="s">
        <v>2001</v>
      </c>
      <c r="B610" s="49" t="s">
        <v>2002</v>
      </c>
      <c r="C610" s="49" t="s">
        <v>243</v>
      </c>
      <c r="D610" s="49" t="s">
        <v>148</v>
      </c>
      <c r="E610" s="49" t="s">
        <v>245</v>
      </c>
      <c r="F610" s="50">
        <v>43159.0</v>
      </c>
      <c r="G610" s="50">
        <v>43163.0</v>
      </c>
      <c r="H610" s="51">
        <v>43159.586805555555</v>
      </c>
      <c r="I610" s="52">
        <v>1.0</v>
      </c>
      <c r="J610" s="53"/>
      <c r="K610" s="53"/>
    </row>
    <row r="611">
      <c r="A611" s="48" t="s">
        <v>2006</v>
      </c>
      <c r="B611" s="49" t="s">
        <v>2007</v>
      </c>
      <c r="C611" s="49" t="s">
        <v>243</v>
      </c>
      <c r="D611" s="49" t="s">
        <v>148</v>
      </c>
      <c r="E611" s="49" t="s">
        <v>245</v>
      </c>
      <c r="F611" s="50">
        <v>43159.0</v>
      </c>
      <c r="G611" s="50">
        <v>43163.0</v>
      </c>
      <c r="H611" s="51">
        <v>43159.70972222222</v>
      </c>
      <c r="I611" s="52">
        <v>1.0</v>
      </c>
      <c r="J611" s="53"/>
      <c r="K611" s="53"/>
    </row>
    <row r="612">
      <c r="A612" s="48" t="s">
        <v>2010</v>
      </c>
      <c r="B612" s="49" t="s">
        <v>2011</v>
      </c>
      <c r="C612" s="49" t="s">
        <v>257</v>
      </c>
      <c r="D612" s="49" t="s">
        <v>153</v>
      </c>
      <c r="E612" s="49" t="s">
        <v>245</v>
      </c>
      <c r="F612" s="50">
        <v>43159.0</v>
      </c>
      <c r="G612" s="50">
        <v>43159.0</v>
      </c>
      <c r="H612" s="51">
        <v>43160.40625</v>
      </c>
      <c r="I612" s="52">
        <v>1.0</v>
      </c>
      <c r="J612" s="53"/>
      <c r="K612" s="53"/>
    </row>
    <row r="613">
      <c r="A613" s="48" t="s">
        <v>2013</v>
      </c>
      <c r="B613" s="49" t="s">
        <v>2014</v>
      </c>
      <c r="C613" s="49" t="s">
        <v>221</v>
      </c>
      <c r="D613" s="49" t="s">
        <v>153</v>
      </c>
      <c r="E613" s="49" t="s">
        <v>245</v>
      </c>
      <c r="F613" s="50">
        <v>43159.0</v>
      </c>
      <c r="G613" s="50">
        <v>43159.0</v>
      </c>
      <c r="H613" s="51">
        <v>43160.40694444445</v>
      </c>
      <c r="I613" s="52">
        <v>1.0</v>
      </c>
      <c r="J613" s="53"/>
      <c r="K613" s="53"/>
    </row>
    <row r="614">
      <c r="A614" s="48" t="s">
        <v>2017</v>
      </c>
      <c r="B614" s="49" t="s">
        <v>2018</v>
      </c>
      <c r="C614" s="49" t="s">
        <v>243</v>
      </c>
      <c r="D614" s="49" t="s">
        <v>148</v>
      </c>
      <c r="E614" s="49" t="s">
        <v>204</v>
      </c>
      <c r="F614" s="50">
        <v>43158.0</v>
      </c>
      <c r="G614" s="50">
        <v>43168.0</v>
      </c>
      <c r="H614" s="51">
        <v>43158.60972222222</v>
      </c>
      <c r="I614" s="52">
        <v>0.0</v>
      </c>
      <c r="J614" s="53"/>
      <c r="K614" s="53"/>
    </row>
    <row r="615">
      <c r="A615" s="48" t="s">
        <v>2022</v>
      </c>
      <c r="B615" s="49" t="s">
        <v>2023</v>
      </c>
      <c r="C615" s="49" t="s">
        <v>243</v>
      </c>
      <c r="D615" s="49" t="s">
        <v>148</v>
      </c>
      <c r="E615" s="49" t="s">
        <v>204</v>
      </c>
      <c r="F615" s="50">
        <v>43158.0</v>
      </c>
      <c r="G615" s="50">
        <v>43168.0</v>
      </c>
      <c r="H615" s="51">
        <v>43158.59652777778</v>
      </c>
      <c r="I615" s="52">
        <v>0.0</v>
      </c>
      <c r="J615" s="53"/>
      <c r="K615" s="53"/>
    </row>
    <row r="616">
      <c r="A616" s="48" t="s">
        <v>2025</v>
      </c>
      <c r="B616" s="49" t="s">
        <v>2026</v>
      </c>
      <c r="C616" s="49" t="s">
        <v>243</v>
      </c>
      <c r="D616" s="49" t="s">
        <v>148</v>
      </c>
      <c r="E616" s="49" t="s">
        <v>204</v>
      </c>
      <c r="F616" s="50">
        <v>43158.0</v>
      </c>
      <c r="G616" s="50">
        <v>43168.0</v>
      </c>
      <c r="H616" s="51">
        <v>43158.59722222222</v>
      </c>
      <c r="I616" s="52">
        <v>0.0</v>
      </c>
      <c r="J616" s="53"/>
      <c r="K616" s="53"/>
    </row>
    <row r="617">
      <c r="A617" s="48" t="s">
        <v>2027</v>
      </c>
      <c r="B617" s="49" t="s">
        <v>2028</v>
      </c>
      <c r="C617" s="49" t="s">
        <v>243</v>
      </c>
      <c r="D617" s="49" t="s">
        <v>148</v>
      </c>
      <c r="E617" s="49" t="s">
        <v>204</v>
      </c>
      <c r="F617" s="50">
        <v>43158.0</v>
      </c>
      <c r="G617" s="50">
        <v>43168.0</v>
      </c>
      <c r="H617" s="51">
        <v>43158.597916666666</v>
      </c>
      <c r="I617" s="52">
        <v>0.0</v>
      </c>
      <c r="J617" s="53"/>
      <c r="K617" s="53"/>
    </row>
    <row r="618">
      <c r="A618" s="48" t="s">
        <v>2029</v>
      </c>
      <c r="B618" s="49" t="s">
        <v>2031</v>
      </c>
      <c r="C618" s="49" t="s">
        <v>243</v>
      </c>
      <c r="D618" s="49" t="s">
        <v>148</v>
      </c>
      <c r="E618" s="49" t="s">
        <v>204</v>
      </c>
      <c r="F618" s="50">
        <v>43158.0</v>
      </c>
      <c r="G618" s="50">
        <v>43168.0</v>
      </c>
      <c r="H618" s="51">
        <v>43158.59861111111</v>
      </c>
      <c r="I618" s="52">
        <v>0.0</v>
      </c>
      <c r="J618" s="53"/>
      <c r="K618" s="53"/>
    </row>
    <row r="619">
      <c r="A619" s="48" t="s">
        <v>2032</v>
      </c>
      <c r="B619" s="49" t="s">
        <v>2033</v>
      </c>
      <c r="C619" s="49" t="s">
        <v>243</v>
      </c>
      <c r="D619" s="49" t="s">
        <v>148</v>
      </c>
      <c r="E619" s="49" t="s">
        <v>204</v>
      </c>
      <c r="F619" s="50">
        <v>43158.0</v>
      </c>
      <c r="G619" s="50">
        <v>43168.0</v>
      </c>
      <c r="H619" s="51">
        <v>43158.59930555556</v>
      </c>
      <c r="I619" s="52">
        <v>0.0</v>
      </c>
      <c r="J619" s="53"/>
      <c r="K619" s="53"/>
    </row>
    <row r="620">
      <c r="A620" s="48" t="s">
        <v>2035</v>
      </c>
      <c r="B620" s="49" t="s">
        <v>2036</v>
      </c>
      <c r="C620" s="49" t="s">
        <v>243</v>
      </c>
      <c r="D620" s="49" t="s">
        <v>148</v>
      </c>
      <c r="E620" s="49" t="s">
        <v>204</v>
      </c>
      <c r="F620" s="50">
        <v>43158.0</v>
      </c>
      <c r="G620" s="50">
        <v>43168.0</v>
      </c>
      <c r="H620" s="51">
        <v>43158.6</v>
      </c>
      <c r="I620" s="52">
        <v>0.0</v>
      </c>
      <c r="J620" s="53"/>
      <c r="K620" s="53"/>
    </row>
    <row r="621">
      <c r="A621" s="48" t="s">
        <v>2037</v>
      </c>
      <c r="B621" s="49" t="s">
        <v>2038</v>
      </c>
      <c r="C621" s="49" t="s">
        <v>243</v>
      </c>
      <c r="D621" s="49" t="s">
        <v>148</v>
      </c>
      <c r="E621" s="49" t="s">
        <v>204</v>
      </c>
      <c r="F621" s="50">
        <v>43158.0</v>
      </c>
      <c r="G621" s="50">
        <v>43168.0</v>
      </c>
      <c r="H621" s="51">
        <v>43158.60138888889</v>
      </c>
      <c r="I621" s="52">
        <v>0.0</v>
      </c>
      <c r="J621" s="53"/>
      <c r="K621" s="53"/>
    </row>
    <row r="622">
      <c r="A622" s="48" t="s">
        <v>2040</v>
      </c>
      <c r="B622" s="49" t="s">
        <v>2041</v>
      </c>
      <c r="C622" s="49" t="s">
        <v>243</v>
      </c>
      <c r="D622" s="49" t="s">
        <v>148</v>
      </c>
      <c r="E622" s="49" t="s">
        <v>204</v>
      </c>
      <c r="F622" s="50">
        <v>43158.0</v>
      </c>
      <c r="G622" s="50">
        <v>43168.0</v>
      </c>
      <c r="H622" s="51">
        <v>43158.60208333333</v>
      </c>
      <c r="I622" s="52">
        <v>0.0</v>
      </c>
      <c r="J622" s="53"/>
      <c r="K622" s="53"/>
    </row>
    <row r="623">
      <c r="A623" s="48" t="s">
        <v>2042</v>
      </c>
      <c r="B623" s="49" t="s">
        <v>2043</v>
      </c>
      <c r="C623" s="49" t="s">
        <v>243</v>
      </c>
      <c r="D623" s="49" t="s">
        <v>148</v>
      </c>
      <c r="E623" s="49" t="s">
        <v>245</v>
      </c>
      <c r="F623" s="50">
        <v>43158.0</v>
      </c>
      <c r="G623" s="50">
        <v>43161.0</v>
      </c>
      <c r="H623" s="51">
        <v>43158.49375</v>
      </c>
      <c r="I623" s="52">
        <v>1.0</v>
      </c>
      <c r="J623" s="53"/>
      <c r="K623" s="53"/>
    </row>
    <row r="624">
      <c r="A624" s="48" t="s">
        <v>2045</v>
      </c>
      <c r="B624" s="49" t="s">
        <v>2047</v>
      </c>
      <c r="C624" s="49" t="s">
        <v>243</v>
      </c>
      <c r="D624" s="49" t="s">
        <v>148</v>
      </c>
      <c r="E624" s="49" t="s">
        <v>245</v>
      </c>
      <c r="F624" s="50">
        <v>43158.0</v>
      </c>
      <c r="G624" s="50">
        <v>43158.0</v>
      </c>
      <c r="H624" s="51">
        <v>43158.60972222222</v>
      </c>
      <c r="I624" s="52">
        <v>1.0</v>
      </c>
      <c r="J624" s="53"/>
      <c r="K624" s="53"/>
    </row>
    <row r="625">
      <c r="A625" s="48" t="s">
        <v>2050</v>
      </c>
      <c r="B625" s="49" t="s">
        <v>2051</v>
      </c>
      <c r="C625" s="49" t="s">
        <v>243</v>
      </c>
      <c r="D625" s="49" t="s">
        <v>148</v>
      </c>
      <c r="E625" s="49" t="s">
        <v>245</v>
      </c>
      <c r="F625" s="50">
        <v>43158.0</v>
      </c>
      <c r="G625" s="50">
        <v>43168.0</v>
      </c>
      <c r="H625" s="51">
        <v>43158.654861111114</v>
      </c>
      <c r="I625" s="52">
        <v>1.0</v>
      </c>
      <c r="J625" s="53"/>
      <c r="K625" s="53"/>
    </row>
    <row r="626">
      <c r="A626" s="48" t="s">
        <v>2054</v>
      </c>
      <c r="B626" s="49" t="s">
        <v>2055</v>
      </c>
      <c r="C626" s="49" t="s">
        <v>243</v>
      </c>
      <c r="D626" s="49" t="s">
        <v>148</v>
      </c>
      <c r="E626" s="49" t="s">
        <v>245</v>
      </c>
      <c r="F626" s="50">
        <v>43158.0</v>
      </c>
      <c r="G626" s="50">
        <v>43158.0</v>
      </c>
      <c r="H626" s="51">
        <v>43158.60972222222</v>
      </c>
      <c r="I626" s="52">
        <v>1.0</v>
      </c>
      <c r="J626" s="53"/>
      <c r="K626" s="53"/>
    </row>
    <row r="627">
      <c r="A627" s="48" t="s">
        <v>2058</v>
      </c>
      <c r="B627" s="49" t="s">
        <v>2059</v>
      </c>
      <c r="C627" s="49" t="s">
        <v>243</v>
      </c>
      <c r="D627" s="49" t="s">
        <v>148</v>
      </c>
      <c r="E627" s="49" t="s">
        <v>245</v>
      </c>
      <c r="F627" s="50">
        <v>43158.0</v>
      </c>
      <c r="G627" s="50">
        <v>43168.0</v>
      </c>
      <c r="H627" s="51">
        <v>43158.654861111114</v>
      </c>
      <c r="I627" s="52">
        <v>1.0</v>
      </c>
      <c r="J627" s="53"/>
      <c r="K627" s="53"/>
    </row>
    <row r="628">
      <c r="A628" s="48" t="s">
        <v>2062</v>
      </c>
      <c r="B628" s="49" t="s">
        <v>2064</v>
      </c>
      <c r="C628" s="49" t="s">
        <v>243</v>
      </c>
      <c r="D628" s="49" t="s">
        <v>148</v>
      </c>
      <c r="E628" s="49" t="s">
        <v>245</v>
      </c>
      <c r="F628" s="50">
        <v>43158.0</v>
      </c>
      <c r="G628" s="50">
        <v>43158.0</v>
      </c>
      <c r="H628" s="51">
        <v>43158.60972222222</v>
      </c>
      <c r="I628" s="52">
        <v>1.0</v>
      </c>
      <c r="J628" s="53"/>
      <c r="K628" s="53"/>
    </row>
    <row r="629">
      <c r="A629" s="48" t="s">
        <v>2067</v>
      </c>
      <c r="B629" s="49" t="s">
        <v>2068</v>
      </c>
      <c r="C629" s="49" t="s">
        <v>243</v>
      </c>
      <c r="D629" s="49" t="s">
        <v>148</v>
      </c>
      <c r="E629" s="49" t="s">
        <v>245</v>
      </c>
      <c r="F629" s="50">
        <v>43158.0</v>
      </c>
      <c r="G629" s="50">
        <v>43158.0</v>
      </c>
      <c r="H629" s="51">
        <v>43158.654861111114</v>
      </c>
      <c r="I629" s="52">
        <v>1.0</v>
      </c>
      <c r="J629" s="53"/>
      <c r="K629" s="53"/>
    </row>
    <row r="630">
      <c r="A630" s="48" t="s">
        <v>2069</v>
      </c>
      <c r="B630" s="49" t="s">
        <v>2070</v>
      </c>
      <c r="C630" s="49" t="s">
        <v>243</v>
      </c>
      <c r="D630" s="49" t="s">
        <v>148</v>
      </c>
      <c r="E630" s="49" t="s">
        <v>245</v>
      </c>
      <c r="F630" s="50">
        <v>43158.0</v>
      </c>
      <c r="G630" s="50">
        <v>43158.0</v>
      </c>
      <c r="H630" s="51">
        <v>43158.60972222222</v>
      </c>
      <c r="I630" s="52">
        <v>1.0</v>
      </c>
      <c r="J630" s="53"/>
      <c r="K630" s="53"/>
    </row>
    <row r="631">
      <c r="A631" s="48" t="s">
        <v>2073</v>
      </c>
      <c r="B631" s="49" t="s">
        <v>2074</v>
      </c>
      <c r="C631" s="49" t="s">
        <v>243</v>
      </c>
      <c r="D631" s="49" t="s">
        <v>148</v>
      </c>
      <c r="E631" s="49" t="s">
        <v>245</v>
      </c>
      <c r="F631" s="50">
        <v>43158.0</v>
      </c>
      <c r="G631" s="50">
        <v>43168.0</v>
      </c>
      <c r="H631" s="51">
        <v>43158.654861111114</v>
      </c>
      <c r="I631" s="52">
        <v>1.0</v>
      </c>
      <c r="J631" s="53"/>
      <c r="K631" s="53"/>
    </row>
    <row r="632">
      <c r="A632" s="48" t="s">
        <v>2076</v>
      </c>
      <c r="B632" s="49" t="s">
        <v>2077</v>
      </c>
      <c r="C632" s="49" t="s">
        <v>243</v>
      </c>
      <c r="D632" s="49" t="s">
        <v>148</v>
      </c>
      <c r="E632" s="49" t="s">
        <v>245</v>
      </c>
      <c r="F632" s="50">
        <v>43158.0</v>
      </c>
      <c r="G632" s="50">
        <v>43158.0</v>
      </c>
      <c r="H632" s="51">
        <v>43158.60972222222</v>
      </c>
      <c r="I632" s="52">
        <v>1.0</v>
      </c>
      <c r="J632" s="53"/>
      <c r="K632" s="53"/>
    </row>
    <row r="633">
      <c r="A633" s="48" t="s">
        <v>2079</v>
      </c>
      <c r="B633" s="49" t="s">
        <v>2081</v>
      </c>
      <c r="C633" s="49" t="s">
        <v>243</v>
      </c>
      <c r="D633" s="49" t="s">
        <v>148</v>
      </c>
      <c r="E633" s="49" t="s">
        <v>245</v>
      </c>
      <c r="F633" s="50">
        <v>43158.0</v>
      </c>
      <c r="G633" s="50">
        <v>43168.0</v>
      </c>
      <c r="H633" s="51">
        <v>43158.654861111114</v>
      </c>
      <c r="I633" s="52">
        <v>1.0</v>
      </c>
      <c r="J633" s="53"/>
      <c r="K633" s="53"/>
    </row>
    <row r="634">
      <c r="A634" s="48" t="s">
        <v>2085</v>
      </c>
      <c r="B634" s="49" t="s">
        <v>2086</v>
      </c>
      <c r="C634" s="49" t="s">
        <v>243</v>
      </c>
      <c r="D634" s="49" t="s">
        <v>148</v>
      </c>
      <c r="E634" s="49" t="s">
        <v>245</v>
      </c>
      <c r="F634" s="50">
        <v>43158.0</v>
      </c>
      <c r="G634" s="50">
        <v>43158.0</v>
      </c>
      <c r="H634" s="51">
        <v>43158.60972222222</v>
      </c>
      <c r="I634" s="52">
        <v>1.0</v>
      </c>
      <c r="J634" s="53"/>
      <c r="K634" s="53"/>
    </row>
    <row r="635">
      <c r="A635" s="48" t="s">
        <v>2089</v>
      </c>
      <c r="B635" s="49" t="s">
        <v>2090</v>
      </c>
      <c r="C635" s="49" t="s">
        <v>243</v>
      </c>
      <c r="D635" s="49" t="s">
        <v>148</v>
      </c>
      <c r="E635" s="49" t="s">
        <v>245</v>
      </c>
      <c r="F635" s="50">
        <v>43158.0</v>
      </c>
      <c r="G635" s="50">
        <v>43168.0</v>
      </c>
      <c r="H635" s="51">
        <v>43158.654861111114</v>
      </c>
      <c r="I635" s="52">
        <v>1.0</v>
      </c>
      <c r="J635" s="53"/>
      <c r="K635" s="53"/>
    </row>
    <row r="636">
      <c r="A636" s="48" t="s">
        <v>2094</v>
      </c>
      <c r="B636" s="49" t="s">
        <v>2095</v>
      </c>
      <c r="C636" s="49" t="s">
        <v>243</v>
      </c>
      <c r="D636" s="49" t="s">
        <v>148</v>
      </c>
      <c r="E636" s="49" t="s">
        <v>245</v>
      </c>
      <c r="F636" s="50">
        <v>43158.0</v>
      </c>
      <c r="G636" s="50">
        <v>43158.0</v>
      </c>
      <c r="H636" s="51">
        <v>43158.60972222222</v>
      </c>
      <c r="I636" s="52">
        <v>1.0</v>
      </c>
      <c r="J636" s="53"/>
      <c r="K636" s="53"/>
    </row>
    <row r="637">
      <c r="A637" s="48" t="s">
        <v>2096</v>
      </c>
      <c r="B637" s="49" t="s">
        <v>2097</v>
      </c>
      <c r="C637" s="49" t="s">
        <v>243</v>
      </c>
      <c r="D637" s="49" t="s">
        <v>148</v>
      </c>
      <c r="E637" s="49" t="s">
        <v>245</v>
      </c>
      <c r="F637" s="50">
        <v>43158.0</v>
      </c>
      <c r="G637" s="50">
        <v>43168.0</v>
      </c>
      <c r="H637" s="51">
        <v>43158.654861111114</v>
      </c>
      <c r="I637" s="52">
        <v>1.0</v>
      </c>
      <c r="J637" s="53"/>
      <c r="K637" s="53"/>
    </row>
    <row r="638">
      <c r="A638" s="48" t="s">
        <v>2100</v>
      </c>
      <c r="B638" s="49" t="s">
        <v>2101</v>
      </c>
      <c r="C638" s="49" t="s">
        <v>243</v>
      </c>
      <c r="D638" s="49" t="s">
        <v>148</v>
      </c>
      <c r="E638" s="49" t="s">
        <v>245</v>
      </c>
      <c r="F638" s="50">
        <v>43158.0</v>
      </c>
      <c r="G638" s="50">
        <v>43158.0</v>
      </c>
      <c r="H638" s="51">
        <v>43158.60972222222</v>
      </c>
      <c r="I638" s="52">
        <v>1.0</v>
      </c>
      <c r="J638" s="53"/>
      <c r="K638" s="53"/>
    </row>
    <row r="639">
      <c r="A639" s="48" t="s">
        <v>2104</v>
      </c>
      <c r="B639" s="49" t="s">
        <v>2105</v>
      </c>
      <c r="C639" s="49" t="s">
        <v>243</v>
      </c>
      <c r="D639" s="49" t="s">
        <v>148</v>
      </c>
      <c r="E639" s="49" t="s">
        <v>245</v>
      </c>
      <c r="F639" s="50">
        <v>43158.0</v>
      </c>
      <c r="G639" s="50">
        <v>43168.0</v>
      </c>
      <c r="H639" s="51">
        <v>43158.654861111114</v>
      </c>
      <c r="I639" s="52">
        <v>1.0</v>
      </c>
      <c r="J639" s="53"/>
      <c r="K639" s="53"/>
    </row>
    <row r="640">
      <c r="A640" s="48" t="s">
        <v>2107</v>
      </c>
      <c r="B640" s="49" t="s">
        <v>2108</v>
      </c>
      <c r="C640" s="49" t="s">
        <v>243</v>
      </c>
      <c r="D640" s="49" t="s">
        <v>148</v>
      </c>
      <c r="E640" s="49" t="s">
        <v>245</v>
      </c>
      <c r="F640" s="50">
        <v>43158.0</v>
      </c>
      <c r="G640" s="50">
        <v>43158.0</v>
      </c>
      <c r="H640" s="51">
        <v>43158.60902777778</v>
      </c>
      <c r="I640" s="52">
        <v>1.0</v>
      </c>
      <c r="J640" s="53"/>
      <c r="K640" s="53"/>
    </row>
    <row r="641">
      <c r="A641" s="48" t="s">
        <v>2111</v>
      </c>
      <c r="B641" s="49" t="s">
        <v>2112</v>
      </c>
      <c r="C641" s="49" t="s">
        <v>243</v>
      </c>
      <c r="D641" s="49" t="s">
        <v>148</v>
      </c>
      <c r="E641" s="49" t="s">
        <v>245</v>
      </c>
      <c r="F641" s="50">
        <v>43158.0</v>
      </c>
      <c r="G641" s="50">
        <v>43168.0</v>
      </c>
      <c r="H641" s="51">
        <v>43158.654861111114</v>
      </c>
      <c r="I641" s="52">
        <v>1.0</v>
      </c>
      <c r="J641" s="53"/>
      <c r="K641" s="53"/>
    </row>
    <row r="642">
      <c r="A642" s="48" t="s">
        <v>2115</v>
      </c>
      <c r="B642" s="49" t="s">
        <v>2117</v>
      </c>
      <c r="C642" s="49" t="s">
        <v>243</v>
      </c>
      <c r="D642" s="49" t="s">
        <v>148</v>
      </c>
      <c r="E642" s="49" t="s">
        <v>245</v>
      </c>
      <c r="F642" s="50">
        <v>43157.0</v>
      </c>
      <c r="G642" s="50">
        <v>43165.0</v>
      </c>
      <c r="H642" s="51">
        <v>43157.5875</v>
      </c>
      <c r="I642" s="52">
        <v>1.0</v>
      </c>
      <c r="J642" s="53"/>
      <c r="K642" s="53"/>
    </row>
    <row r="643">
      <c r="A643" s="48" t="s">
        <v>2118</v>
      </c>
      <c r="B643" s="49" t="s">
        <v>2119</v>
      </c>
      <c r="C643" s="49" t="s">
        <v>243</v>
      </c>
      <c r="D643" s="49" t="s">
        <v>148</v>
      </c>
      <c r="E643" s="49" t="s">
        <v>245</v>
      </c>
      <c r="F643" s="50">
        <v>43157.0</v>
      </c>
      <c r="G643" s="50">
        <v>43164.0</v>
      </c>
      <c r="H643" s="51">
        <v>43157.589583333334</v>
      </c>
      <c r="I643" s="52">
        <v>1.0</v>
      </c>
      <c r="J643" s="53"/>
      <c r="K643" s="53"/>
    </row>
    <row r="644">
      <c r="A644" s="48" t="s">
        <v>2121</v>
      </c>
      <c r="B644" s="49" t="s">
        <v>2122</v>
      </c>
      <c r="C644" s="49" t="s">
        <v>243</v>
      </c>
      <c r="D644" s="49" t="s">
        <v>148</v>
      </c>
      <c r="E644" s="49" t="s">
        <v>245</v>
      </c>
      <c r="F644" s="50">
        <v>43157.0</v>
      </c>
      <c r="G644" s="50">
        <v>43163.0</v>
      </c>
      <c r="H644" s="51">
        <v>43157.5875</v>
      </c>
      <c r="I644" s="52">
        <v>1.0</v>
      </c>
      <c r="J644" s="53"/>
      <c r="K644" s="53"/>
    </row>
    <row r="645">
      <c r="A645" s="48" t="s">
        <v>2124</v>
      </c>
      <c r="B645" s="49" t="s">
        <v>2125</v>
      </c>
      <c r="C645" s="49" t="s">
        <v>243</v>
      </c>
      <c r="D645" s="49" t="s">
        <v>148</v>
      </c>
      <c r="E645" s="49" t="s">
        <v>245</v>
      </c>
      <c r="F645" s="50">
        <v>43157.0</v>
      </c>
      <c r="G645" s="50">
        <v>43160.0</v>
      </c>
      <c r="H645" s="51">
        <v>43157.59166666667</v>
      </c>
      <c r="I645" s="52">
        <v>1.0</v>
      </c>
      <c r="J645" s="53"/>
      <c r="K645" s="53"/>
    </row>
    <row r="646">
      <c r="A646" s="48" t="s">
        <v>2127</v>
      </c>
      <c r="B646" s="49" t="s">
        <v>2128</v>
      </c>
      <c r="C646" s="49" t="s">
        <v>257</v>
      </c>
      <c r="D646" s="49" t="s">
        <v>153</v>
      </c>
      <c r="E646" s="49" t="s">
        <v>245</v>
      </c>
      <c r="F646" s="50">
        <v>43157.0</v>
      </c>
      <c r="G646" s="50">
        <v>43157.0</v>
      </c>
      <c r="H646" s="51">
        <v>43157.711805555555</v>
      </c>
      <c r="I646" s="52">
        <v>1.0</v>
      </c>
      <c r="J646" s="53"/>
      <c r="K646" s="53"/>
    </row>
    <row r="647">
      <c r="A647" s="48" t="s">
        <v>2131</v>
      </c>
      <c r="B647" s="49" t="s">
        <v>2132</v>
      </c>
      <c r="C647" s="49" t="s">
        <v>221</v>
      </c>
      <c r="D647" s="49" t="s">
        <v>153</v>
      </c>
      <c r="E647" s="49" t="s">
        <v>245</v>
      </c>
      <c r="F647" s="50">
        <v>43157.0</v>
      </c>
      <c r="G647" s="50">
        <v>43157.0</v>
      </c>
      <c r="H647" s="51">
        <v>43157.711805555555</v>
      </c>
      <c r="I647" s="52">
        <v>1.0</v>
      </c>
      <c r="J647" s="53"/>
      <c r="K647" s="53"/>
    </row>
    <row r="648">
      <c r="A648" s="48" t="s">
        <v>2134</v>
      </c>
      <c r="B648" s="49" t="s">
        <v>2135</v>
      </c>
      <c r="C648" s="49" t="s">
        <v>257</v>
      </c>
      <c r="D648" s="49" t="s">
        <v>153</v>
      </c>
      <c r="E648" s="49" t="s">
        <v>245</v>
      </c>
      <c r="F648" s="50">
        <v>43157.0</v>
      </c>
      <c r="G648" s="50">
        <v>43157.0</v>
      </c>
      <c r="H648" s="51">
        <v>43157.7125</v>
      </c>
      <c r="I648" s="52">
        <v>1.0</v>
      </c>
      <c r="J648" s="53"/>
      <c r="K648" s="53"/>
    </row>
    <row r="649">
      <c r="A649" s="48" t="s">
        <v>2137</v>
      </c>
      <c r="B649" s="49" t="s">
        <v>2138</v>
      </c>
      <c r="C649" s="49" t="s">
        <v>221</v>
      </c>
      <c r="D649" s="49" t="s">
        <v>153</v>
      </c>
      <c r="E649" s="49" t="s">
        <v>245</v>
      </c>
      <c r="F649" s="50">
        <v>43157.0</v>
      </c>
      <c r="G649" s="50">
        <v>43157.0</v>
      </c>
      <c r="H649" s="51">
        <v>43157.7125</v>
      </c>
      <c r="I649" s="52">
        <v>1.0</v>
      </c>
      <c r="J649" s="53"/>
      <c r="K649" s="53"/>
    </row>
    <row r="650">
      <c r="A650" s="48" t="s">
        <v>2143</v>
      </c>
      <c r="B650" s="49" t="s">
        <v>2144</v>
      </c>
      <c r="C650" s="49" t="s">
        <v>243</v>
      </c>
      <c r="D650" s="49" t="s">
        <v>148</v>
      </c>
      <c r="E650" s="49" t="s">
        <v>245</v>
      </c>
      <c r="F650" s="50">
        <v>43144.0</v>
      </c>
      <c r="G650" s="50">
        <v>43147.0</v>
      </c>
      <c r="H650" s="51">
        <v>43144.45763888889</v>
      </c>
      <c r="I650" s="52">
        <v>1.0</v>
      </c>
      <c r="J650" s="53"/>
      <c r="K650" s="53"/>
    </row>
    <row r="651">
      <c r="A651" s="48" t="s">
        <v>2147</v>
      </c>
      <c r="B651" s="49" t="s">
        <v>2148</v>
      </c>
      <c r="C651" s="49" t="s">
        <v>2149</v>
      </c>
      <c r="D651" s="49" t="s">
        <v>974</v>
      </c>
      <c r="E651" s="49" t="s">
        <v>245</v>
      </c>
      <c r="F651" s="50">
        <v>43144.0</v>
      </c>
      <c r="G651" s="50">
        <v>43160.0</v>
      </c>
      <c r="H651" s="51">
        <v>43238.771527777775</v>
      </c>
      <c r="I651" s="52">
        <v>1.0</v>
      </c>
      <c r="J651" s="53"/>
      <c r="K651" s="53"/>
    </row>
    <row r="652">
      <c r="A652" s="48" t="s">
        <v>2151</v>
      </c>
      <c r="B652" s="49" t="s">
        <v>2152</v>
      </c>
      <c r="C652" s="49" t="s">
        <v>243</v>
      </c>
      <c r="D652" s="49" t="s">
        <v>148</v>
      </c>
      <c r="E652" s="49" t="s">
        <v>245</v>
      </c>
      <c r="F652" s="50">
        <v>43143.0</v>
      </c>
      <c r="G652" s="50">
        <v>43146.0</v>
      </c>
      <c r="H652" s="51">
        <v>43143.688888888886</v>
      </c>
      <c r="I652" s="52">
        <v>1.0</v>
      </c>
      <c r="J652" s="53"/>
      <c r="K652" s="53"/>
    </row>
    <row r="653">
      <c r="A653" s="48" t="s">
        <v>2157</v>
      </c>
      <c r="B653" s="49" t="s">
        <v>2159</v>
      </c>
      <c r="C653" s="49" t="s">
        <v>243</v>
      </c>
      <c r="D653" s="49" t="s">
        <v>148</v>
      </c>
      <c r="E653" s="49" t="s">
        <v>245</v>
      </c>
      <c r="F653" s="50">
        <v>43142.0</v>
      </c>
      <c r="G653" s="50">
        <v>43148.0</v>
      </c>
      <c r="H653" s="51">
        <v>43142.42222222222</v>
      </c>
      <c r="I653" s="52">
        <v>1.0</v>
      </c>
      <c r="J653" s="53"/>
      <c r="K653" s="53"/>
    </row>
    <row r="654">
      <c r="A654" s="48" t="s">
        <v>2162</v>
      </c>
      <c r="B654" s="49" t="s">
        <v>2165</v>
      </c>
      <c r="C654" s="49" t="s">
        <v>243</v>
      </c>
      <c r="D654" s="49" t="s">
        <v>148</v>
      </c>
      <c r="E654" s="49" t="s">
        <v>245</v>
      </c>
      <c r="F654" s="50">
        <v>43140.0</v>
      </c>
      <c r="G654" s="50">
        <v>43143.0</v>
      </c>
      <c r="H654" s="51">
        <v>43140.62569444445</v>
      </c>
      <c r="I654" s="52">
        <v>1.0</v>
      </c>
      <c r="J654" s="53"/>
      <c r="K654" s="53"/>
    </row>
    <row r="655">
      <c r="A655" s="48" t="s">
        <v>2169</v>
      </c>
      <c r="B655" s="49" t="s">
        <v>2170</v>
      </c>
      <c r="C655" s="49" t="s">
        <v>243</v>
      </c>
      <c r="D655" s="49" t="s">
        <v>148</v>
      </c>
      <c r="E655" s="49" t="s">
        <v>245</v>
      </c>
      <c r="F655" s="50">
        <v>43140.0</v>
      </c>
      <c r="G655" s="50">
        <v>43143.0</v>
      </c>
      <c r="H655" s="51">
        <v>43140.73541666667</v>
      </c>
      <c r="I655" s="52">
        <v>1.0</v>
      </c>
      <c r="J655" s="53"/>
      <c r="K655" s="53"/>
    </row>
    <row r="656">
      <c r="A656" s="48" t="s">
        <v>2173</v>
      </c>
      <c r="B656" s="49" t="s">
        <v>2174</v>
      </c>
      <c r="C656" s="49" t="s">
        <v>243</v>
      </c>
      <c r="D656" s="49" t="s">
        <v>148</v>
      </c>
      <c r="E656" s="49" t="s">
        <v>245</v>
      </c>
      <c r="F656" s="50">
        <v>43139.0</v>
      </c>
      <c r="G656" s="50">
        <v>43148.0</v>
      </c>
      <c r="H656" s="51">
        <v>43139.74722222222</v>
      </c>
      <c r="I656" s="52">
        <v>1.0</v>
      </c>
      <c r="J656" s="53"/>
      <c r="K656" s="53"/>
    </row>
    <row r="657">
      <c r="A657" s="48" t="s">
        <v>2177</v>
      </c>
      <c r="B657" s="49" t="s">
        <v>2178</v>
      </c>
      <c r="C657" s="49" t="s">
        <v>243</v>
      </c>
      <c r="D657" s="49" t="s">
        <v>148</v>
      </c>
      <c r="E657" s="49" t="s">
        <v>245</v>
      </c>
      <c r="F657" s="50">
        <v>43139.0</v>
      </c>
      <c r="G657" s="50">
        <v>43147.0</v>
      </c>
      <c r="H657" s="51">
        <v>43139.75069444445</v>
      </c>
      <c r="I657" s="52">
        <v>1.0</v>
      </c>
      <c r="J657" s="53"/>
      <c r="K657" s="53"/>
    </row>
    <row r="658">
      <c r="A658" s="48" t="s">
        <v>2181</v>
      </c>
      <c r="B658" s="49" t="s">
        <v>2182</v>
      </c>
      <c r="C658" s="49" t="s">
        <v>243</v>
      </c>
      <c r="D658" s="49" t="s">
        <v>148</v>
      </c>
      <c r="E658" s="49" t="s">
        <v>245</v>
      </c>
      <c r="F658" s="50">
        <v>43139.0</v>
      </c>
      <c r="G658" s="50">
        <v>43142.0</v>
      </c>
      <c r="H658" s="51">
        <v>43139.38958333333</v>
      </c>
      <c r="I658" s="52">
        <v>1.0</v>
      </c>
      <c r="J658" s="53"/>
      <c r="K658" s="53"/>
    </row>
    <row r="659">
      <c r="A659" s="48" t="s">
        <v>2184</v>
      </c>
      <c r="B659" s="49" t="s">
        <v>2185</v>
      </c>
      <c r="C659" s="49" t="s">
        <v>243</v>
      </c>
      <c r="D659" s="49" t="s">
        <v>148</v>
      </c>
      <c r="E659" s="49" t="s">
        <v>245</v>
      </c>
      <c r="F659" s="50">
        <v>43139.0</v>
      </c>
      <c r="G659" s="50">
        <v>43142.0</v>
      </c>
      <c r="H659" s="51">
        <v>43139.38958333333</v>
      </c>
      <c r="I659" s="52">
        <v>1.0</v>
      </c>
      <c r="J659" s="53"/>
      <c r="K659" s="53"/>
    </row>
    <row r="660">
      <c r="A660" s="48" t="s">
        <v>2188</v>
      </c>
      <c r="B660" s="49" t="s">
        <v>2189</v>
      </c>
      <c r="C660" s="49" t="s">
        <v>243</v>
      </c>
      <c r="D660" s="49" t="s">
        <v>148</v>
      </c>
      <c r="E660" s="49" t="s">
        <v>245</v>
      </c>
      <c r="F660" s="50">
        <v>43139.0</v>
      </c>
      <c r="G660" s="50">
        <v>43142.0</v>
      </c>
      <c r="H660" s="51">
        <v>43139.38958333333</v>
      </c>
      <c r="I660" s="52">
        <v>1.0</v>
      </c>
      <c r="J660" s="53"/>
      <c r="K660" s="53"/>
    </row>
    <row r="661">
      <c r="A661" s="48" t="s">
        <v>2190</v>
      </c>
      <c r="B661" s="49" t="s">
        <v>2191</v>
      </c>
      <c r="C661" s="49" t="s">
        <v>243</v>
      </c>
      <c r="D661" s="49" t="s">
        <v>148</v>
      </c>
      <c r="E661" s="49" t="s">
        <v>245</v>
      </c>
      <c r="F661" s="50">
        <v>43139.0</v>
      </c>
      <c r="G661" s="50">
        <v>43142.0</v>
      </c>
      <c r="H661" s="51">
        <v>43139.38958333333</v>
      </c>
      <c r="I661" s="52">
        <v>1.0</v>
      </c>
      <c r="J661" s="53"/>
      <c r="K661" s="53"/>
    </row>
    <row r="662">
      <c r="A662" s="48" t="s">
        <v>2194</v>
      </c>
      <c r="B662" s="49" t="s">
        <v>2195</v>
      </c>
      <c r="C662" s="49" t="s">
        <v>243</v>
      </c>
      <c r="D662" s="49" t="s">
        <v>148</v>
      </c>
      <c r="E662" s="49" t="s">
        <v>245</v>
      </c>
      <c r="F662" s="50">
        <v>43139.0</v>
      </c>
      <c r="G662" s="50">
        <v>43142.0</v>
      </c>
      <c r="H662" s="51">
        <v>43139.38958333333</v>
      </c>
      <c r="I662" s="52">
        <v>1.0</v>
      </c>
      <c r="J662" s="53"/>
      <c r="K662" s="53"/>
    </row>
    <row r="663">
      <c r="A663" s="48" t="s">
        <v>2198</v>
      </c>
      <c r="B663" s="49" t="s">
        <v>2199</v>
      </c>
      <c r="C663" s="49" t="s">
        <v>243</v>
      </c>
      <c r="D663" s="49" t="s">
        <v>148</v>
      </c>
      <c r="E663" s="49" t="s">
        <v>245</v>
      </c>
      <c r="F663" s="50">
        <v>43139.0</v>
      </c>
      <c r="G663" s="50">
        <v>43142.0</v>
      </c>
      <c r="H663" s="51">
        <v>43139.38958333333</v>
      </c>
      <c r="I663" s="52">
        <v>1.0</v>
      </c>
      <c r="J663" s="53"/>
      <c r="K663" s="53"/>
    </row>
    <row r="664">
      <c r="A664" s="48" t="s">
        <v>2200</v>
      </c>
      <c r="B664" s="49" t="s">
        <v>2201</v>
      </c>
      <c r="C664" s="49" t="s">
        <v>243</v>
      </c>
      <c r="D664" s="49" t="s">
        <v>148</v>
      </c>
      <c r="E664" s="49" t="s">
        <v>245</v>
      </c>
      <c r="F664" s="50">
        <v>43139.0</v>
      </c>
      <c r="G664" s="50">
        <v>43142.0</v>
      </c>
      <c r="H664" s="51">
        <v>43139.64791666667</v>
      </c>
      <c r="I664" s="52">
        <v>1.0</v>
      </c>
      <c r="J664" s="53"/>
      <c r="K664" s="53"/>
    </row>
    <row r="665">
      <c r="A665" s="48" t="s">
        <v>2203</v>
      </c>
      <c r="B665" s="49" t="s">
        <v>2204</v>
      </c>
      <c r="C665" s="49" t="s">
        <v>243</v>
      </c>
      <c r="D665" s="49" t="s">
        <v>148</v>
      </c>
      <c r="E665" s="49" t="s">
        <v>245</v>
      </c>
      <c r="F665" s="50">
        <v>43139.0</v>
      </c>
      <c r="G665" s="50">
        <v>43142.0</v>
      </c>
      <c r="H665" s="51">
        <v>43139.39375</v>
      </c>
      <c r="I665" s="52">
        <v>1.0</v>
      </c>
      <c r="J665" s="53"/>
      <c r="K665" s="53"/>
    </row>
    <row r="666">
      <c r="A666" s="48" t="s">
        <v>2208</v>
      </c>
      <c r="B666" s="49" t="s">
        <v>2209</v>
      </c>
      <c r="C666" s="49" t="s">
        <v>243</v>
      </c>
      <c r="D666" s="49" t="s">
        <v>148</v>
      </c>
      <c r="E666" s="49" t="s">
        <v>245</v>
      </c>
      <c r="F666" s="50">
        <v>43139.0</v>
      </c>
      <c r="G666" s="50">
        <v>43139.0</v>
      </c>
      <c r="H666" s="51">
        <v>43139.67013888889</v>
      </c>
      <c r="I666" s="52">
        <v>1.0</v>
      </c>
      <c r="J666" s="53"/>
      <c r="K666" s="53"/>
    </row>
    <row r="667">
      <c r="A667" s="48" t="s">
        <v>2212</v>
      </c>
      <c r="B667" s="49" t="s">
        <v>2213</v>
      </c>
      <c r="C667" s="49" t="s">
        <v>243</v>
      </c>
      <c r="D667" s="49" t="s">
        <v>148</v>
      </c>
      <c r="E667" s="49" t="s">
        <v>245</v>
      </c>
      <c r="F667" s="50">
        <v>43138.0</v>
      </c>
      <c r="G667" s="50">
        <v>43145.0</v>
      </c>
      <c r="H667" s="51">
        <v>43138.58194444444</v>
      </c>
      <c r="I667" s="52">
        <v>1.0</v>
      </c>
      <c r="J667" s="53"/>
      <c r="K667" s="53"/>
    </row>
    <row r="668">
      <c r="A668" s="48" t="s">
        <v>2216</v>
      </c>
      <c r="B668" s="49" t="s">
        <v>2217</v>
      </c>
      <c r="C668" s="49" t="s">
        <v>243</v>
      </c>
      <c r="D668" s="49" t="s">
        <v>148</v>
      </c>
      <c r="E668" s="49" t="s">
        <v>245</v>
      </c>
      <c r="F668" s="50">
        <v>43138.0</v>
      </c>
      <c r="G668" s="50">
        <v>43141.0</v>
      </c>
      <c r="H668" s="51">
        <v>43138.59305555555</v>
      </c>
      <c r="I668" s="52">
        <v>1.0</v>
      </c>
      <c r="J668" s="53"/>
      <c r="K668" s="53"/>
    </row>
    <row r="669">
      <c r="A669" s="48" t="s">
        <v>2220</v>
      </c>
      <c r="B669" s="49" t="s">
        <v>2221</v>
      </c>
      <c r="C669" s="49" t="s">
        <v>243</v>
      </c>
      <c r="D669" s="49" t="s">
        <v>148</v>
      </c>
      <c r="E669" s="49" t="s">
        <v>245</v>
      </c>
      <c r="F669" s="50">
        <v>43138.0</v>
      </c>
      <c r="G669" s="50">
        <v>43138.0</v>
      </c>
      <c r="H669" s="51">
        <v>43138.583333333336</v>
      </c>
      <c r="I669" s="52">
        <v>1.0</v>
      </c>
      <c r="J669" s="53"/>
      <c r="K669" s="53"/>
    </row>
    <row r="670">
      <c r="A670" s="48" t="s">
        <v>2223</v>
      </c>
      <c r="B670" s="49" t="s">
        <v>2224</v>
      </c>
      <c r="C670" s="49" t="s">
        <v>243</v>
      </c>
      <c r="D670" s="49" t="s">
        <v>148</v>
      </c>
      <c r="E670" s="49" t="s">
        <v>245</v>
      </c>
      <c r="F670" s="50">
        <v>43138.0</v>
      </c>
      <c r="G670" s="50">
        <v>43138.0</v>
      </c>
      <c r="H670" s="51">
        <v>43138.584027777775</v>
      </c>
      <c r="I670" s="52">
        <v>1.0</v>
      </c>
      <c r="J670" s="53"/>
      <c r="K670" s="53"/>
    </row>
    <row r="671">
      <c r="A671" s="48" t="s">
        <v>2227</v>
      </c>
      <c r="B671" s="49" t="s">
        <v>2228</v>
      </c>
      <c r="C671" s="49" t="s">
        <v>243</v>
      </c>
      <c r="D671" s="49" t="s">
        <v>148</v>
      </c>
      <c r="E671" s="49" t="s">
        <v>245</v>
      </c>
      <c r="F671" s="50">
        <v>43138.0</v>
      </c>
      <c r="G671" s="50">
        <v>43138.0</v>
      </c>
      <c r="H671" s="51">
        <v>43138.584027777775</v>
      </c>
      <c r="I671" s="52">
        <v>1.0</v>
      </c>
      <c r="J671" s="53"/>
      <c r="K671" s="53"/>
    </row>
    <row r="672">
      <c r="A672" s="48" t="s">
        <v>2230</v>
      </c>
      <c r="B672" s="49" t="s">
        <v>2231</v>
      </c>
      <c r="C672" s="49" t="s">
        <v>243</v>
      </c>
      <c r="D672" s="49" t="s">
        <v>148</v>
      </c>
      <c r="E672" s="49" t="s">
        <v>245</v>
      </c>
      <c r="F672" s="50">
        <v>43138.0</v>
      </c>
      <c r="G672" s="50">
        <v>43138.0</v>
      </c>
      <c r="H672" s="51">
        <v>43138.584027777775</v>
      </c>
      <c r="I672" s="52">
        <v>1.0</v>
      </c>
      <c r="J672" s="53"/>
      <c r="K672" s="53"/>
    </row>
    <row r="673">
      <c r="A673" s="48" t="s">
        <v>2233</v>
      </c>
      <c r="B673" s="49" t="s">
        <v>2234</v>
      </c>
      <c r="C673" s="49" t="s">
        <v>243</v>
      </c>
      <c r="D673" s="49" t="s">
        <v>148</v>
      </c>
      <c r="E673" s="49" t="s">
        <v>245</v>
      </c>
      <c r="F673" s="50">
        <v>43138.0</v>
      </c>
      <c r="G673" s="50">
        <v>43138.0</v>
      </c>
      <c r="H673" s="51">
        <v>43138.584027777775</v>
      </c>
      <c r="I673" s="52">
        <v>1.0</v>
      </c>
      <c r="J673" s="53"/>
      <c r="K673" s="53"/>
    </row>
    <row r="674">
      <c r="A674" s="48" t="s">
        <v>2236</v>
      </c>
      <c r="B674" s="49" t="s">
        <v>2238</v>
      </c>
      <c r="C674" s="49" t="s">
        <v>243</v>
      </c>
      <c r="D674" s="49" t="s">
        <v>148</v>
      </c>
      <c r="E674" s="49" t="s">
        <v>245</v>
      </c>
      <c r="F674" s="50">
        <v>43138.0</v>
      </c>
      <c r="G674" s="50">
        <v>43138.0</v>
      </c>
      <c r="H674" s="51">
        <v>43138.584027777775</v>
      </c>
      <c r="I674" s="52">
        <v>1.0</v>
      </c>
      <c r="J674" s="53"/>
      <c r="K674" s="53"/>
    </row>
    <row r="675">
      <c r="A675" s="48" t="s">
        <v>2239</v>
      </c>
      <c r="B675" s="49" t="s">
        <v>2240</v>
      </c>
      <c r="C675" s="49" t="s">
        <v>243</v>
      </c>
      <c r="D675" s="49" t="s">
        <v>148</v>
      </c>
      <c r="E675" s="49" t="s">
        <v>245</v>
      </c>
      <c r="F675" s="50">
        <v>43138.0</v>
      </c>
      <c r="G675" s="50">
        <v>43138.0</v>
      </c>
      <c r="H675" s="51">
        <v>43138.58472222222</v>
      </c>
      <c r="I675" s="52">
        <v>1.0</v>
      </c>
      <c r="J675" s="53"/>
      <c r="K675" s="53"/>
    </row>
    <row r="676">
      <c r="A676" s="48" t="s">
        <v>2242</v>
      </c>
      <c r="B676" s="49" t="s">
        <v>2243</v>
      </c>
      <c r="C676" s="49" t="s">
        <v>243</v>
      </c>
      <c r="D676" s="49" t="s">
        <v>148</v>
      </c>
      <c r="E676" s="49" t="s">
        <v>245</v>
      </c>
      <c r="F676" s="50">
        <v>43138.0</v>
      </c>
      <c r="G676" s="50">
        <v>43138.0</v>
      </c>
      <c r="H676" s="51">
        <v>43138.600694444445</v>
      </c>
      <c r="I676" s="52">
        <v>1.0</v>
      </c>
      <c r="J676" s="53"/>
      <c r="K676" s="53"/>
    </row>
    <row r="677">
      <c r="A677" s="48" t="s">
        <v>2244</v>
      </c>
      <c r="B677" s="49" t="s">
        <v>2245</v>
      </c>
      <c r="C677" s="49" t="s">
        <v>243</v>
      </c>
      <c r="D677" s="49" t="s">
        <v>148</v>
      </c>
      <c r="E677" s="49" t="s">
        <v>204</v>
      </c>
      <c r="F677" s="50">
        <v>43137.0</v>
      </c>
      <c r="G677" s="50">
        <v>43140.0</v>
      </c>
      <c r="H677" s="51">
        <v>43137.64027777778</v>
      </c>
      <c r="I677" s="52">
        <v>0.0</v>
      </c>
      <c r="J677" s="53"/>
      <c r="K677" s="53"/>
    </row>
    <row r="678">
      <c r="A678" s="48" t="s">
        <v>2248</v>
      </c>
      <c r="B678" s="49" t="s">
        <v>2249</v>
      </c>
      <c r="C678" s="49" t="s">
        <v>243</v>
      </c>
      <c r="D678" s="49" t="s">
        <v>148</v>
      </c>
      <c r="E678" s="49" t="s">
        <v>204</v>
      </c>
      <c r="F678" s="50">
        <v>43137.0</v>
      </c>
      <c r="G678" s="50">
        <v>43140.0</v>
      </c>
      <c r="H678" s="51">
        <v>43137.64097222222</v>
      </c>
      <c r="I678" s="52">
        <v>0.0</v>
      </c>
      <c r="J678" s="53"/>
      <c r="K678" s="53"/>
    </row>
    <row r="679">
      <c r="A679" s="48" t="s">
        <v>2251</v>
      </c>
      <c r="B679" s="49" t="s">
        <v>2252</v>
      </c>
      <c r="C679" s="49" t="s">
        <v>243</v>
      </c>
      <c r="D679" s="49" t="s">
        <v>148</v>
      </c>
      <c r="E679" s="49" t="s">
        <v>204</v>
      </c>
      <c r="F679" s="50">
        <v>43137.0</v>
      </c>
      <c r="G679" s="50">
        <v>43140.0</v>
      </c>
      <c r="H679" s="51">
        <v>43137.64166666667</v>
      </c>
      <c r="I679" s="52">
        <v>0.0</v>
      </c>
      <c r="J679" s="53"/>
      <c r="K679" s="53"/>
    </row>
    <row r="680">
      <c r="A680" s="48" t="s">
        <v>2254</v>
      </c>
      <c r="B680" s="49" t="s">
        <v>2255</v>
      </c>
      <c r="C680" s="49" t="s">
        <v>243</v>
      </c>
      <c r="D680" s="49" t="s">
        <v>148</v>
      </c>
      <c r="E680" s="49" t="s">
        <v>204</v>
      </c>
      <c r="F680" s="50">
        <v>43137.0</v>
      </c>
      <c r="G680" s="50">
        <v>43140.0</v>
      </c>
      <c r="H680" s="51">
        <v>43137.643055555556</v>
      </c>
      <c r="I680" s="52">
        <v>0.0</v>
      </c>
      <c r="J680" s="53"/>
      <c r="K680" s="53"/>
    </row>
    <row r="681">
      <c r="A681" s="48" t="s">
        <v>2256</v>
      </c>
      <c r="B681" s="49" t="s">
        <v>2257</v>
      </c>
      <c r="C681" s="49" t="s">
        <v>243</v>
      </c>
      <c r="D681" s="49" t="s">
        <v>148</v>
      </c>
      <c r="E681" s="49" t="s">
        <v>204</v>
      </c>
      <c r="F681" s="50">
        <v>43137.0</v>
      </c>
      <c r="G681" s="50">
        <v>43140.0</v>
      </c>
      <c r="H681" s="51">
        <v>43137.64375</v>
      </c>
      <c r="I681" s="52">
        <v>0.0</v>
      </c>
      <c r="J681" s="53"/>
      <c r="K681" s="53"/>
    </row>
    <row r="682">
      <c r="A682" s="48" t="s">
        <v>2259</v>
      </c>
      <c r="B682" s="49" t="s">
        <v>2260</v>
      </c>
      <c r="C682" s="49" t="s">
        <v>243</v>
      </c>
      <c r="D682" s="49" t="s">
        <v>148</v>
      </c>
      <c r="E682" s="49" t="s">
        <v>204</v>
      </c>
      <c r="F682" s="50">
        <v>43137.0</v>
      </c>
      <c r="G682" s="50">
        <v>43140.0</v>
      </c>
      <c r="H682" s="51">
        <v>43137.64513888889</v>
      </c>
      <c r="I682" s="52">
        <v>0.0</v>
      </c>
      <c r="J682" s="53"/>
      <c r="K682" s="53"/>
    </row>
    <row r="683">
      <c r="A683" s="48" t="s">
        <v>2261</v>
      </c>
      <c r="B683" s="49" t="s">
        <v>2262</v>
      </c>
      <c r="C683" s="49" t="s">
        <v>243</v>
      </c>
      <c r="D683" s="49" t="s">
        <v>148</v>
      </c>
      <c r="E683" s="49" t="s">
        <v>204</v>
      </c>
      <c r="F683" s="50">
        <v>43137.0</v>
      </c>
      <c r="G683" s="50">
        <v>43140.0</v>
      </c>
      <c r="H683" s="51">
        <v>43137.76666666667</v>
      </c>
      <c r="I683" s="52">
        <v>0.0</v>
      </c>
      <c r="J683" s="53"/>
      <c r="K683" s="53"/>
    </row>
    <row r="684">
      <c r="A684" s="48" t="s">
        <v>2263</v>
      </c>
      <c r="B684" s="49" t="s">
        <v>2265</v>
      </c>
      <c r="C684" s="49" t="s">
        <v>243</v>
      </c>
      <c r="D684" s="49" t="s">
        <v>148</v>
      </c>
      <c r="E684" s="49" t="s">
        <v>245</v>
      </c>
      <c r="F684" s="50">
        <v>43137.0</v>
      </c>
      <c r="G684" s="50">
        <v>43144.0</v>
      </c>
      <c r="H684" s="51">
        <v>43137.760416666664</v>
      </c>
      <c r="I684" s="52">
        <v>1.0</v>
      </c>
      <c r="J684" s="53"/>
      <c r="K684" s="53"/>
    </row>
    <row r="685">
      <c r="A685" s="48" t="s">
        <v>2267</v>
      </c>
      <c r="B685" s="49" t="s">
        <v>2268</v>
      </c>
      <c r="C685" s="49" t="s">
        <v>243</v>
      </c>
      <c r="D685" s="49" t="s">
        <v>148</v>
      </c>
      <c r="E685" s="49" t="s">
        <v>245</v>
      </c>
      <c r="F685" s="50">
        <v>43137.0</v>
      </c>
      <c r="G685" s="50">
        <v>43137.0</v>
      </c>
      <c r="H685" s="51">
        <v>43137.77222222222</v>
      </c>
      <c r="I685" s="52">
        <v>1.0</v>
      </c>
      <c r="J685" s="53"/>
      <c r="K685" s="53"/>
    </row>
    <row r="686">
      <c r="A686" s="48" t="s">
        <v>2271</v>
      </c>
      <c r="B686" s="49" t="s">
        <v>2272</v>
      </c>
      <c r="C686" s="49" t="s">
        <v>379</v>
      </c>
      <c r="D686" s="49" t="s">
        <v>148</v>
      </c>
      <c r="E686" s="49" t="s">
        <v>204</v>
      </c>
      <c r="F686" s="50">
        <v>43136.0</v>
      </c>
      <c r="G686" s="50">
        <v>43136.0</v>
      </c>
      <c r="H686" s="51">
        <v>43133.67569444444</v>
      </c>
      <c r="I686" s="52">
        <v>0.0</v>
      </c>
      <c r="J686" s="53"/>
      <c r="K686" s="53"/>
    </row>
    <row r="687">
      <c r="A687" s="48" t="s">
        <v>2274</v>
      </c>
      <c r="B687" s="49" t="s">
        <v>2276</v>
      </c>
      <c r="C687" s="49" t="s">
        <v>379</v>
      </c>
      <c r="D687" s="49" t="s">
        <v>148</v>
      </c>
      <c r="E687" s="49" t="s">
        <v>204</v>
      </c>
      <c r="F687" s="50">
        <v>43136.0</v>
      </c>
      <c r="G687" s="50">
        <v>43136.0</v>
      </c>
      <c r="H687" s="51">
        <v>43133.68125</v>
      </c>
      <c r="I687" s="52">
        <v>0.0</v>
      </c>
      <c r="J687" s="53"/>
      <c r="K687" s="53"/>
    </row>
    <row r="688">
      <c r="A688" s="48" t="s">
        <v>2277</v>
      </c>
      <c r="B688" s="49" t="s">
        <v>2278</v>
      </c>
      <c r="C688" s="49" t="s">
        <v>379</v>
      </c>
      <c r="D688" s="49" t="s">
        <v>140</v>
      </c>
      <c r="E688" s="49" t="s">
        <v>245</v>
      </c>
      <c r="F688" s="50">
        <v>43136.0</v>
      </c>
      <c r="G688" s="50">
        <v>43161.0</v>
      </c>
      <c r="H688" s="51">
        <v>43266.700694444444</v>
      </c>
      <c r="I688" s="52">
        <v>1.0</v>
      </c>
      <c r="J688" s="53"/>
      <c r="K688" s="53"/>
    </row>
    <row r="689">
      <c r="A689" s="48" t="s">
        <v>2281</v>
      </c>
      <c r="B689" s="49" t="s">
        <v>2282</v>
      </c>
      <c r="C689" s="49" t="s">
        <v>379</v>
      </c>
      <c r="D689" s="49" t="s">
        <v>974</v>
      </c>
      <c r="E689" s="49" t="s">
        <v>245</v>
      </c>
      <c r="F689" s="50">
        <v>43136.0</v>
      </c>
      <c r="G689" s="50">
        <v>43140.0</v>
      </c>
      <c r="H689" s="51">
        <v>43264.6125</v>
      </c>
      <c r="I689" s="52">
        <v>1.0</v>
      </c>
      <c r="J689" s="53"/>
      <c r="K689" s="53"/>
    </row>
    <row r="690">
      <c r="A690" s="48" t="s">
        <v>2285</v>
      </c>
      <c r="B690" s="49" t="s">
        <v>2286</v>
      </c>
      <c r="C690" s="49" t="s">
        <v>243</v>
      </c>
      <c r="D690" s="49" t="s">
        <v>148</v>
      </c>
      <c r="E690" s="49" t="s">
        <v>245</v>
      </c>
      <c r="F690" s="50">
        <v>43136.0</v>
      </c>
      <c r="G690" s="50">
        <v>43136.0</v>
      </c>
      <c r="H690" s="51">
        <v>43136.875</v>
      </c>
      <c r="I690" s="52">
        <v>1.0</v>
      </c>
      <c r="J690" s="53"/>
      <c r="K690" s="53"/>
    </row>
    <row r="691">
      <c r="A691" s="48" t="s">
        <v>2288</v>
      </c>
      <c r="B691" s="49" t="s">
        <v>2289</v>
      </c>
      <c r="C691" s="49" t="s">
        <v>203</v>
      </c>
      <c r="D691" s="49" t="s">
        <v>148</v>
      </c>
      <c r="E691" s="49" t="s">
        <v>245</v>
      </c>
      <c r="F691" s="50">
        <v>43136.0</v>
      </c>
      <c r="G691" s="50">
        <v>43141.0</v>
      </c>
      <c r="H691" s="51">
        <v>43159.58888888889</v>
      </c>
      <c r="I691" s="52">
        <v>1.0</v>
      </c>
      <c r="J691" s="53"/>
      <c r="K691" s="53"/>
    </row>
    <row r="692">
      <c r="A692" s="48" t="s">
        <v>2292</v>
      </c>
      <c r="B692" s="49" t="s">
        <v>2293</v>
      </c>
      <c r="C692" s="49" t="s">
        <v>203</v>
      </c>
      <c r="D692" s="49" t="s">
        <v>148</v>
      </c>
      <c r="E692" s="49" t="s">
        <v>245</v>
      </c>
      <c r="F692" s="50">
        <v>43136.0</v>
      </c>
      <c r="G692" s="50">
        <v>43140.0</v>
      </c>
      <c r="H692" s="51">
        <v>43159.58888888889</v>
      </c>
      <c r="I692" s="52">
        <v>1.0</v>
      </c>
      <c r="J692" s="53"/>
      <c r="K692" s="53"/>
    </row>
    <row r="693">
      <c r="A693" s="48" t="s">
        <v>2295</v>
      </c>
      <c r="B693" s="49" t="s">
        <v>2296</v>
      </c>
      <c r="C693" s="49" t="s">
        <v>203</v>
      </c>
      <c r="D693" s="49" t="s">
        <v>148</v>
      </c>
      <c r="E693" s="49" t="s">
        <v>245</v>
      </c>
      <c r="F693" s="50">
        <v>43136.0</v>
      </c>
      <c r="G693" s="50">
        <v>43140.0</v>
      </c>
      <c r="H693" s="51">
        <v>43159.58888888889</v>
      </c>
      <c r="I693" s="52">
        <v>1.0</v>
      </c>
      <c r="J693" s="53"/>
      <c r="K693" s="53"/>
    </row>
    <row r="694">
      <c r="A694" s="48" t="s">
        <v>2298</v>
      </c>
      <c r="B694" s="49" t="s">
        <v>2299</v>
      </c>
      <c r="C694" s="49" t="s">
        <v>203</v>
      </c>
      <c r="D694" s="49" t="s">
        <v>148</v>
      </c>
      <c r="E694" s="49" t="s">
        <v>245</v>
      </c>
      <c r="F694" s="50">
        <v>43136.0</v>
      </c>
      <c r="G694" s="50">
        <v>43140.0</v>
      </c>
      <c r="H694" s="51">
        <v>43159.58888888889</v>
      </c>
      <c r="I694" s="52">
        <v>1.0</v>
      </c>
      <c r="J694" s="53"/>
      <c r="K694" s="53"/>
    </row>
    <row r="695">
      <c r="A695" s="48" t="s">
        <v>2302</v>
      </c>
      <c r="B695" s="49" t="s">
        <v>2303</v>
      </c>
      <c r="C695" s="49" t="s">
        <v>243</v>
      </c>
      <c r="D695" s="49" t="s">
        <v>148</v>
      </c>
      <c r="E695" s="49" t="s">
        <v>204</v>
      </c>
      <c r="F695" s="50">
        <v>43133.0</v>
      </c>
      <c r="G695" s="50">
        <v>43133.0</v>
      </c>
      <c r="H695" s="51">
        <v>43133.71388888889</v>
      </c>
      <c r="I695" s="52">
        <v>0.0</v>
      </c>
      <c r="J695" s="53"/>
      <c r="K695" s="53"/>
    </row>
    <row r="696">
      <c r="A696" s="48" t="s">
        <v>2304</v>
      </c>
      <c r="B696" s="49" t="s">
        <v>2305</v>
      </c>
      <c r="C696" s="49" t="s">
        <v>452</v>
      </c>
      <c r="D696" s="49" t="s">
        <v>140</v>
      </c>
      <c r="E696" s="49" t="s">
        <v>245</v>
      </c>
      <c r="F696" s="50">
        <v>43133.0</v>
      </c>
      <c r="G696" s="50">
        <v>43144.0</v>
      </c>
      <c r="H696" s="51">
        <v>43266.700694444444</v>
      </c>
      <c r="I696" s="52">
        <v>1.0</v>
      </c>
      <c r="J696" s="53"/>
      <c r="K696" s="53"/>
    </row>
    <row r="697">
      <c r="A697" s="48" t="s">
        <v>2308</v>
      </c>
      <c r="B697" s="49" t="s">
        <v>2309</v>
      </c>
      <c r="C697" s="49" t="s">
        <v>2310</v>
      </c>
      <c r="D697" s="49" t="s">
        <v>974</v>
      </c>
      <c r="E697" s="49" t="s">
        <v>245</v>
      </c>
      <c r="F697" s="50">
        <v>43133.0</v>
      </c>
      <c r="G697" s="50">
        <v>43140.0</v>
      </c>
      <c r="H697" s="51">
        <v>43266.700694444444</v>
      </c>
      <c r="I697" s="52">
        <v>1.0</v>
      </c>
      <c r="J697" s="53"/>
      <c r="K697" s="53"/>
    </row>
    <row r="698">
      <c r="A698" s="48" t="s">
        <v>2313</v>
      </c>
      <c r="B698" s="49" t="s">
        <v>2314</v>
      </c>
      <c r="C698" s="49" t="s">
        <v>238</v>
      </c>
      <c r="D698" s="49" t="s">
        <v>148</v>
      </c>
      <c r="E698" s="49" t="s">
        <v>245</v>
      </c>
      <c r="F698" s="50">
        <v>43133.0</v>
      </c>
      <c r="G698" s="50">
        <v>43133.0</v>
      </c>
      <c r="H698" s="51">
        <v>43133.62222222222</v>
      </c>
      <c r="I698" s="52">
        <v>1.0</v>
      </c>
      <c r="J698" s="53"/>
      <c r="K698" s="53"/>
    </row>
    <row r="699">
      <c r="A699" s="48" t="s">
        <v>2316</v>
      </c>
      <c r="B699" s="49" t="s">
        <v>2317</v>
      </c>
      <c r="C699" s="49" t="s">
        <v>221</v>
      </c>
      <c r="D699" s="49" t="s">
        <v>153</v>
      </c>
      <c r="E699" s="49" t="s">
        <v>245</v>
      </c>
      <c r="F699" s="50">
        <v>43133.0</v>
      </c>
      <c r="G699" s="50">
        <v>43133.0</v>
      </c>
      <c r="H699" s="51">
        <v>43133.697222222225</v>
      </c>
      <c r="I699" s="52">
        <v>1.0</v>
      </c>
      <c r="J699" s="53"/>
      <c r="K699" s="53"/>
    </row>
    <row r="700">
      <c r="A700" s="48" t="s">
        <v>2319</v>
      </c>
      <c r="B700" s="49" t="s">
        <v>2320</v>
      </c>
      <c r="C700" s="49" t="s">
        <v>1403</v>
      </c>
      <c r="D700" s="49" t="s">
        <v>310</v>
      </c>
      <c r="E700" s="49" t="s">
        <v>245</v>
      </c>
      <c r="F700" s="50">
        <v>43133.0</v>
      </c>
      <c r="G700" s="50">
        <v>43133.0</v>
      </c>
      <c r="H700" s="51">
        <v>43133.763194444444</v>
      </c>
      <c r="I700" s="52">
        <v>1.0</v>
      </c>
      <c r="J700" s="53"/>
      <c r="K700" s="53"/>
    </row>
    <row r="701">
      <c r="A701" s="48" t="s">
        <v>2323</v>
      </c>
      <c r="B701" s="49" t="s">
        <v>2324</v>
      </c>
      <c r="C701" s="49" t="s">
        <v>243</v>
      </c>
      <c r="D701" s="49" t="s">
        <v>148</v>
      </c>
      <c r="E701" s="49" t="s">
        <v>245</v>
      </c>
      <c r="F701" s="50">
        <v>43132.0</v>
      </c>
      <c r="G701" s="50">
        <v>43141.0</v>
      </c>
      <c r="H701" s="51">
        <v>43132.697222222225</v>
      </c>
      <c r="I701" s="52">
        <v>1.0</v>
      </c>
      <c r="J701" s="53"/>
      <c r="K701" s="53"/>
    </row>
    <row r="702">
      <c r="A702" s="48" t="s">
        <v>2326</v>
      </c>
      <c r="B702" s="49" t="s">
        <v>2327</v>
      </c>
      <c r="C702" s="49" t="s">
        <v>243</v>
      </c>
      <c r="D702" s="49" t="s">
        <v>148</v>
      </c>
      <c r="E702" s="49" t="s">
        <v>245</v>
      </c>
      <c r="F702" s="50">
        <v>43132.0</v>
      </c>
      <c r="G702" s="50">
        <v>43140.0</v>
      </c>
      <c r="H702" s="51">
        <v>43139.62152777778</v>
      </c>
      <c r="I702" s="52">
        <v>1.0</v>
      </c>
      <c r="J702" s="53"/>
      <c r="K702" s="53"/>
    </row>
    <row r="703">
      <c r="A703" s="48" t="s">
        <v>2331</v>
      </c>
      <c r="B703" s="49" t="s">
        <v>2332</v>
      </c>
      <c r="C703" s="49" t="s">
        <v>243</v>
      </c>
      <c r="D703" s="49" t="s">
        <v>148</v>
      </c>
      <c r="E703" s="49" t="s">
        <v>245</v>
      </c>
      <c r="F703" s="50">
        <v>43132.0</v>
      </c>
      <c r="G703" s="50">
        <v>43140.0</v>
      </c>
      <c r="H703" s="51">
        <v>43132.77361111111</v>
      </c>
      <c r="I703" s="52">
        <v>1.0</v>
      </c>
      <c r="J703" s="53"/>
      <c r="K703" s="53"/>
    </row>
    <row r="704">
      <c r="A704" s="48" t="s">
        <v>2335</v>
      </c>
      <c r="B704" s="49" t="s">
        <v>2336</v>
      </c>
      <c r="C704" s="49" t="s">
        <v>243</v>
      </c>
      <c r="D704" s="49" t="s">
        <v>148</v>
      </c>
      <c r="E704" s="49" t="s">
        <v>245</v>
      </c>
      <c r="F704" s="50">
        <v>43132.0</v>
      </c>
      <c r="G704" s="50">
        <v>43132.0</v>
      </c>
      <c r="H704" s="51">
        <v>43133.71388888889</v>
      </c>
      <c r="I704" s="52">
        <v>1.0</v>
      </c>
      <c r="J704" s="53"/>
      <c r="K704" s="53"/>
    </row>
    <row r="705">
      <c r="A705" s="48" t="s">
        <v>2338</v>
      </c>
      <c r="B705" s="49" t="s">
        <v>2339</v>
      </c>
      <c r="C705" s="49" t="s">
        <v>243</v>
      </c>
      <c r="D705" s="49" t="s">
        <v>148</v>
      </c>
      <c r="E705" s="49" t="s">
        <v>245</v>
      </c>
      <c r="F705" s="50">
        <v>43132.0</v>
      </c>
      <c r="G705" s="50">
        <v>43132.0</v>
      </c>
      <c r="H705" s="51">
        <v>43132.70625</v>
      </c>
      <c r="I705" s="52">
        <v>1.0</v>
      </c>
      <c r="J705" s="53"/>
      <c r="K705" s="53"/>
    </row>
    <row r="706">
      <c r="A706" s="48" t="s">
        <v>2343</v>
      </c>
      <c r="B706" s="49" t="s">
        <v>2344</v>
      </c>
      <c r="C706" s="49" t="s">
        <v>221</v>
      </c>
      <c r="D706" s="49" t="s">
        <v>153</v>
      </c>
      <c r="E706" s="49" t="s">
        <v>245</v>
      </c>
      <c r="F706" s="50">
        <v>43132.0</v>
      </c>
      <c r="G706" s="50">
        <v>43132.0</v>
      </c>
      <c r="H706" s="51">
        <v>43132.739583333336</v>
      </c>
      <c r="I706" s="52">
        <v>1.0</v>
      </c>
      <c r="J706" s="53"/>
      <c r="K706" s="53"/>
    </row>
    <row r="707">
      <c r="A707" s="48" t="s">
        <v>2345</v>
      </c>
      <c r="B707" s="49" t="s">
        <v>2346</v>
      </c>
      <c r="C707" s="49" t="s">
        <v>257</v>
      </c>
      <c r="D707" s="49" t="s">
        <v>153</v>
      </c>
      <c r="E707" s="49" t="s">
        <v>245</v>
      </c>
      <c r="F707" s="50">
        <v>43132.0</v>
      </c>
      <c r="G707" s="50">
        <v>43132.0</v>
      </c>
      <c r="H707" s="51">
        <v>43132.74097222222</v>
      </c>
      <c r="I707" s="52">
        <v>1.0</v>
      </c>
      <c r="J707" s="53"/>
      <c r="K707" s="53"/>
    </row>
    <row r="708">
      <c r="A708" s="48" t="s">
        <v>2348</v>
      </c>
      <c r="B708" s="49" t="s">
        <v>2350</v>
      </c>
      <c r="C708" s="49" t="s">
        <v>221</v>
      </c>
      <c r="D708" s="49" t="s">
        <v>153</v>
      </c>
      <c r="E708" s="49" t="s">
        <v>245</v>
      </c>
      <c r="F708" s="50">
        <v>43132.0</v>
      </c>
      <c r="G708" s="50">
        <v>43132.0</v>
      </c>
      <c r="H708" s="51">
        <v>43132.74097222222</v>
      </c>
      <c r="I708" s="52">
        <v>1.0</v>
      </c>
      <c r="J708" s="53"/>
      <c r="K708" s="53"/>
    </row>
    <row r="709">
      <c r="A709" s="48" t="s">
        <v>2351</v>
      </c>
      <c r="B709" s="49" t="s">
        <v>2352</v>
      </c>
      <c r="C709" s="49" t="s">
        <v>257</v>
      </c>
      <c r="D709" s="49" t="s">
        <v>153</v>
      </c>
      <c r="E709" s="49" t="s">
        <v>245</v>
      </c>
      <c r="F709" s="50">
        <v>43132.0</v>
      </c>
      <c r="G709" s="50">
        <v>43132.0</v>
      </c>
      <c r="H709" s="51">
        <v>43132.740277777775</v>
      </c>
      <c r="I709" s="52">
        <v>1.0</v>
      </c>
      <c r="J709" s="53"/>
      <c r="K709" s="53"/>
    </row>
    <row r="710">
      <c r="A710" s="48" t="s">
        <v>2358</v>
      </c>
      <c r="B710" s="49" t="s">
        <v>2359</v>
      </c>
      <c r="C710" s="49" t="s">
        <v>203</v>
      </c>
      <c r="D710" s="49" t="s">
        <v>148</v>
      </c>
      <c r="E710" s="49" t="s">
        <v>277</v>
      </c>
      <c r="F710" s="50">
        <v>43131.0</v>
      </c>
      <c r="G710" s="50">
        <v>43131.0</v>
      </c>
      <c r="H710" s="51">
        <v>43133.62291666667</v>
      </c>
      <c r="I710" s="52">
        <v>0.0</v>
      </c>
      <c r="J710" s="53"/>
      <c r="K710" s="53"/>
    </row>
    <row r="711">
      <c r="A711" s="48" t="s">
        <v>2362</v>
      </c>
      <c r="B711" s="49" t="s">
        <v>2363</v>
      </c>
      <c r="C711" s="49" t="s">
        <v>238</v>
      </c>
      <c r="D711" s="49" t="s">
        <v>148</v>
      </c>
      <c r="E711" s="49" t="s">
        <v>245</v>
      </c>
      <c r="F711" s="50">
        <v>43131.0</v>
      </c>
      <c r="G711" s="50">
        <v>43133.0</v>
      </c>
      <c r="H711" s="51">
        <v>43133.62222222222</v>
      </c>
      <c r="I711" s="52">
        <v>1.0</v>
      </c>
      <c r="J711" s="53"/>
      <c r="K711" s="53"/>
    </row>
    <row r="712">
      <c r="A712" s="48" t="s">
        <v>2367</v>
      </c>
      <c r="B712" s="49" t="s">
        <v>2368</v>
      </c>
      <c r="C712" s="49" t="s">
        <v>379</v>
      </c>
      <c r="D712" s="49" t="s">
        <v>148</v>
      </c>
      <c r="E712" s="49" t="s">
        <v>245</v>
      </c>
      <c r="F712" s="50">
        <v>43131.0</v>
      </c>
      <c r="G712" s="50">
        <v>43131.0</v>
      </c>
      <c r="H712" s="51">
        <v>43132.69861111111</v>
      </c>
      <c r="I712" s="52">
        <v>1.0</v>
      </c>
      <c r="J712" s="53"/>
      <c r="K712" s="53"/>
    </row>
    <row r="713">
      <c r="A713" s="48" t="s">
        <v>2370</v>
      </c>
      <c r="B713" s="49" t="s">
        <v>2371</v>
      </c>
      <c r="C713" s="49" t="s">
        <v>243</v>
      </c>
      <c r="D713" s="49" t="s">
        <v>148</v>
      </c>
      <c r="E713" s="49" t="s">
        <v>245</v>
      </c>
      <c r="F713" s="50">
        <v>43131.0</v>
      </c>
      <c r="G713" s="50">
        <v>43133.0</v>
      </c>
      <c r="H713" s="51">
        <v>43131.82013888889</v>
      </c>
      <c r="I713" s="52">
        <v>1.0</v>
      </c>
      <c r="J713" s="53"/>
      <c r="K713" s="53"/>
    </row>
    <row r="714">
      <c r="A714" s="48" t="s">
        <v>2373</v>
      </c>
      <c r="B714" s="49" t="s">
        <v>2374</v>
      </c>
      <c r="C714" s="49" t="s">
        <v>257</v>
      </c>
      <c r="D714" s="49" t="s">
        <v>153</v>
      </c>
      <c r="E714" s="49" t="s">
        <v>245</v>
      </c>
      <c r="F714" s="50">
        <v>43131.0</v>
      </c>
      <c r="G714" s="50">
        <v>43131.0</v>
      </c>
      <c r="H714" s="51">
        <v>43132.739583333336</v>
      </c>
      <c r="I714" s="52">
        <v>1.0</v>
      </c>
      <c r="J714" s="53"/>
      <c r="K714" s="53"/>
    </row>
    <row r="715">
      <c r="A715" s="48" t="s">
        <v>2376</v>
      </c>
      <c r="B715" s="49" t="s">
        <v>2377</v>
      </c>
      <c r="C715" s="49" t="s">
        <v>221</v>
      </c>
      <c r="D715" s="49" t="s">
        <v>153</v>
      </c>
      <c r="E715" s="49" t="s">
        <v>245</v>
      </c>
      <c r="F715" s="50">
        <v>43131.0</v>
      </c>
      <c r="G715" s="50">
        <v>43131.0</v>
      </c>
      <c r="H715" s="51">
        <v>43132.739583333336</v>
      </c>
      <c r="I715" s="52">
        <v>1.0</v>
      </c>
      <c r="J715" s="53"/>
      <c r="K715" s="53"/>
    </row>
    <row r="716">
      <c r="A716" s="48" t="s">
        <v>2379</v>
      </c>
      <c r="B716" s="49" t="s">
        <v>2380</v>
      </c>
      <c r="C716" s="49" t="s">
        <v>257</v>
      </c>
      <c r="D716" s="49" t="s">
        <v>153</v>
      </c>
      <c r="E716" s="49" t="s">
        <v>245</v>
      </c>
      <c r="F716" s="50">
        <v>43131.0</v>
      </c>
      <c r="G716" s="50">
        <v>43131.0</v>
      </c>
      <c r="H716" s="51">
        <v>43132.739583333336</v>
      </c>
      <c r="I716" s="52">
        <v>1.0</v>
      </c>
      <c r="J716" s="53"/>
      <c r="K716" s="53"/>
    </row>
    <row r="717">
      <c r="A717" s="48" t="s">
        <v>2383</v>
      </c>
      <c r="B717" s="49" t="s">
        <v>2384</v>
      </c>
      <c r="C717" s="49" t="s">
        <v>221</v>
      </c>
      <c r="D717" s="49" t="s">
        <v>153</v>
      </c>
      <c r="E717" s="49" t="s">
        <v>245</v>
      </c>
      <c r="F717" s="50">
        <v>43131.0</v>
      </c>
      <c r="G717" s="50">
        <v>43131.0</v>
      </c>
      <c r="H717" s="51">
        <v>43132.739583333336</v>
      </c>
      <c r="I717" s="52">
        <v>1.0</v>
      </c>
      <c r="J717" s="53"/>
      <c r="K717" s="53"/>
    </row>
    <row r="718">
      <c r="A718" s="48" t="s">
        <v>2387</v>
      </c>
      <c r="B718" s="49" t="s">
        <v>2391</v>
      </c>
      <c r="C718" s="49" t="s">
        <v>1403</v>
      </c>
      <c r="D718" s="49" t="s">
        <v>310</v>
      </c>
      <c r="E718" s="49" t="s">
        <v>245</v>
      </c>
      <c r="F718" s="50">
        <v>43131.0</v>
      </c>
      <c r="G718" s="50">
        <v>43131.0</v>
      </c>
      <c r="H718" s="51">
        <v>43133.77013888889</v>
      </c>
      <c r="I718" s="52">
        <v>1.0</v>
      </c>
      <c r="J718" s="53"/>
      <c r="K718" s="53"/>
    </row>
    <row r="719">
      <c r="A719" s="48" t="s">
        <v>2393</v>
      </c>
      <c r="B719" s="49" t="s">
        <v>2320</v>
      </c>
      <c r="C719" s="49" t="s">
        <v>1403</v>
      </c>
      <c r="D719" s="49" t="s">
        <v>310</v>
      </c>
      <c r="E719" s="49" t="s">
        <v>245</v>
      </c>
      <c r="F719" s="50">
        <v>43131.0</v>
      </c>
      <c r="G719" s="50">
        <v>43131.0</v>
      </c>
      <c r="H719" s="51">
        <v>43133.76736111111</v>
      </c>
      <c r="I719" s="52">
        <v>1.0</v>
      </c>
      <c r="J719" s="53"/>
      <c r="K719" s="53"/>
    </row>
    <row r="720">
      <c r="A720" s="48" t="s">
        <v>2396</v>
      </c>
      <c r="B720" s="49" t="s">
        <v>2397</v>
      </c>
      <c r="C720" s="49" t="s">
        <v>238</v>
      </c>
      <c r="D720" s="49" t="s">
        <v>148</v>
      </c>
      <c r="E720" s="49" t="s">
        <v>245</v>
      </c>
      <c r="F720" s="50">
        <v>43130.0</v>
      </c>
      <c r="G720" s="50">
        <v>43133.0</v>
      </c>
      <c r="H720" s="51">
        <v>43133.62222222222</v>
      </c>
      <c r="I720" s="52">
        <v>1.0</v>
      </c>
      <c r="J720" s="53"/>
      <c r="K720" s="53"/>
    </row>
    <row r="721">
      <c r="A721" s="48" t="s">
        <v>2399</v>
      </c>
      <c r="B721" s="49" t="s">
        <v>2400</v>
      </c>
      <c r="C721" s="49" t="s">
        <v>1403</v>
      </c>
      <c r="D721" s="49" t="s">
        <v>310</v>
      </c>
      <c r="E721" s="49" t="s">
        <v>245</v>
      </c>
      <c r="F721" s="50">
        <v>43130.0</v>
      </c>
      <c r="G721" s="50">
        <v>43130.0</v>
      </c>
      <c r="H721" s="51">
        <v>43133.768055555556</v>
      </c>
      <c r="I721" s="52">
        <v>1.0</v>
      </c>
      <c r="J721" s="53"/>
      <c r="K721" s="53"/>
    </row>
    <row r="722">
      <c r="A722" s="48" t="s">
        <v>2402</v>
      </c>
      <c r="B722" s="49" t="s">
        <v>2403</v>
      </c>
      <c r="C722" s="49" t="s">
        <v>243</v>
      </c>
      <c r="D722" s="49" t="s">
        <v>148</v>
      </c>
      <c r="E722" s="49" t="s">
        <v>204</v>
      </c>
      <c r="F722" s="50">
        <v>43129.0</v>
      </c>
      <c r="G722" s="50">
        <v>43133.0</v>
      </c>
      <c r="H722" s="51">
        <v>43129.436111111114</v>
      </c>
      <c r="I722" s="52">
        <v>0.0</v>
      </c>
      <c r="J722" s="53"/>
      <c r="K722" s="53"/>
    </row>
    <row r="723">
      <c r="A723" s="48" t="s">
        <v>2406</v>
      </c>
      <c r="B723" s="49" t="s">
        <v>2407</v>
      </c>
      <c r="C723" s="49" t="s">
        <v>379</v>
      </c>
      <c r="D723" s="49" t="s">
        <v>148</v>
      </c>
      <c r="E723" s="49" t="s">
        <v>277</v>
      </c>
      <c r="F723" s="50">
        <v>43129.0</v>
      </c>
      <c r="G723" s="50">
        <v>43129.0</v>
      </c>
      <c r="H723" s="51">
        <v>43133.62222222222</v>
      </c>
      <c r="I723" s="52">
        <v>0.0</v>
      </c>
      <c r="J723" s="53"/>
      <c r="K723" s="53"/>
    </row>
    <row r="724">
      <c r="A724" s="48" t="s">
        <v>2410</v>
      </c>
      <c r="B724" s="49" t="s">
        <v>2411</v>
      </c>
      <c r="C724" s="49" t="s">
        <v>243</v>
      </c>
      <c r="D724" s="49" t="s">
        <v>148</v>
      </c>
      <c r="E724" s="49" t="s">
        <v>277</v>
      </c>
      <c r="F724" s="50">
        <v>43129.0</v>
      </c>
      <c r="G724" s="50">
        <v>43129.0</v>
      </c>
      <c r="H724" s="51">
        <v>43133.62013888889</v>
      </c>
      <c r="I724" s="52">
        <v>0.0</v>
      </c>
      <c r="J724" s="53"/>
      <c r="K724" s="53"/>
    </row>
    <row r="725">
      <c r="A725" s="48" t="s">
        <v>2414</v>
      </c>
      <c r="B725" s="49" t="s">
        <v>2415</v>
      </c>
      <c r="C725" s="49" t="s">
        <v>203</v>
      </c>
      <c r="D725" s="49" t="s">
        <v>2416</v>
      </c>
      <c r="E725" s="49" t="s">
        <v>245</v>
      </c>
      <c r="F725" s="50">
        <v>43129.0</v>
      </c>
      <c r="G725" s="50">
        <v>43147.0</v>
      </c>
      <c r="H725" s="51">
        <v>43266.700694444444</v>
      </c>
      <c r="I725" s="52">
        <v>1.0</v>
      </c>
      <c r="J725" s="53"/>
      <c r="K725" s="53"/>
    </row>
    <row r="726">
      <c r="A726" s="48" t="s">
        <v>2420</v>
      </c>
      <c r="B726" s="49" t="s">
        <v>2421</v>
      </c>
      <c r="C726" s="49" t="s">
        <v>379</v>
      </c>
      <c r="D726" s="49" t="s">
        <v>2422</v>
      </c>
      <c r="E726" s="49" t="s">
        <v>245</v>
      </c>
      <c r="F726" s="50">
        <v>43129.0</v>
      </c>
      <c r="G726" s="50">
        <v>43140.0</v>
      </c>
      <c r="H726" s="51">
        <v>43266.700694444444</v>
      </c>
      <c r="I726" s="52">
        <v>1.0</v>
      </c>
      <c r="J726" s="53"/>
      <c r="K726" s="53"/>
    </row>
    <row r="727">
      <c r="A727" s="48" t="s">
        <v>2425</v>
      </c>
      <c r="B727" s="49" t="s">
        <v>2426</v>
      </c>
      <c r="C727" s="49" t="s">
        <v>379</v>
      </c>
      <c r="D727" s="49" t="s">
        <v>140</v>
      </c>
      <c r="E727" s="49" t="s">
        <v>245</v>
      </c>
      <c r="F727" s="50">
        <v>43129.0</v>
      </c>
      <c r="G727" s="50">
        <v>43133.0</v>
      </c>
      <c r="H727" s="51">
        <v>43266.700694444444</v>
      </c>
      <c r="I727" s="52">
        <v>1.0</v>
      </c>
      <c r="J727" s="53"/>
      <c r="K727" s="53"/>
    </row>
    <row r="728">
      <c r="A728" s="48" t="s">
        <v>2428</v>
      </c>
      <c r="B728" s="49" t="s">
        <v>2429</v>
      </c>
      <c r="C728" s="49" t="s">
        <v>2430</v>
      </c>
      <c r="D728" s="49" t="s">
        <v>974</v>
      </c>
      <c r="E728" s="49" t="s">
        <v>245</v>
      </c>
      <c r="F728" s="50">
        <v>43129.0</v>
      </c>
      <c r="G728" s="50">
        <v>43129.0</v>
      </c>
      <c r="H728" s="51">
        <v>43164.59861111111</v>
      </c>
      <c r="I728" s="52">
        <v>1.0</v>
      </c>
      <c r="J728" s="53"/>
      <c r="K728" s="53"/>
    </row>
    <row r="729">
      <c r="A729" s="48" t="s">
        <v>2432</v>
      </c>
      <c r="B729" s="49" t="s">
        <v>2433</v>
      </c>
      <c r="C729" s="49" t="s">
        <v>2435</v>
      </c>
      <c r="D729" s="49" t="s">
        <v>2416</v>
      </c>
      <c r="E729" s="49" t="s">
        <v>245</v>
      </c>
      <c r="F729" s="50">
        <v>43129.0</v>
      </c>
      <c r="G729" s="50">
        <v>43133.0</v>
      </c>
      <c r="H729" s="51">
        <v>43164.59861111111</v>
      </c>
      <c r="I729" s="52">
        <v>1.0</v>
      </c>
      <c r="J729" s="53"/>
      <c r="K729" s="53"/>
    </row>
    <row r="730">
      <c r="A730" s="48" t="s">
        <v>2437</v>
      </c>
      <c r="B730" s="49" t="s">
        <v>2438</v>
      </c>
      <c r="C730" s="49" t="s">
        <v>379</v>
      </c>
      <c r="D730" s="49" t="s">
        <v>148</v>
      </c>
      <c r="E730" s="49" t="s">
        <v>245</v>
      </c>
      <c r="F730" s="50">
        <v>43129.0</v>
      </c>
      <c r="G730" s="50">
        <v>43129.0</v>
      </c>
      <c r="H730" s="51">
        <v>43130.80347222222</v>
      </c>
      <c r="I730" s="52">
        <v>1.0</v>
      </c>
      <c r="J730" s="53"/>
      <c r="K730" s="53"/>
    </row>
    <row r="731">
      <c r="A731" s="48" t="s">
        <v>2441</v>
      </c>
      <c r="B731" s="49" t="s">
        <v>2442</v>
      </c>
      <c r="C731" s="49" t="s">
        <v>379</v>
      </c>
      <c r="D731" s="49" t="s">
        <v>148</v>
      </c>
      <c r="E731" s="49" t="s">
        <v>245</v>
      </c>
      <c r="F731" s="50">
        <v>43129.0</v>
      </c>
      <c r="G731" s="50">
        <v>43129.0</v>
      </c>
      <c r="H731" s="51">
        <v>43133.620833333334</v>
      </c>
      <c r="I731" s="52">
        <v>1.0</v>
      </c>
      <c r="J731" s="53"/>
      <c r="K731" s="53"/>
    </row>
    <row r="732">
      <c r="A732" s="48" t="s">
        <v>2445</v>
      </c>
      <c r="B732" s="49" t="s">
        <v>2446</v>
      </c>
      <c r="C732" s="49" t="s">
        <v>257</v>
      </c>
      <c r="D732" s="49" t="s">
        <v>153</v>
      </c>
      <c r="E732" s="49" t="s">
        <v>245</v>
      </c>
      <c r="F732" s="50">
        <v>43129.0</v>
      </c>
      <c r="G732" s="50">
        <v>43129.0</v>
      </c>
      <c r="H732" s="51">
        <v>43132.743055555555</v>
      </c>
      <c r="I732" s="52">
        <v>1.0</v>
      </c>
      <c r="J732" s="53"/>
      <c r="K732" s="53"/>
    </row>
    <row r="733">
      <c r="A733" s="48" t="s">
        <v>2449</v>
      </c>
      <c r="B733" s="49" t="s">
        <v>2450</v>
      </c>
      <c r="C733" s="49" t="s">
        <v>221</v>
      </c>
      <c r="D733" s="49" t="s">
        <v>153</v>
      </c>
      <c r="E733" s="49" t="s">
        <v>245</v>
      </c>
      <c r="F733" s="50">
        <v>43129.0</v>
      </c>
      <c r="G733" s="50">
        <v>43129.0</v>
      </c>
      <c r="H733" s="51">
        <v>43132.743055555555</v>
      </c>
      <c r="I733" s="52">
        <v>1.0</v>
      </c>
      <c r="J733" s="53"/>
      <c r="K733" s="53"/>
    </row>
    <row r="734">
      <c r="A734" s="48" t="s">
        <v>2451</v>
      </c>
      <c r="B734" s="49" t="s">
        <v>2453</v>
      </c>
      <c r="C734" s="49" t="s">
        <v>257</v>
      </c>
      <c r="D734" s="49" t="s">
        <v>153</v>
      </c>
      <c r="E734" s="49" t="s">
        <v>245</v>
      </c>
      <c r="F734" s="50">
        <v>43129.0</v>
      </c>
      <c r="G734" s="50">
        <v>43129.0</v>
      </c>
      <c r="H734" s="51">
        <v>43132.74236111111</v>
      </c>
      <c r="I734" s="52">
        <v>1.0</v>
      </c>
      <c r="J734" s="53"/>
      <c r="K734" s="53"/>
    </row>
    <row r="735">
      <c r="A735" s="48" t="s">
        <v>2455</v>
      </c>
      <c r="B735" s="49" t="s">
        <v>2456</v>
      </c>
      <c r="C735" s="49" t="s">
        <v>243</v>
      </c>
      <c r="D735" s="49" t="s">
        <v>2458</v>
      </c>
      <c r="E735" s="49" t="s">
        <v>245</v>
      </c>
      <c r="F735" s="50">
        <v>43129.0</v>
      </c>
      <c r="G735" s="50">
        <v>43129.0</v>
      </c>
      <c r="H735" s="51">
        <v>43238.77222222222</v>
      </c>
      <c r="I735" s="52">
        <v>1.0</v>
      </c>
      <c r="J735" s="53"/>
      <c r="K735" s="53"/>
    </row>
    <row r="736">
      <c r="A736" s="48" t="s">
        <v>2460</v>
      </c>
      <c r="B736" s="49" t="s">
        <v>2421</v>
      </c>
      <c r="C736" s="49" t="s">
        <v>2462</v>
      </c>
      <c r="D736" s="49" t="s">
        <v>2422</v>
      </c>
      <c r="E736" s="49" t="s">
        <v>245</v>
      </c>
      <c r="F736" s="50">
        <v>43129.0</v>
      </c>
      <c r="G736" s="50">
        <v>43140.0</v>
      </c>
      <c r="H736" s="51">
        <v>43266.70625</v>
      </c>
      <c r="I736" s="52">
        <v>1.0</v>
      </c>
      <c r="J736" s="53"/>
      <c r="K736" s="53"/>
    </row>
    <row r="737">
      <c r="A737" s="48" t="s">
        <v>2465</v>
      </c>
      <c r="B737" s="49" t="s">
        <v>2466</v>
      </c>
      <c r="C737" s="49" t="s">
        <v>1403</v>
      </c>
      <c r="D737" s="49" t="s">
        <v>310</v>
      </c>
      <c r="E737" s="49" t="s">
        <v>245</v>
      </c>
      <c r="F737" s="50">
        <v>43125.0</v>
      </c>
      <c r="G737" s="50">
        <v>43125.0</v>
      </c>
      <c r="H737" s="51">
        <v>43126.39375</v>
      </c>
      <c r="I737" s="52">
        <v>1.0</v>
      </c>
      <c r="J737" s="53"/>
      <c r="K737" s="53"/>
    </row>
    <row r="738">
      <c r="A738" s="48" t="s">
        <v>2469</v>
      </c>
      <c r="B738" s="49" t="s">
        <v>2470</v>
      </c>
      <c r="C738" s="49" t="s">
        <v>2471</v>
      </c>
      <c r="D738" s="49" t="s">
        <v>140</v>
      </c>
      <c r="E738" s="49" t="s">
        <v>245</v>
      </c>
      <c r="F738" s="50">
        <v>43125.0</v>
      </c>
      <c r="G738" s="50">
        <v>43125.0</v>
      </c>
      <c r="H738" s="51">
        <v>43126.80625</v>
      </c>
      <c r="I738" s="52">
        <v>1.0</v>
      </c>
      <c r="J738" s="53"/>
      <c r="K738" s="53"/>
    </row>
    <row r="739">
      <c r="A739" s="48" t="s">
        <v>2474</v>
      </c>
      <c r="B739" s="49" t="s">
        <v>2475</v>
      </c>
      <c r="C739" s="49" t="s">
        <v>257</v>
      </c>
      <c r="D739" s="49" t="s">
        <v>140</v>
      </c>
      <c r="E739" s="49" t="s">
        <v>245</v>
      </c>
      <c r="F739" s="50">
        <v>43125.0</v>
      </c>
      <c r="G739" s="50">
        <v>43125.0</v>
      </c>
      <c r="H739" s="51">
        <v>43130.39444444444</v>
      </c>
      <c r="I739" s="52">
        <v>1.0</v>
      </c>
      <c r="J739" s="53"/>
      <c r="K739" s="53"/>
    </row>
    <row r="740">
      <c r="A740" s="48" t="s">
        <v>2476</v>
      </c>
      <c r="B740" s="49" t="s">
        <v>2478</v>
      </c>
      <c r="C740" s="49" t="s">
        <v>243</v>
      </c>
      <c r="D740" s="49" t="s">
        <v>148</v>
      </c>
      <c r="E740" s="49" t="s">
        <v>204</v>
      </c>
      <c r="F740" s="50">
        <v>43124.0</v>
      </c>
      <c r="G740" s="50">
        <v>43126.0</v>
      </c>
      <c r="H740" s="51">
        <v>43125.50069444445</v>
      </c>
      <c r="I740" s="52">
        <v>0.0</v>
      </c>
      <c r="J740" s="53"/>
      <c r="K740" s="53"/>
    </row>
    <row r="741">
      <c r="A741" s="48" t="s">
        <v>2480</v>
      </c>
      <c r="B741" s="49" t="s">
        <v>2481</v>
      </c>
      <c r="C741" s="49" t="s">
        <v>243</v>
      </c>
      <c r="D741" s="49" t="s">
        <v>148</v>
      </c>
      <c r="E741" s="49" t="s">
        <v>245</v>
      </c>
      <c r="F741" s="50">
        <v>43124.0</v>
      </c>
      <c r="G741" s="50">
        <v>43124.0</v>
      </c>
      <c r="H741" s="51">
        <v>43125.50069444445</v>
      </c>
      <c r="I741" s="52">
        <v>1.0</v>
      </c>
      <c r="J741" s="53"/>
      <c r="K741" s="53"/>
    </row>
    <row r="742">
      <c r="A742" s="48" t="s">
        <v>2483</v>
      </c>
      <c r="B742" s="49" t="s">
        <v>2484</v>
      </c>
      <c r="C742" s="49" t="s">
        <v>243</v>
      </c>
      <c r="D742" s="49" t="s">
        <v>148</v>
      </c>
      <c r="E742" s="49" t="s">
        <v>245</v>
      </c>
      <c r="F742" s="50">
        <v>43124.0</v>
      </c>
      <c r="G742" s="50">
        <v>43125.0</v>
      </c>
      <c r="H742" s="51">
        <v>43125.65416666667</v>
      </c>
      <c r="I742" s="52">
        <v>1.0</v>
      </c>
      <c r="J742" s="53"/>
      <c r="K742" s="53"/>
    </row>
    <row r="743">
      <c r="A743" s="48" t="s">
        <v>2488</v>
      </c>
      <c r="B743" s="49" t="s">
        <v>1742</v>
      </c>
      <c r="C743" s="49" t="s">
        <v>1403</v>
      </c>
      <c r="D743" s="49" t="s">
        <v>310</v>
      </c>
      <c r="E743" s="49" t="s">
        <v>245</v>
      </c>
      <c r="F743" s="50">
        <v>43124.0</v>
      </c>
      <c r="G743" s="50">
        <v>43124.0</v>
      </c>
      <c r="H743" s="51">
        <v>43124.81458333333</v>
      </c>
      <c r="I743" s="52">
        <v>1.0</v>
      </c>
      <c r="J743" s="53"/>
      <c r="K743" s="53"/>
    </row>
    <row r="744">
      <c r="A744" s="48" t="s">
        <v>2491</v>
      </c>
      <c r="B744" s="49" t="s">
        <v>2492</v>
      </c>
      <c r="C744" s="49" t="s">
        <v>452</v>
      </c>
      <c r="D744" s="49" t="s">
        <v>140</v>
      </c>
      <c r="E744" s="49" t="s">
        <v>245</v>
      </c>
      <c r="F744" s="50">
        <v>43124.0</v>
      </c>
      <c r="G744" s="50">
        <v>43124.0</v>
      </c>
      <c r="H744" s="51">
        <v>43126.80902777778</v>
      </c>
      <c r="I744" s="52">
        <v>1.0</v>
      </c>
      <c r="J744" s="53"/>
      <c r="K744" s="53"/>
    </row>
    <row r="745">
      <c r="A745" s="48" t="s">
        <v>2494</v>
      </c>
      <c r="B745" s="49" t="s">
        <v>2496</v>
      </c>
      <c r="C745" s="49" t="s">
        <v>243</v>
      </c>
      <c r="D745" s="49" t="s">
        <v>148</v>
      </c>
      <c r="E745" s="49" t="s">
        <v>245</v>
      </c>
      <c r="F745" s="50">
        <v>43123.0</v>
      </c>
      <c r="G745" s="50">
        <v>43123.0</v>
      </c>
      <c r="H745" s="51">
        <v>43123.50763888889</v>
      </c>
      <c r="I745" s="52">
        <v>1.0</v>
      </c>
      <c r="J745" s="53"/>
      <c r="K745" s="53"/>
    </row>
    <row r="746">
      <c r="A746" s="48" t="s">
        <v>2497</v>
      </c>
      <c r="B746" s="49" t="s">
        <v>2499</v>
      </c>
      <c r="C746" s="49" t="s">
        <v>379</v>
      </c>
      <c r="D746" s="49" t="s">
        <v>310</v>
      </c>
      <c r="E746" s="49" t="s">
        <v>245</v>
      </c>
      <c r="F746" s="50">
        <v>43123.0</v>
      </c>
      <c r="G746" s="50">
        <v>43123.0</v>
      </c>
      <c r="H746" s="51">
        <v>43124.81527777778</v>
      </c>
      <c r="I746" s="52">
        <v>1.0</v>
      </c>
      <c r="J746" s="53"/>
      <c r="K746" s="53"/>
    </row>
    <row r="747">
      <c r="A747" s="48" t="s">
        <v>2502</v>
      </c>
      <c r="B747" s="49" t="s">
        <v>2503</v>
      </c>
      <c r="C747" s="49" t="s">
        <v>243</v>
      </c>
      <c r="D747" s="49" t="s">
        <v>140</v>
      </c>
      <c r="E747" s="49" t="s">
        <v>245</v>
      </c>
      <c r="F747" s="50">
        <v>43123.0</v>
      </c>
      <c r="G747" s="50">
        <v>43123.0</v>
      </c>
      <c r="H747" s="51">
        <v>43126.808333333334</v>
      </c>
      <c r="I747" s="52">
        <v>1.0</v>
      </c>
      <c r="J747" s="53"/>
      <c r="K747" s="53"/>
    </row>
    <row r="748">
      <c r="A748" s="48" t="s">
        <v>2505</v>
      </c>
      <c r="B748" s="49" t="s">
        <v>1842</v>
      </c>
      <c r="C748" s="49" t="s">
        <v>1403</v>
      </c>
      <c r="D748" s="49" t="s">
        <v>310</v>
      </c>
      <c r="E748" s="49" t="s">
        <v>245</v>
      </c>
      <c r="F748" s="50">
        <v>43122.0</v>
      </c>
      <c r="G748" s="50">
        <v>43122.0</v>
      </c>
      <c r="H748" s="51">
        <v>43122.479166666664</v>
      </c>
      <c r="I748" s="52">
        <v>1.0</v>
      </c>
      <c r="J748" s="53"/>
      <c r="K748" s="53"/>
    </row>
    <row r="749">
      <c r="A749" s="48" t="s">
        <v>2509</v>
      </c>
      <c r="B749" s="49" t="s">
        <v>2511</v>
      </c>
      <c r="C749" s="49" t="s">
        <v>2310</v>
      </c>
      <c r="D749" s="49" t="s">
        <v>140</v>
      </c>
      <c r="E749" s="49" t="s">
        <v>245</v>
      </c>
      <c r="F749" s="50">
        <v>43122.0</v>
      </c>
      <c r="G749" s="50">
        <v>43122.0</v>
      </c>
      <c r="H749" s="51">
        <v>43126.808333333334</v>
      </c>
      <c r="I749" s="52">
        <v>1.0</v>
      </c>
      <c r="J749" s="53"/>
      <c r="K749" s="53"/>
    </row>
    <row r="750">
      <c r="A750" s="48" t="s">
        <v>2515</v>
      </c>
      <c r="B750" s="49" t="s">
        <v>2516</v>
      </c>
      <c r="C750" s="49" t="s">
        <v>203</v>
      </c>
      <c r="D750" s="49" t="s">
        <v>1653</v>
      </c>
      <c r="E750" s="49" t="s">
        <v>245</v>
      </c>
      <c r="F750" s="50">
        <v>43122.0</v>
      </c>
      <c r="G750" s="50">
        <v>43126.0</v>
      </c>
      <c r="H750" s="51">
        <v>43174.45347222222</v>
      </c>
      <c r="I750" s="52">
        <v>1.0</v>
      </c>
      <c r="J750" s="53"/>
      <c r="K750" s="53"/>
    </row>
    <row r="751">
      <c r="A751" s="48" t="s">
        <v>2518</v>
      </c>
      <c r="B751" s="49" t="s">
        <v>2520</v>
      </c>
      <c r="C751" s="49" t="s">
        <v>243</v>
      </c>
      <c r="D751" s="49" t="s">
        <v>148</v>
      </c>
      <c r="E751" s="49" t="s">
        <v>204</v>
      </c>
      <c r="F751" s="50">
        <v>43119.0</v>
      </c>
      <c r="G751" s="50">
        <v>43129.0</v>
      </c>
      <c r="H751" s="51">
        <v>43119.40625</v>
      </c>
      <c r="I751" s="52">
        <v>0.0</v>
      </c>
      <c r="J751" s="53"/>
      <c r="K751" s="53"/>
    </row>
    <row r="752">
      <c r="A752" s="48" t="s">
        <v>2521</v>
      </c>
      <c r="B752" s="49" t="s">
        <v>2522</v>
      </c>
      <c r="C752" s="49" t="s">
        <v>1403</v>
      </c>
      <c r="D752" s="49" t="s">
        <v>310</v>
      </c>
      <c r="E752" s="49" t="s">
        <v>245</v>
      </c>
      <c r="F752" s="50">
        <v>43119.0</v>
      </c>
      <c r="G752" s="50">
        <v>43119.0</v>
      </c>
      <c r="H752" s="51">
        <v>43119.58125</v>
      </c>
      <c r="I752" s="52">
        <v>1.0</v>
      </c>
      <c r="J752" s="53"/>
      <c r="K752" s="53"/>
    </row>
    <row r="753">
      <c r="A753" s="48" t="s">
        <v>2524</v>
      </c>
      <c r="B753" s="49" t="s">
        <v>2525</v>
      </c>
      <c r="C753" s="49" t="s">
        <v>257</v>
      </c>
      <c r="D753" s="49" t="s">
        <v>153</v>
      </c>
      <c r="E753" s="49" t="s">
        <v>245</v>
      </c>
      <c r="F753" s="50">
        <v>43119.0</v>
      </c>
      <c r="G753" s="50">
        <v>43119.0</v>
      </c>
      <c r="H753" s="51">
        <v>43119.657638888886</v>
      </c>
      <c r="I753" s="52">
        <v>1.0</v>
      </c>
      <c r="J753" s="53"/>
      <c r="K753" s="53"/>
    </row>
    <row r="754">
      <c r="A754" s="48" t="s">
        <v>2530</v>
      </c>
      <c r="B754" s="49" t="s">
        <v>2531</v>
      </c>
      <c r="C754" s="49" t="s">
        <v>221</v>
      </c>
      <c r="D754" s="49" t="s">
        <v>153</v>
      </c>
      <c r="E754" s="49" t="s">
        <v>245</v>
      </c>
      <c r="F754" s="50">
        <v>43119.0</v>
      </c>
      <c r="G754" s="50">
        <v>43119.0</v>
      </c>
      <c r="H754" s="51">
        <v>43119.657638888886</v>
      </c>
      <c r="I754" s="52">
        <v>1.0</v>
      </c>
      <c r="J754" s="53"/>
      <c r="K754" s="53"/>
    </row>
    <row r="755">
      <c r="A755" s="48" t="s">
        <v>2533</v>
      </c>
      <c r="B755" s="49" t="s">
        <v>2534</v>
      </c>
      <c r="C755" s="49" t="s">
        <v>243</v>
      </c>
      <c r="D755" s="49" t="s">
        <v>148</v>
      </c>
      <c r="E755" s="49" t="s">
        <v>245</v>
      </c>
      <c r="F755" s="50">
        <v>43118.0</v>
      </c>
      <c r="G755" s="50">
        <v>43122.0</v>
      </c>
      <c r="H755" s="51">
        <v>43118.57847222222</v>
      </c>
      <c r="I755" s="52">
        <v>1.0</v>
      </c>
      <c r="J755" s="53"/>
      <c r="K755" s="53"/>
    </row>
    <row r="756">
      <c r="A756" s="48" t="s">
        <v>2537</v>
      </c>
      <c r="B756" s="49" t="s">
        <v>2539</v>
      </c>
      <c r="C756" s="49" t="s">
        <v>243</v>
      </c>
      <c r="D756" s="49" t="s">
        <v>140</v>
      </c>
      <c r="E756" s="49" t="s">
        <v>245</v>
      </c>
      <c r="F756" s="50">
        <v>43118.0</v>
      </c>
      <c r="G756" s="50">
        <v>43118.0</v>
      </c>
      <c r="H756" s="51">
        <v>43118.62152777778</v>
      </c>
      <c r="I756" s="52">
        <v>1.0</v>
      </c>
      <c r="J756" s="53"/>
      <c r="K756" s="53"/>
    </row>
    <row r="757">
      <c r="A757" s="48" t="s">
        <v>2541</v>
      </c>
      <c r="B757" s="49" t="s">
        <v>2543</v>
      </c>
      <c r="C757" s="49" t="s">
        <v>1403</v>
      </c>
      <c r="D757" s="49" t="s">
        <v>310</v>
      </c>
      <c r="E757" s="49" t="s">
        <v>245</v>
      </c>
      <c r="F757" s="50">
        <v>43118.0</v>
      </c>
      <c r="G757" s="50">
        <v>43118.0</v>
      </c>
      <c r="H757" s="51">
        <v>43119.43541666667</v>
      </c>
      <c r="I757" s="52">
        <v>1.0</v>
      </c>
      <c r="J757" s="53"/>
      <c r="K757" s="53"/>
    </row>
    <row r="758">
      <c r="A758" s="48" t="s">
        <v>2545</v>
      </c>
      <c r="B758" s="49" t="s">
        <v>2547</v>
      </c>
      <c r="C758" s="49" t="s">
        <v>1403</v>
      </c>
      <c r="D758" s="49" t="s">
        <v>310</v>
      </c>
      <c r="E758" s="49" t="s">
        <v>245</v>
      </c>
      <c r="F758" s="50">
        <v>43118.0</v>
      </c>
      <c r="G758" s="50">
        <v>43118.0</v>
      </c>
      <c r="H758" s="51">
        <v>43119.43680555555</v>
      </c>
      <c r="I758" s="52">
        <v>1.0</v>
      </c>
      <c r="J758" s="53"/>
      <c r="K758" s="53"/>
    </row>
    <row r="759">
      <c r="A759" s="48" t="s">
        <v>2548</v>
      </c>
      <c r="B759" s="49" t="s">
        <v>2550</v>
      </c>
      <c r="C759" s="49" t="s">
        <v>379</v>
      </c>
      <c r="D759" s="49" t="s">
        <v>310</v>
      </c>
      <c r="E759" s="49" t="s">
        <v>245</v>
      </c>
      <c r="F759" s="50">
        <v>43118.0</v>
      </c>
      <c r="G759" s="50">
        <v>43118.0</v>
      </c>
      <c r="H759" s="51">
        <v>43119.44097222222</v>
      </c>
      <c r="I759" s="52">
        <v>1.0</v>
      </c>
      <c r="J759" s="53"/>
      <c r="K759" s="53"/>
    </row>
    <row r="760">
      <c r="A760" s="48" t="s">
        <v>2553</v>
      </c>
      <c r="B760" s="49" t="s">
        <v>2555</v>
      </c>
      <c r="C760" s="49" t="s">
        <v>257</v>
      </c>
      <c r="D760" s="49" t="s">
        <v>153</v>
      </c>
      <c r="E760" s="49" t="s">
        <v>245</v>
      </c>
      <c r="F760" s="50">
        <v>43118.0</v>
      </c>
      <c r="G760" s="50">
        <v>43118.0</v>
      </c>
      <c r="H760" s="51">
        <v>43119.65694444445</v>
      </c>
      <c r="I760" s="52">
        <v>1.0</v>
      </c>
      <c r="J760" s="53"/>
      <c r="K760" s="53"/>
    </row>
    <row r="761">
      <c r="A761" s="48" t="s">
        <v>2559</v>
      </c>
      <c r="B761" s="49" t="s">
        <v>2560</v>
      </c>
      <c r="C761" s="49" t="s">
        <v>257</v>
      </c>
      <c r="D761" s="49" t="s">
        <v>153</v>
      </c>
      <c r="E761" s="49" t="s">
        <v>245</v>
      </c>
      <c r="F761" s="50">
        <v>43118.0</v>
      </c>
      <c r="G761" s="50">
        <v>43118.0</v>
      </c>
      <c r="H761" s="51">
        <v>43119.65625</v>
      </c>
      <c r="I761" s="52">
        <v>1.0</v>
      </c>
      <c r="J761" s="53"/>
      <c r="K761" s="53"/>
    </row>
    <row r="762">
      <c r="A762" s="48" t="s">
        <v>2563</v>
      </c>
      <c r="B762" s="49" t="s">
        <v>2564</v>
      </c>
      <c r="C762" s="49" t="s">
        <v>221</v>
      </c>
      <c r="D762" s="49" t="s">
        <v>153</v>
      </c>
      <c r="E762" s="49" t="s">
        <v>245</v>
      </c>
      <c r="F762" s="50">
        <v>43118.0</v>
      </c>
      <c r="G762" s="50">
        <v>43118.0</v>
      </c>
      <c r="H762" s="51">
        <v>43119.65694444445</v>
      </c>
      <c r="I762" s="52">
        <v>1.0</v>
      </c>
      <c r="J762" s="53"/>
      <c r="K762" s="53"/>
    </row>
    <row r="763">
      <c r="A763" s="48" t="s">
        <v>2565</v>
      </c>
      <c r="B763" s="49" t="s">
        <v>2566</v>
      </c>
      <c r="C763" s="49" t="s">
        <v>243</v>
      </c>
      <c r="D763" s="49" t="s">
        <v>148</v>
      </c>
      <c r="E763" s="49" t="s">
        <v>204</v>
      </c>
      <c r="F763" s="50">
        <v>43117.0</v>
      </c>
      <c r="G763" s="50">
        <v>43121.0</v>
      </c>
      <c r="H763" s="51">
        <v>43117.67291666667</v>
      </c>
      <c r="I763" s="52">
        <v>0.0</v>
      </c>
      <c r="J763" s="53"/>
      <c r="K763" s="53"/>
    </row>
    <row r="764">
      <c r="A764" s="48" t="s">
        <v>2567</v>
      </c>
      <c r="B764" s="49" t="s">
        <v>1876</v>
      </c>
      <c r="C764" s="49" t="s">
        <v>1403</v>
      </c>
      <c r="D764" s="49" t="s">
        <v>310</v>
      </c>
      <c r="E764" s="49" t="s">
        <v>245</v>
      </c>
      <c r="F764" s="50">
        <v>43117.0</v>
      </c>
      <c r="G764" s="50">
        <v>43117.0</v>
      </c>
      <c r="H764" s="51">
        <v>43118.396527777775</v>
      </c>
      <c r="I764" s="52">
        <v>1.0</v>
      </c>
      <c r="J764" s="53"/>
      <c r="K764" s="53"/>
    </row>
    <row r="765">
      <c r="A765" s="48" t="s">
        <v>2569</v>
      </c>
      <c r="B765" s="49" t="s">
        <v>1889</v>
      </c>
      <c r="C765" s="49" t="s">
        <v>1403</v>
      </c>
      <c r="D765" s="49" t="s">
        <v>310</v>
      </c>
      <c r="E765" s="49" t="s">
        <v>245</v>
      </c>
      <c r="F765" s="50">
        <v>43117.0</v>
      </c>
      <c r="G765" s="50">
        <v>43117.0</v>
      </c>
      <c r="H765" s="51">
        <v>43118.41527777778</v>
      </c>
      <c r="I765" s="52">
        <v>1.0</v>
      </c>
      <c r="J765" s="53"/>
      <c r="K765" s="53"/>
    </row>
    <row r="766">
      <c r="A766" s="48" t="s">
        <v>2573</v>
      </c>
      <c r="B766" s="49" t="s">
        <v>1883</v>
      </c>
      <c r="C766" s="49" t="s">
        <v>1403</v>
      </c>
      <c r="D766" s="49" t="s">
        <v>310</v>
      </c>
      <c r="E766" s="49" t="s">
        <v>245</v>
      </c>
      <c r="F766" s="50">
        <v>43117.0</v>
      </c>
      <c r="G766" s="50">
        <v>43117.0</v>
      </c>
      <c r="H766" s="51">
        <v>43118.41875</v>
      </c>
      <c r="I766" s="52">
        <v>1.0</v>
      </c>
      <c r="J766" s="53"/>
      <c r="K766" s="53"/>
    </row>
    <row r="767">
      <c r="A767" s="48" t="s">
        <v>2577</v>
      </c>
      <c r="B767" s="49" t="s">
        <v>1871</v>
      </c>
      <c r="C767" s="49" t="s">
        <v>1403</v>
      </c>
      <c r="D767" s="49" t="s">
        <v>310</v>
      </c>
      <c r="E767" s="49" t="s">
        <v>245</v>
      </c>
      <c r="F767" s="50">
        <v>43117.0</v>
      </c>
      <c r="G767" s="50">
        <v>43117.0</v>
      </c>
      <c r="H767" s="51">
        <v>43118.42083333333</v>
      </c>
      <c r="I767" s="52">
        <v>1.0</v>
      </c>
      <c r="J767" s="53"/>
      <c r="K767" s="53"/>
    </row>
    <row r="768">
      <c r="A768" s="48" t="s">
        <v>2580</v>
      </c>
      <c r="B768" s="49" t="s">
        <v>2585</v>
      </c>
      <c r="C768" s="49" t="s">
        <v>203</v>
      </c>
      <c r="D768" s="49" t="s">
        <v>310</v>
      </c>
      <c r="E768" s="49" t="s">
        <v>245</v>
      </c>
      <c r="F768" s="50">
        <v>43117.0</v>
      </c>
      <c r="G768" s="50">
        <v>43117.0</v>
      </c>
      <c r="H768" s="51">
        <v>43118.42083333333</v>
      </c>
      <c r="I768" s="52">
        <v>1.0</v>
      </c>
      <c r="J768" s="53"/>
      <c r="K768" s="53"/>
    </row>
    <row r="769">
      <c r="A769" s="48" t="s">
        <v>2589</v>
      </c>
      <c r="B769" s="49" t="s">
        <v>2590</v>
      </c>
      <c r="C769" s="49" t="s">
        <v>257</v>
      </c>
      <c r="D769" s="49" t="s">
        <v>153</v>
      </c>
      <c r="E769" s="49" t="s">
        <v>245</v>
      </c>
      <c r="F769" s="50">
        <v>43117.0</v>
      </c>
      <c r="G769" s="50">
        <v>43117.0</v>
      </c>
      <c r="H769" s="51">
        <v>43119.65555555555</v>
      </c>
      <c r="I769" s="52">
        <v>1.0</v>
      </c>
      <c r="J769" s="53"/>
      <c r="K769" s="53"/>
    </row>
    <row r="770">
      <c r="A770" s="48" t="s">
        <v>2593</v>
      </c>
      <c r="B770" s="49" t="s">
        <v>2594</v>
      </c>
      <c r="C770" s="49" t="s">
        <v>221</v>
      </c>
      <c r="D770" s="49" t="s">
        <v>153</v>
      </c>
      <c r="E770" s="49" t="s">
        <v>245</v>
      </c>
      <c r="F770" s="50">
        <v>43117.0</v>
      </c>
      <c r="G770" s="50">
        <v>43117.0</v>
      </c>
      <c r="H770" s="51">
        <v>43119.65625</v>
      </c>
      <c r="I770" s="52">
        <v>1.0</v>
      </c>
      <c r="J770" s="53"/>
      <c r="K770" s="53"/>
    </row>
    <row r="771">
      <c r="A771" s="48" t="s">
        <v>2598</v>
      </c>
      <c r="B771" s="49" t="s">
        <v>2600</v>
      </c>
      <c r="C771" s="49" t="s">
        <v>2601</v>
      </c>
      <c r="D771" s="49" t="s">
        <v>140</v>
      </c>
      <c r="E771" s="49" t="s">
        <v>245</v>
      </c>
      <c r="F771" s="50">
        <v>43117.0</v>
      </c>
      <c r="G771" s="50">
        <v>43117.0</v>
      </c>
      <c r="H771" s="51">
        <v>43126.80694444444</v>
      </c>
      <c r="I771" s="52">
        <v>1.0</v>
      </c>
      <c r="J771" s="53"/>
      <c r="K771" s="53"/>
    </row>
    <row r="772">
      <c r="A772" s="48" t="s">
        <v>2605</v>
      </c>
      <c r="B772" s="49" t="s">
        <v>2607</v>
      </c>
      <c r="C772" s="49" t="s">
        <v>379</v>
      </c>
      <c r="D772" s="49" t="s">
        <v>140</v>
      </c>
      <c r="E772" s="49" t="s">
        <v>245</v>
      </c>
      <c r="F772" s="50">
        <v>43116.0</v>
      </c>
      <c r="G772" s="50">
        <v>43119.0</v>
      </c>
      <c r="H772" s="51">
        <v>43116.666666666664</v>
      </c>
      <c r="I772" s="52">
        <v>1.0</v>
      </c>
      <c r="J772" s="53"/>
      <c r="K772" s="53"/>
    </row>
    <row r="773">
      <c r="A773" s="48" t="s">
        <v>2610</v>
      </c>
      <c r="B773" s="49" t="s">
        <v>2611</v>
      </c>
      <c r="C773" s="49" t="s">
        <v>1676</v>
      </c>
      <c r="D773" s="49" t="s">
        <v>148</v>
      </c>
      <c r="E773" s="49" t="s">
        <v>245</v>
      </c>
      <c r="F773" s="50">
        <v>43116.0</v>
      </c>
      <c r="G773" s="50">
        <v>43116.0</v>
      </c>
      <c r="H773" s="51">
        <v>43116.66736111111</v>
      </c>
      <c r="I773" s="52">
        <v>1.0</v>
      </c>
      <c r="J773" s="53"/>
      <c r="K773" s="53"/>
    </row>
    <row r="774">
      <c r="A774" s="48" t="s">
        <v>2615</v>
      </c>
      <c r="B774" s="49" t="s">
        <v>2616</v>
      </c>
      <c r="C774" s="49" t="s">
        <v>243</v>
      </c>
      <c r="D774" s="49" t="s">
        <v>148</v>
      </c>
      <c r="E774" s="49" t="s">
        <v>245</v>
      </c>
      <c r="F774" s="50">
        <v>43116.0</v>
      </c>
      <c r="G774" s="50">
        <v>43116.0</v>
      </c>
      <c r="H774" s="51">
        <v>43116.66527777778</v>
      </c>
      <c r="I774" s="52">
        <v>1.0</v>
      </c>
      <c r="J774" s="53"/>
      <c r="K774" s="53"/>
    </row>
    <row r="775">
      <c r="A775" s="48" t="s">
        <v>2617</v>
      </c>
      <c r="B775" s="49" t="s">
        <v>2618</v>
      </c>
      <c r="C775" s="49" t="s">
        <v>243</v>
      </c>
      <c r="D775" s="49" t="s">
        <v>148</v>
      </c>
      <c r="E775" s="49" t="s">
        <v>245</v>
      </c>
      <c r="F775" s="50">
        <v>43116.0</v>
      </c>
      <c r="G775" s="50">
        <v>43116.0</v>
      </c>
      <c r="H775" s="51">
        <v>43116.66527777778</v>
      </c>
      <c r="I775" s="52">
        <v>1.0</v>
      </c>
      <c r="J775" s="53"/>
      <c r="K775" s="53"/>
    </row>
    <row r="776">
      <c r="A776" s="48" t="s">
        <v>2621</v>
      </c>
      <c r="B776" s="49" t="s">
        <v>481</v>
      </c>
      <c r="C776" s="49" t="s">
        <v>257</v>
      </c>
      <c r="D776" s="49" t="s">
        <v>153</v>
      </c>
      <c r="E776" s="49" t="s">
        <v>245</v>
      </c>
      <c r="F776" s="50">
        <v>43116.0</v>
      </c>
      <c r="G776" s="50">
        <v>43116.0</v>
      </c>
      <c r="H776" s="51">
        <v>43119.65277777778</v>
      </c>
      <c r="I776" s="52">
        <v>1.0</v>
      </c>
      <c r="J776" s="53"/>
      <c r="K776" s="53"/>
    </row>
    <row r="777">
      <c r="A777" s="48" t="s">
        <v>2624</v>
      </c>
      <c r="B777" s="49" t="s">
        <v>2625</v>
      </c>
      <c r="C777" s="49" t="s">
        <v>221</v>
      </c>
      <c r="D777" s="49" t="s">
        <v>153</v>
      </c>
      <c r="E777" s="49" t="s">
        <v>245</v>
      </c>
      <c r="F777" s="50">
        <v>43116.0</v>
      </c>
      <c r="G777" s="50">
        <v>43116.0</v>
      </c>
      <c r="H777" s="51">
        <v>43119.65347222222</v>
      </c>
      <c r="I777" s="52">
        <v>1.0</v>
      </c>
      <c r="J777" s="53"/>
      <c r="K777" s="53"/>
    </row>
    <row r="778">
      <c r="A778" s="48" t="s">
        <v>2630</v>
      </c>
      <c r="B778" s="49" t="s">
        <v>2631</v>
      </c>
      <c r="C778" s="49" t="s">
        <v>243</v>
      </c>
      <c r="D778" s="49" t="s">
        <v>148</v>
      </c>
      <c r="E778" s="49" t="s">
        <v>204</v>
      </c>
      <c r="F778" s="50">
        <v>43115.0</v>
      </c>
      <c r="G778" s="50">
        <v>43119.0</v>
      </c>
      <c r="H778" s="51">
        <v>43115.45416666667</v>
      </c>
      <c r="I778" s="52">
        <v>0.0</v>
      </c>
      <c r="J778" s="53"/>
      <c r="K778" s="53"/>
    </row>
    <row r="779">
      <c r="A779" s="48" t="s">
        <v>2634</v>
      </c>
      <c r="B779" s="49" t="s">
        <v>2635</v>
      </c>
      <c r="C779" s="49" t="s">
        <v>379</v>
      </c>
      <c r="D779" s="49" t="s">
        <v>148</v>
      </c>
      <c r="E779" s="49" t="s">
        <v>245</v>
      </c>
      <c r="F779" s="50">
        <v>43115.0</v>
      </c>
      <c r="G779" s="50">
        <v>43119.0</v>
      </c>
      <c r="H779" s="51">
        <v>43115.48263888889</v>
      </c>
      <c r="I779" s="52">
        <v>1.0</v>
      </c>
      <c r="J779" s="53"/>
      <c r="K779" s="53"/>
    </row>
    <row r="780">
      <c r="A780" s="48" t="s">
        <v>2637</v>
      </c>
      <c r="B780" s="49" t="s">
        <v>2639</v>
      </c>
      <c r="C780" s="49" t="s">
        <v>243</v>
      </c>
      <c r="D780" s="49" t="s">
        <v>148</v>
      </c>
      <c r="E780" s="49" t="s">
        <v>245</v>
      </c>
      <c r="F780" s="50">
        <v>43115.0</v>
      </c>
      <c r="G780" s="50">
        <v>43119.0</v>
      </c>
      <c r="H780" s="51">
        <v>43115.45416666667</v>
      </c>
      <c r="I780" s="52">
        <v>1.0</v>
      </c>
      <c r="J780" s="53"/>
      <c r="K780" s="53"/>
    </row>
    <row r="781">
      <c r="A781" s="48" t="s">
        <v>2641</v>
      </c>
      <c r="B781" s="49" t="s">
        <v>2642</v>
      </c>
      <c r="C781" s="49" t="s">
        <v>379</v>
      </c>
      <c r="D781" s="49" t="s">
        <v>148</v>
      </c>
      <c r="E781" s="49" t="s">
        <v>245</v>
      </c>
      <c r="F781" s="50">
        <v>43115.0</v>
      </c>
      <c r="G781" s="50">
        <v>43117.0</v>
      </c>
      <c r="H781" s="51">
        <v>43115.48263888889</v>
      </c>
      <c r="I781" s="52">
        <v>1.0</v>
      </c>
      <c r="J781" s="53"/>
      <c r="K781" s="53"/>
    </row>
    <row r="782">
      <c r="A782" s="48" t="s">
        <v>2645</v>
      </c>
      <c r="B782" s="49" t="s">
        <v>2646</v>
      </c>
      <c r="C782" s="49" t="s">
        <v>243</v>
      </c>
      <c r="D782" s="49" t="s">
        <v>1653</v>
      </c>
      <c r="E782" s="49" t="s">
        <v>245</v>
      </c>
      <c r="F782" s="50">
        <v>43115.0</v>
      </c>
      <c r="G782" s="50">
        <v>43115.0</v>
      </c>
      <c r="H782" s="51">
        <v>43118.41388888889</v>
      </c>
      <c r="I782" s="52">
        <v>1.0</v>
      </c>
      <c r="J782" s="53"/>
      <c r="K782" s="53"/>
    </row>
    <row r="783">
      <c r="A783" s="48" t="s">
        <v>2650</v>
      </c>
      <c r="B783" s="49" t="s">
        <v>2651</v>
      </c>
      <c r="C783" s="49" t="s">
        <v>379</v>
      </c>
      <c r="D783" s="49" t="s">
        <v>1653</v>
      </c>
      <c r="E783" s="49" t="s">
        <v>245</v>
      </c>
      <c r="F783" s="50">
        <v>43115.0</v>
      </c>
      <c r="G783" s="50">
        <v>43115.0</v>
      </c>
      <c r="H783" s="51">
        <v>43118.41388888889</v>
      </c>
      <c r="I783" s="52">
        <v>1.0</v>
      </c>
      <c r="J783" s="53"/>
      <c r="K783" s="53"/>
    </row>
    <row r="784">
      <c r="A784" s="48" t="s">
        <v>2653</v>
      </c>
      <c r="B784" s="49" t="s">
        <v>2655</v>
      </c>
      <c r="C784" s="49" t="s">
        <v>257</v>
      </c>
      <c r="D784" s="49" t="s">
        <v>140</v>
      </c>
      <c r="E784" s="49" t="s">
        <v>245</v>
      </c>
      <c r="F784" s="50">
        <v>43115.0</v>
      </c>
      <c r="G784" s="50">
        <v>43115.0</v>
      </c>
      <c r="H784" s="51">
        <v>43115.47430555556</v>
      </c>
      <c r="I784" s="52">
        <v>1.0</v>
      </c>
      <c r="J784" s="53"/>
      <c r="K784" s="53"/>
    </row>
    <row r="785">
      <c r="A785" s="48" t="s">
        <v>2659</v>
      </c>
      <c r="B785" s="49" t="s">
        <v>2660</v>
      </c>
      <c r="C785" s="49" t="s">
        <v>257</v>
      </c>
      <c r="D785" s="49" t="s">
        <v>140</v>
      </c>
      <c r="E785" s="49" t="s">
        <v>245</v>
      </c>
      <c r="F785" s="50">
        <v>43115.0</v>
      </c>
      <c r="G785" s="50">
        <v>43115.0</v>
      </c>
      <c r="H785" s="51">
        <v>43115.475</v>
      </c>
      <c r="I785" s="52">
        <v>1.0</v>
      </c>
      <c r="J785" s="53"/>
      <c r="K785" s="53"/>
    </row>
    <row r="786">
      <c r="A786" s="48" t="s">
        <v>2663</v>
      </c>
      <c r="B786" s="49" t="s">
        <v>2664</v>
      </c>
      <c r="C786" s="49" t="s">
        <v>257</v>
      </c>
      <c r="D786" s="49" t="s">
        <v>140</v>
      </c>
      <c r="E786" s="49" t="s">
        <v>245</v>
      </c>
      <c r="F786" s="50">
        <v>43115.0</v>
      </c>
      <c r="G786" s="50">
        <v>43115.0</v>
      </c>
      <c r="H786" s="51">
        <v>43115.67083333333</v>
      </c>
      <c r="I786" s="52">
        <v>1.0</v>
      </c>
      <c r="J786" s="53"/>
      <c r="K786" s="53"/>
    </row>
    <row r="787">
      <c r="A787" s="48" t="s">
        <v>2666</v>
      </c>
      <c r="B787" s="49" t="s">
        <v>2667</v>
      </c>
      <c r="C787" s="49" t="s">
        <v>257</v>
      </c>
      <c r="D787" s="49" t="s">
        <v>140</v>
      </c>
      <c r="E787" s="49" t="s">
        <v>245</v>
      </c>
      <c r="F787" s="50">
        <v>43115.0</v>
      </c>
      <c r="G787" s="50">
        <v>43115.0</v>
      </c>
      <c r="H787" s="51">
        <v>43185.50763888889</v>
      </c>
      <c r="I787" s="52">
        <v>1.0</v>
      </c>
      <c r="J787" s="53"/>
      <c r="K787" s="53"/>
    </row>
    <row r="788">
      <c r="A788" s="48" t="s">
        <v>2671</v>
      </c>
      <c r="B788" s="49" t="s">
        <v>2673</v>
      </c>
      <c r="C788" s="49" t="s">
        <v>257</v>
      </c>
      <c r="D788" s="49" t="s">
        <v>140</v>
      </c>
      <c r="E788" s="49" t="s">
        <v>245</v>
      </c>
      <c r="F788" s="50">
        <v>43115.0</v>
      </c>
      <c r="G788" s="50">
        <v>43115.0</v>
      </c>
      <c r="H788" s="51">
        <v>43115.67291666667</v>
      </c>
      <c r="I788" s="52">
        <v>1.0</v>
      </c>
      <c r="J788" s="53"/>
      <c r="K788" s="53"/>
    </row>
    <row r="789">
      <c r="A789" s="48" t="s">
        <v>2676</v>
      </c>
      <c r="B789" s="49" t="s">
        <v>2677</v>
      </c>
      <c r="C789" s="49" t="s">
        <v>452</v>
      </c>
      <c r="D789" s="49" t="s">
        <v>140</v>
      </c>
      <c r="E789" s="49" t="s">
        <v>245</v>
      </c>
      <c r="F789" s="50">
        <v>43115.0</v>
      </c>
      <c r="G789" s="50">
        <v>43115.0</v>
      </c>
      <c r="H789" s="51">
        <v>43115.816666666666</v>
      </c>
      <c r="I789" s="52">
        <v>1.0</v>
      </c>
      <c r="J789" s="53"/>
      <c r="K789" s="53"/>
    </row>
    <row r="790">
      <c r="A790" s="48" t="s">
        <v>2680</v>
      </c>
      <c r="B790" s="49" t="s">
        <v>2681</v>
      </c>
      <c r="C790" s="49" t="s">
        <v>257</v>
      </c>
      <c r="D790" s="49" t="s">
        <v>153</v>
      </c>
      <c r="E790" s="49" t="s">
        <v>245</v>
      </c>
      <c r="F790" s="50">
        <v>43115.0</v>
      </c>
      <c r="G790" s="50">
        <v>43115.0</v>
      </c>
      <c r="H790" s="51">
        <v>43116.38888888889</v>
      </c>
      <c r="I790" s="52">
        <v>1.0</v>
      </c>
      <c r="J790" s="53"/>
      <c r="K790" s="53"/>
    </row>
    <row r="791">
      <c r="A791" s="48" t="s">
        <v>2684</v>
      </c>
      <c r="B791" s="49" t="s">
        <v>2686</v>
      </c>
      <c r="C791" s="49" t="s">
        <v>221</v>
      </c>
      <c r="D791" s="49" t="s">
        <v>153</v>
      </c>
      <c r="E791" s="49" t="s">
        <v>245</v>
      </c>
      <c r="F791" s="50">
        <v>43115.0</v>
      </c>
      <c r="G791" s="50">
        <v>43115.0</v>
      </c>
      <c r="H791" s="51">
        <v>43116.38888888889</v>
      </c>
      <c r="I791" s="52">
        <v>1.0</v>
      </c>
      <c r="J791" s="53"/>
      <c r="K791" s="53"/>
    </row>
    <row r="792">
      <c r="A792" s="48" t="s">
        <v>2689</v>
      </c>
      <c r="B792" s="49" t="s">
        <v>2590</v>
      </c>
      <c r="C792" s="49" t="s">
        <v>257</v>
      </c>
      <c r="D792" s="49" t="s">
        <v>153</v>
      </c>
      <c r="E792" s="49" t="s">
        <v>245</v>
      </c>
      <c r="F792" s="50">
        <v>43115.0</v>
      </c>
      <c r="G792" s="50">
        <v>43115.0</v>
      </c>
      <c r="H792" s="51">
        <v>43116.38888888889</v>
      </c>
      <c r="I792" s="52">
        <v>1.0</v>
      </c>
      <c r="J792" s="53"/>
      <c r="K792" s="53"/>
    </row>
    <row r="793">
      <c r="A793" s="48" t="s">
        <v>2692</v>
      </c>
      <c r="B793" s="49" t="s">
        <v>2594</v>
      </c>
      <c r="C793" s="49" t="s">
        <v>221</v>
      </c>
      <c r="D793" s="49" t="s">
        <v>153</v>
      </c>
      <c r="E793" s="49" t="s">
        <v>245</v>
      </c>
      <c r="F793" s="50">
        <v>43115.0</v>
      </c>
      <c r="G793" s="50">
        <v>43115.0</v>
      </c>
      <c r="H793" s="51">
        <v>43116.38888888889</v>
      </c>
      <c r="I793" s="52">
        <v>1.0</v>
      </c>
      <c r="J793" s="53"/>
      <c r="K793" s="53"/>
    </row>
    <row r="794">
      <c r="A794" s="48" t="s">
        <v>2696</v>
      </c>
      <c r="B794" s="49" t="s">
        <v>2625</v>
      </c>
      <c r="C794" s="49" t="s">
        <v>221</v>
      </c>
      <c r="D794" s="49" t="s">
        <v>153</v>
      </c>
      <c r="E794" s="49" t="s">
        <v>245</v>
      </c>
      <c r="F794" s="50">
        <v>43115.0</v>
      </c>
      <c r="G794" s="50">
        <v>43115.0</v>
      </c>
      <c r="H794" s="51">
        <v>43116.38888888889</v>
      </c>
      <c r="I794" s="52">
        <v>1.0</v>
      </c>
      <c r="J794" s="53"/>
      <c r="K794" s="53"/>
    </row>
    <row r="795">
      <c r="A795" s="48" t="s">
        <v>2699</v>
      </c>
      <c r="B795" s="49" t="s">
        <v>2700</v>
      </c>
      <c r="C795" s="49" t="s">
        <v>379</v>
      </c>
      <c r="D795" s="49" t="s">
        <v>310</v>
      </c>
      <c r="E795" s="49" t="s">
        <v>245</v>
      </c>
      <c r="F795" s="50">
        <v>43115.0</v>
      </c>
      <c r="G795" s="50">
        <v>43117.0</v>
      </c>
      <c r="H795" s="51">
        <v>43129.59305555555</v>
      </c>
      <c r="I795" s="52">
        <v>1.0</v>
      </c>
      <c r="J795" s="53"/>
      <c r="K795" s="53"/>
    </row>
    <row r="796">
      <c r="A796" s="48" t="s">
        <v>2705</v>
      </c>
      <c r="B796" s="49" t="s">
        <v>2706</v>
      </c>
      <c r="C796" s="49" t="s">
        <v>257</v>
      </c>
      <c r="D796" s="49" t="s">
        <v>140</v>
      </c>
      <c r="E796" s="49" t="s">
        <v>245</v>
      </c>
      <c r="F796" s="50">
        <v>43115.0</v>
      </c>
      <c r="G796" s="50">
        <v>43115.0</v>
      </c>
      <c r="H796" s="51">
        <v>43185.50763888889</v>
      </c>
      <c r="I796" s="52">
        <v>1.0</v>
      </c>
      <c r="J796" s="53"/>
      <c r="K796" s="53"/>
    </row>
    <row r="797">
      <c r="A797" s="48" t="s">
        <v>2711</v>
      </c>
      <c r="B797" s="49" t="s">
        <v>2712</v>
      </c>
      <c r="C797" s="49" t="s">
        <v>243</v>
      </c>
      <c r="D797" s="49" t="s">
        <v>148</v>
      </c>
      <c r="E797" s="49" t="s">
        <v>204</v>
      </c>
      <c r="F797" s="50">
        <v>43112.0</v>
      </c>
      <c r="G797" s="50">
        <v>43119.0</v>
      </c>
      <c r="H797" s="51">
        <v>43112.41805555556</v>
      </c>
      <c r="I797" s="52">
        <v>0.0</v>
      </c>
      <c r="J797" s="53"/>
      <c r="K797" s="53"/>
    </row>
    <row r="798">
      <c r="A798" s="48" t="s">
        <v>2713</v>
      </c>
      <c r="B798" s="49" t="s">
        <v>2714</v>
      </c>
      <c r="C798" s="49" t="s">
        <v>243</v>
      </c>
      <c r="D798" s="49" t="s">
        <v>148</v>
      </c>
      <c r="E798" s="49" t="s">
        <v>245</v>
      </c>
      <c r="F798" s="50">
        <v>43112.0</v>
      </c>
      <c r="G798" s="50">
        <v>43112.0</v>
      </c>
      <c r="H798" s="51">
        <v>43112.41388888889</v>
      </c>
      <c r="I798" s="52">
        <v>1.0</v>
      </c>
      <c r="J798" s="53"/>
      <c r="K798" s="53"/>
    </row>
    <row r="799">
      <c r="A799" s="48" t="s">
        <v>2717</v>
      </c>
      <c r="B799" s="49" t="s">
        <v>2718</v>
      </c>
      <c r="C799" s="49" t="s">
        <v>243</v>
      </c>
      <c r="D799" s="49" t="s">
        <v>148</v>
      </c>
      <c r="E799" s="49" t="s">
        <v>245</v>
      </c>
      <c r="F799" s="50">
        <v>43112.0</v>
      </c>
      <c r="G799" s="50">
        <v>43112.0</v>
      </c>
      <c r="H799" s="51">
        <v>43112.42361111111</v>
      </c>
      <c r="I799" s="52">
        <v>1.0</v>
      </c>
      <c r="J799" s="53"/>
      <c r="K799" s="53"/>
    </row>
    <row r="800">
      <c r="A800" s="48" t="s">
        <v>2721</v>
      </c>
      <c r="B800" s="49" t="s">
        <v>2722</v>
      </c>
      <c r="C800" s="49" t="s">
        <v>243</v>
      </c>
      <c r="D800" s="49" t="s">
        <v>148</v>
      </c>
      <c r="E800" s="49" t="s">
        <v>245</v>
      </c>
      <c r="F800" s="50">
        <v>43112.0</v>
      </c>
      <c r="G800" s="50">
        <v>43119.0</v>
      </c>
      <c r="H800" s="51">
        <v>43112.59652777778</v>
      </c>
      <c r="I800" s="52">
        <v>1.0</v>
      </c>
      <c r="J800" s="53"/>
      <c r="K800" s="53"/>
    </row>
    <row r="801">
      <c r="A801" s="48" t="s">
        <v>2726</v>
      </c>
      <c r="B801" s="49" t="s">
        <v>2727</v>
      </c>
      <c r="C801" s="49" t="s">
        <v>379</v>
      </c>
      <c r="D801" s="49" t="s">
        <v>310</v>
      </c>
      <c r="E801" s="49" t="s">
        <v>245</v>
      </c>
      <c r="F801" s="50">
        <v>43112.0</v>
      </c>
      <c r="G801" s="50">
        <v>43112.0</v>
      </c>
      <c r="H801" s="51">
        <v>43118.425</v>
      </c>
      <c r="I801" s="52">
        <v>1.0</v>
      </c>
      <c r="J801" s="53"/>
      <c r="K801" s="53"/>
    </row>
    <row r="802">
      <c r="A802" s="48" t="s">
        <v>2733</v>
      </c>
      <c r="B802" s="49" t="s">
        <v>2734</v>
      </c>
      <c r="C802" s="49" t="s">
        <v>243</v>
      </c>
      <c r="D802" s="49" t="s">
        <v>148</v>
      </c>
      <c r="E802" s="49" t="s">
        <v>204</v>
      </c>
      <c r="F802" s="50">
        <v>43110.0</v>
      </c>
      <c r="G802" s="50">
        <v>43119.0</v>
      </c>
      <c r="H802" s="51">
        <v>43317.174305555556</v>
      </c>
      <c r="I802" s="52">
        <v>0.0</v>
      </c>
      <c r="J802" s="53"/>
      <c r="K802" s="53"/>
    </row>
    <row r="803">
      <c r="A803" s="48" t="s">
        <v>2736</v>
      </c>
      <c r="B803" s="49" t="s">
        <v>2738</v>
      </c>
      <c r="C803" s="49" t="s">
        <v>243</v>
      </c>
      <c r="D803" s="49" t="s">
        <v>148</v>
      </c>
      <c r="E803" s="49" t="s">
        <v>245</v>
      </c>
      <c r="F803" s="50">
        <v>43110.0</v>
      </c>
      <c r="G803" s="50">
        <v>43117.0</v>
      </c>
      <c r="H803" s="51">
        <v>43110.79652777778</v>
      </c>
      <c r="I803" s="52">
        <v>1.0</v>
      </c>
      <c r="J803" s="53"/>
      <c r="K803" s="53"/>
    </row>
    <row r="804">
      <c r="A804" s="48" t="s">
        <v>2740</v>
      </c>
      <c r="B804" s="49" t="s">
        <v>2742</v>
      </c>
      <c r="C804" s="49" t="s">
        <v>243</v>
      </c>
      <c r="D804" s="49" t="s">
        <v>1653</v>
      </c>
      <c r="E804" s="49" t="s">
        <v>245</v>
      </c>
      <c r="F804" s="50">
        <v>43110.0</v>
      </c>
      <c r="G804" s="50">
        <v>43110.0</v>
      </c>
      <c r="H804" s="51">
        <v>43111.58611111111</v>
      </c>
      <c r="I804" s="52">
        <v>1.0</v>
      </c>
      <c r="J804" s="53"/>
      <c r="K804" s="53"/>
    </row>
    <row r="805">
      <c r="A805" s="48" t="s">
        <v>2746</v>
      </c>
      <c r="B805" s="49" t="s">
        <v>2748</v>
      </c>
      <c r="C805" s="49" t="s">
        <v>243</v>
      </c>
      <c r="D805" s="49" t="s">
        <v>1653</v>
      </c>
      <c r="E805" s="49" t="s">
        <v>245</v>
      </c>
      <c r="F805" s="50">
        <v>43110.0</v>
      </c>
      <c r="G805" s="50">
        <v>43110.0</v>
      </c>
      <c r="H805" s="51">
        <v>43111.5875</v>
      </c>
      <c r="I805" s="52">
        <v>1.0</v>
      </c>
      <c r="J805" s="53"/>
      <c r="K805" s="53"/>
    </row>
    <row r="806">
      <c r="A806" s="48" t="s">
        <v>2750</v>
      </c>
      <c r="B806" s="49" t="s">
        <v>2751</v>
      </c>
      <c r="C806" s="49" t="s">
        <v>1676</v>
      </c>
      <c r="D806" s="49" t="s">
        <v>148</v>
      </c>
      <c r="E806" s="49" t="s">
        <v>245</v>
      </c>
      <c r="F806" s="50">
        <v>43109.0</v>
      </c>
      <c r="G806" s="50">
        <v>43109.0</v>
      </c>
      <c r="H806" s="51">
        <v>43111.583333333336</v>
      </c>
      <c r="I806" s="52">
        <v>1.0</v>
      </c>
      <c r="J806" s="53"/>
      <c r="K806" s="53"/>
    </row>
    <row r="807">
      <c r="A807" s="48" t="s">
        <v>2753</v>
      </c>
      <c r="B807" s="49" t="s">
        <v>2755</v>
      </c>
      <c r="C807" s="49" t="s">
        <v>243</v>
      </c>
      <c r="D807" s="49" t="s">
        <v>148</v>
      </c>
      <c r="E807" s="49" t="s">
        <v>245</v>
      </c>
      <c r="F807" s="50">
        <v>43108.0</v>
      </c>
      <c r="G807" s="50">
        <v>43115.0</v>
      </c>
      <c r="H807" s="51">
        <v>43108.63680555556</v>
      </c>
      <c r="I807" s="52">
        <v>1.0</v>
      </c>
      <c r="J807" s="53"/>
      <c r="K807" s="53"/>
    </row>
    <row r="808">
      <c r="A808" s="48" t="s">
        <v>2759</v>
      </c>
      <c r="B808" s="49" t="s">
        <v>2760</v>
      </c>
      <c r="C808" s="49" t="s">
        <v>379</v>
      </c>
      <c r="D808" s="49" t="s">
        <v>1653</v>
      </c>
      <c r="E808" s="49" t="s">
        <v>245</v>
      </c>
      <c r="F808" s="50">
        <v>43108.0</v>
      </c>
      <c r="G808" s="50">
        <v>43109.0</v>
      </c>
      <c r="H808" s="51">
        <v>43109.71597222222</v>
      </c>
      <c r="I808" s="52">
        <v>1.0</v>
      </c>
      <c r="J808" s="53"/>
      <c r="K808" s="53"/>
    </row>
    <row r="809">
      <c r="A809" s="48" t="s">
        <v>2764</v>
      </c>
      <c r="B809" s="49" t="s">
        <v>2765</v>
      </c>
      <c r="C809" s="49" t="s">
        <v>243</v>
      </c>
      <c r="D809" s="49" t="s">
        <v>148</v>
      </c>
      <c r="E809" s="49" t="s">
        <v>245</v>
      </c>
      <c r="F809" s="50">
        <v>43108.0</v>
      </c>
      <c r="G809" s="50">
        <v>43108.0</v>
      </c>
      <c r="H809" s="51">
        <v>43109.76944444444</v>
      </c>
      <c r="I809" s="52">
        <v>1.0</v>
      </c>
      <c r="J809" s="53"/>
      <c r="K809" s="53"/>
    </row>
    <row r="810">
      <c r="A810" s="49" t="s">
        <v>2769</v>
      </c>
      <c r="B810" s="49" t="s">
        <v>2770</v>
      </c>
      <c r="C810" s="49" t="s">
        <v>243</v>
      </c>
      <c r="D810" s="49" t="s">
        <v>148</v>
      </c>
      <c r="E810" s="49" t="s">
        <v>245</v>
      </c>
      <c r="F810" s="50">
        <v>43105.0</v>
      </c>
      <c r="G810" s="50">
        <v>43114.0</v>
      </c>
      <c r="H810" s="51">
        <v>43105.66111111111</v>
      </c>
      <c r="I810" s="52">
        <v>1.0</v>
      </c>
      <c r="J810" s="53"/>
      <c r="K810" s="53"/>
    </row>
    <row r="811">
      <c r="A811" s="49" t="s">
        <v>2772</v>
      </c>
      <c r="B811" s="49" t="s">
        <v>2774</v>
      </c>
      <c r="C811" s="49" t="s">
        <v>243</v>
      </c>
      <c r="D811" s="49" t="s">
        <v>148</v>
      </c>
      <c r="E811" s="49" t="s">
        <v>245</v>
      </c>
      <c r="F811" s="50">
        <v>43105.0</v>
      </c>
      <c r="G811" s="50">
        <v>43114.0</v>
      </c>
      <c r="H811" s="51">
        <v>43105.66111111111</v>
      </c>
      <c r="I811" s="52">
        <v>1.0</v>
      </c>
      <c r="J811" s="53"/>
      <c r="K811" s="53"/>
    </row>
    <row r="812">
      <c r="A812" s="48" t="s">
        <v>2777</v>
      </c>
      <c r="B812" s="49" t="s">
        <v>2778</v>
      </c>
      <c r="C812" s="49" t="s">
        <v>243</v>
      </c>
      <c r="D812" s="49" t="s">
        <v>148</v>
      </c>
      <c r="E812" s="49" t="s">
        <v>245</v>
      </c>
      <c r="F812" s="50">
        <v>43105.0</v>
      </c>
      <c r="G812" s="50">
        <v>43109.0</v>
      </c>
      <c r="H812" s="51">
        <v>43105.73125</v>
      </c>
      <c r="I812" s="52">
        <v>1.0</v>
      </c>
      <c r="J812" s="53"/>
      <c r="K812" s="53"/>
    </row>
    <row r="813">
      <c r="A813" s="48" t="s">
        <v>2780</v>
      </c>
      <c r="B813" s="49" t="s">
        <v>2781</v>
      </c>
      <c r="C813" s="49" t="s">
        <v>243</v>
      </c>
      <c r="D813" s="49" t="s">
        <v>148</v>
      </c>
      <c r="E813" s="49" t="s">
        <v>245</v>
      </c>
      <c r="F813" s="50">
        <v>43105.0</v>
      </c>
      <c r="G813" s="50">
        <v>43105.0</v>
      </c>
      <c r="H813" s="51">
        <v>43105.813888888886</v>
      </c>
      <c r="I813" s="52">
        <v>1.0</v>
      </c>
      <c r="J813" s="53"/>
      <c r="K813" s="53"/>
    </row>
    <row r="814">
      <c r="A814" s="48" t="s">
        <v>2783</v>
      </c>
      <c r="B814" s="49" t="s">
        <v>2784</v>
      </c>
      <c r="C814" s="49" t="s">
        <v>257</v>
      </c>
      <c r="D814" s="49" t="s">
        <v>153</v>
      </c>
      <c r="E814" s="49" t="s">
        <v>245</v>
      </c>
      <c r="F814" s="50">
        <v>43105.0</v>
      </c>
      <c r="G814" s="50">
        <v>43105.0</v>
      </c>
      <c r="H814" s="51">
        <v>43105.714583333334</v>
      </c>
      <c r="I814" s="52">
        <v>1.0</v>
      </c>
      <c r="J814" s="53"/>
      <c r="K814" s="53"/>
    </row>
    <row r="815">
      <c r="A815" s="48" t="s">
        <v>2788</v>
      </c>
      <c r="B815" s="49" t="s">
        <v>2789</v>
      </c>
      <c r="C815" s="49" t="s">
        <v>257</v>
      </c>
      <c r="D815" s="49" t="s">
        <v>153</v>
      </c>
      <c r="E815" s="49" t="s">
        <v>245</v>
      </c>
      <c r="F815" s="50">
        <v>43105.0</v>
      </c>
      <c r="G815" s="50">
        <v>43105.0</v>
      </c>
      <c r="H815" s="51">
        <v>43105.714583333334</v>
      </c>
      <c r="I815" s="52">
        <v>1.0</v>
      </c>
      <c r="J815" s="53"/>
      <c r="K815" s="53"/>
    </row>
    <row r="816">
      <c r="A816" s="48" t="s">
        <v>2791</v>
      </c>
      <c r="B816" s="49" t="s">
        <v>2793</v>
      </c>
      <c r="C816" s="49" t="s">
        <v>221</v>
      </c>
      <c r="D816" s="49" t="s">
        <v>153</v>
      </c>
      <c r="E816" s="49" t="s">
        <v>245</v>
      </c>
      <c r="F816" s="50">
        <v>43105.0</v>
      </c>
      <c r="G816" s="50">
        <v>43105.0</v>
      </c>
      <c r="H816" s="51">
        <v>43105.714583333334</v>
      </c>
      <c r="I816" s="52">
        <v>1.0</v>
      </c>
      <c r="J816" s="53"/>
      <c r="K816" s="53"/>
    </row>
    <row r="817">
      <c r="A817" s="48" t="s">
        <v>2796</v>
      </c>
      <c r="B817" s="49" t="s">
        <v>2798</v>
      </c>
      <c r="C817" s="49" t="s">
        <v>379</v>
      </c>
      <c r="D817" s="49" t="s">
        <v>1653</v>
      </c>
      <c r="E817" s="49" t="s">
        <v>245</v>
      </c>
      <c r="F817" s="50">
        <v>43104.0</v>
      </c>
      <c r="G817" s="50">
        <v>43104.0</v>
      </c>
      <c r="H817" s="51">
        <v>43105.583333333336</v>
      </c>
      <c r="I817" s="52">
        <v>1.0</v>
      </c>
      <c r="J817" s="53"/>
      <c r="K817" s="53"/>
    </row>
    <row r="818">
      <c r="A818" s="48" t="s">
        <v>2801</v>
      </c>
      <c r="B818" s="49" t="s">
        <v>2803</v>
      </c>
      <c r="C818" s="49" t="s">
        <v>257</v>
      </c>
      <c r="D818" s="49" t="s">
        <v>153</v>
      </c>
      <c r="E818" s="49" t="s">
        <v>245</v>
      </c>
      <c r="F818" s="50">
        <v>43104.0</v>
      </c>
      <c r="G818" s="50">
        <v>43104.0</v>
      </c>
      <c r="H818" s="51">
        <v>43105.714583333334</v>
      </c>
      <c r="I818" s="52">
        <v>1.0</v>
      </c>
      <c r="J818" s="53"/>
      <c r="K818" s="53"/>
    </row>
    <row r="819">
      <c r="A819" s="48" t="s">
        <v>2807</v>
      </c>
      <c r="B819" s="49" t="s">
        <v>2809</v>
      </c>
      <c r="C819" s="49" t="s">
        <v>221</v>
      </c>
      <c r="D819" s="49" t="s">
        <v>153</v>
      </c>
      <c r="E819" s="49" t="s">
        <v>245</v>
      </c>
      <c r="F819" s="50">
        <v>43104.0</v>
      </c>
      <c r="G819" s="50">
        <v>43104.0</v>
      </c>
      <c r="H819" s="51">
        <v>43105.714583333334</v>
      </c>
      <c r="I819" s="52">
        <v>1.0</v>
      </c>
      <c r="J819" s="53"/>
      <c r="K819" s="53"/>
    </row>
    <row r="820">
      <c r="A820" s="48" t="s">
        <v>2812</v>
      </c>
      <c r="B820" s="49" t="s">
        <v>2814</v>
      </c>
      <c r="C820" s="49" t="s">
        <v>257</v>
      </c>
      <c r="D820" s="49" t="s">
        <v>153</v>
      </c>
      <c r="E820" s="49" t="s">
        <v>245</v>
      </c>
      <c r="F820" s="50">
        <v>43104.0</v>
      </c>
      <c r="G820" s="50">
        <v>43104.0</v>
      </c>
      <c r="H820" s="51">
        <v>43105.714583333334</v>
      </c>
      <c r="I820" s="52">
        <v>1.0</v>
      </c>
      <c r="J820" s="53"/>
      <c r="K820" s="53"/>
    </row>
    <row r="821">
      <c r="A821" s="48" t="s">
        <v>2818</v>
      </c>
      <c r="B821" s="49" t="s">
        <v>2819</v>
      </c>
      <c r="C821" s="49" t="s">
        <v>243</v>
      </c>
      <c r="D821" s="49" t="s">
        <v>148</v>
      </c>
      <c r="E821" s="49" t="s">
        <v>245</v>
      </c>
      <c r="F821" s="50">
        <v>43103.0</v>
      </c>
      <c r="G821" s="50">
        <v>43112.0</v>
      </c>
      <c r="H821" s="51">
        <v>43104.71597222222</v>
      </c>
      <c r="I821" s="52">
        <v>1.0</v>
      </c>
      <c r="J821" s="53"/>
      <c r="K821" s="53"/>
    </row>
    <row r="822">
      <c r="A822" s="48" t="s">
        <v>2822</v>
      </c>
      <c r="B822" s="49" t="s">
        <v>2823</v>
      </c>
      <c r="C822" s="49" t="s">
        <v>243</v>
      </c>
      <c r="D822" s="49" t="s">
        <v>148</v>
      </c>
      <c r="E822" s="49" t="s">
        <v>245</v>
      </c>
      <c r="F822" s="50">
        <v>43103.0</v>
      </c>
      <c r="G822" s="50">
        <v>43105.0</v>
      </c>
      <c r="H822" s="51">
        <v>43104.64861111111</v>
      </c>
      <c r="I822" s="52">
        <v>1.0</v>
      </c>
      <c r="J822" s="53"/>
      <c r="K822" s="53"/>
    </row>
    <row r="823">
      <c r="A823" s="48" t="s">
        <v>2825</v>
      </c>
      <c r="B823" s="49" t="s">
        <v>2826</v>
      </c>
      <c r="C823" s="49" t="s">
        <v>257</v>
      </c>
      <c r="D823" s="49" t="s">
        <v>153</v>
      </c>
      <c r="E823" s="49" t="s">
        <v>245</v>
      </c>
      <c r="F823" s="50">
        <v>43103.0</v>
      </c>
      <c r="G823" s="50">
        <v>43104.0</v>
      </c>
      <c r="H823" s="51">
        <v>43105.714583333334</v>
      </c>
      <c r="I823" s="52">
        <v>1.0</v>
      </c>
      <c r="J823" s="53"/>
      <c r="K823" s="53"/>
    </row>
    <row r="824">
      <c r="A824" s="48" t="s">
        <v>2829</v>
      </c>
      <c r="B824" s="49" t="s">
        <v>2831</v>
      </c>
      <c r="C824" s="49" t="s">
        <v>379</v>
      </c>
      <c r="D824" s="49" t="s">
        <v>148</v>
      </c>
      <c r="E824" s="49" t="s">
        <v>245</v>
      </c>
      <c r="F824" s="50">
        <v>43103.0</v>
      </c>
      <c r="G824" s="50">
        <v>43103.0</v>
      </c>
      <c r="H824" s="51">
        <v>43108.6375</v>
      </c>
      <c r="I824" s="52">
        <v>1.0</v>
      </c>
      <c r="J824" s="53"/>
      <c r="K824" s="53"/>
    </row>
    <row r="825">
      <c r="A825" s="48" t="s">
        <v>2833</v>
      </c>
      <c r="B825" s="49" t="s">
        <v>2835</v>
      </c>
      <c r="C825" s="49" t="s">
        <v>243</v>
      </c>
      <c r="D825" s="49" t="s">
        <v>148</v>
      </c>
      <c r="E825" s="49" t="s">
        <v>245</v>
      </c>
      <c r="F825" s="50">
        <v>43103.0</v>
      </c>
      <c r="G825" s="50">
        <v>43103.0</v>
      </c>
      <c r="H825" s="51">
        <v>43103.62013888889</v>
      </c>
      <c r="I825" s="52">
        <v>1.0</v>
      </c>
      <c r="J825" s="53"/>
      <c r="K825" s="53"/>
    </row>
    <row r="826">
      <c r="A826" s="48" t="s">
        <v>2837</v>
      </c>
      <c r="B826" s="49" t="s">
        <v>2839</v>
      </c>
      <c r="C826" s="49" t="s">
        <v>379</v>
      </c>
      <c r="D826" s="49" t="s">
        <v>1653</v>
      </c>
      <c r="E826" s="49" t="s">
        <v>245</v>
      </c>
      <c r="F826" s="50">
        <v>43103.0</v>
      </c>
      <c r="G826" s="50">
        <v>43103.0</v>
      </c>
      <c r="H826" s="51">
        <v>43109.71666666667</v>
      </c>
      <c r="I826" s="52">
        <v>1.0</v>
      </c>
      <c r="J826" s="53"/>
      <c r="K826" s="53"/>
    </row>
    <row r="827">
      <c r="A827" s="48" t="s">
        <v>2842</v>
      </c>
      <c r="B827" s="49" t="s">
        <v>2844</v>
      </c>
      <c r="C827" s="49" t="s">
        <v>257</v>
      </c>
      <c r="D827" s="49" t="s">
        <v>153</v>
      </c>
      <c r="E827" s="49" t="s">
        <v>245</v>
      </c>
      <c r="F827" s="50">
        <v>43103.0</v>
      </c>
      <c r="G827" s="50">
        <v>43103.0</v>
      </c>
      <c r="H827" s="51">
        <v>43105.714583333334</v>
      </c>
      <c r="I827" s="52">
        <v>1.0</v>
      </c>
      <c r="J827" s="53"/>
      <c r="K827" s="53"/>
    </row>
    <row r="828">
      <c r="A828" s="48" t="s">
        <v>2847</v>
      </c>
      <c r="B828" s="49" t="s">
        <v>2849</v>
      </c>
      <c r="C828" s="49" t="s">
        <v>243</v>
      </c>
      <c r="D828" s="49" t="s">
        <v>148</v>
      </c>
      <c r="E828" s="49" t="s">
        <v>204</v>
      </c>
      <c r="F828" s="50">
        <v>43102.0</v>
      </c>
      <c r="G828" s="50">
        <v>43112.0</v>
      </c>
      <c r="H828" s="51">
        <v>43102.61597222222</v>
      </c>
      <c r="I828" s="52">
        <v>0.0</v>
      </c>
      <c r="J828" s="53"/>
      <c r="K828" s="53"/>
    </row>
    <row r="829">
      <c r="A829" s="48" t="s">
        <v>2853</v>
      </c>
      <c r="B829" s="49" t="s">
        <v>2854</v>
      </c>
      <c r="C829" s="49" t="s">
        <v>243</v>
      </c>
      <c r="D829" s="49" t="s">
        <v>148</v>
      </c>
      <c r="E829" s="49" t="s">
        <v>245</v>
      </c>
      <c r="F829" s="50">
        <v>43102.0</v>
      </c>
      <c r="G829" s="50">
        <v>43105.0</v>
      </c>
      <c r="H829" s="51">
        <v>43112.60763888889</v>
      </c>
      <c r="I829" s="52">
        <v>1.0</v>
      </c>
      <c r="J829" s="53"/>
      <c r="K829" s="53"/>
    </row>
    <row r="830">
      <c r="A830" s="48" t="s">
        <v>2859</v>
      </c>
      <c r="B830" s="49" t="s">
        <v>2860</v>
      </c>
      <c r="C830" s="49" t="s">
        <v>243</v>
      </c>
      <c r="D830" s="49" t="s">
        <v>148</v>
      </c>
      <c r="E830" s="49" t="s">
        <v>245</v>
      </c>
      <c r="F830" s="50">
        <v>43102.0</v>
      </c>
      <c r="G830" s="50">
        <v>43103.0</v>
      </c>
      <c r="H830" s="51">
        <v>43108.6375</v>
      </c>
      <c r="I830" s="52">
        <v>1.0</v>
      </c>
      <c r="J830" s="53"/>
      <c r="K830" s="53"/>
    </row>
    <row r="831">
      <c r="A831" s="48" t="s">
        <v>2862</v>
      </c>
      <c r="B831" s="49" t="s">
        <v>2863</v>
      </c>
      <c r="C831" s="49" t="s">
        <v>243</v>
      </c>
      <c r="D831" s="49" t="s">
        <v>148</v>
      </c>
      <c r="E831" s="49" t="s">
        <v>245</v>
      </c>
      <c r="F831" s="50">
        <v>43102.0</v>
      </c>
      <c r="G831" s="50">
        <v>43106.0</v>
      </c>
      <c r="H831" s="51">
        <v>43102.64513888889</v>
      </c>
      <c r="I831" s="52">
        <v>1.0</v>
      </c>
      <c r="J831" s="53"/>
      <c r="K831" s="53"/>
    </row>
    <row r="832">
      <c r="A832" s="48" t="s">
        <v>2866</v>
      </c>
      <c r="B832" s="49" t="s">
        <v>2867</v>
      </c>
      <c r="C832" s="49" t="s">
        <v>243</v>
      </c>
      <c r="D832" s="49" t="s">
        <v>148</v>
      </c>
      <c r="E832" s="49" t="s">
        <v>245</v>
      </c>
      <c r="F832" s="50">
        <v>43102.0</v>
      </c>
      <c r="G832" s="50">
        <v>43102.0</v>
      </c>
      <c r="H832" s="51">
        <v>43103.50069444445</v>
      </c>
      <c r="I832" s="52">
        <v>1.0</v>
      </c>
      <c r="J832" s="53"/>
      <c r="K832" s="53"/>
    </row>
    <row r="833">
      <c r="A833" s="48" t="s">
        <v>2873</v>
      </c>
      <c r="B833" s="49" t="s">
        <v>2874</v>
      </c>
      <c r="C833" s="49" t="s">
        <v>243</v>
      </c>
      <c r="D833" s="49" t="s">
        <v>148</v>
      </c>
      <c r="E833" s="49" t="s">
        <v>245</v>
      </c>
      <c r="F833" s="50">
        <v>43102.0</v>
      </c>
      <c r="G833" s="50">
        <v>43112.0</v>
      </c>
      <c r="H833" s="51">
        <v>43103.63680555556</v>
      </c>
      <c r="I833" s="52">
        <v>1.0</v>
      </c>
      <c r="J833" s="53"/>
      <c r="K833" s="53"/>
    </row>
    <row r="834">
      <c r="A834" s="48" t="s">
        <v>2881</v>
      </c>
      <c r="B834" s="49" t="s">
        <v>2883</v>
      </c>
      <c r="C834" s="49" t="s">
        <v>243</v>
      </c>
      <c r="D834" s="49" t="s">
        <v>1653</v>
      </c>
      <c r="E834" s="49" t="s">
        <v>245</v>
      </c>
      <c r="F834" s="50">
        <v>43102.0</v>
      </c>
      <c r="G834" s="50">
        <v>43103.0</v>
      </c>
      <c r="H834" s="51">
        <v>43105.583333333336</v>
      </c>
      <c r="I834" s="52">
        <v>1.0</v>
      </c>
      <c r="J834" s="53"/>
      <c r="K834" s="53"/>
    </row>
    <row r="835">
      <c r="A835" s="48" t="s">
        <v>2888</v>
      </c>
      <c r="B835" s="49" t="s">
        <v>2889</v>
      </c>
      <c r="C835" s="49" t="s">
        <v>379</v>
      </c>
      <c r="D835" s="49" t="s">
        <v>148</v>
      </c>
      <c r="E835" s="49" t="s">
        <v>245</v>
      </c>
      <c r="F835" s="50">
        <v>43101.0</v>
      </c>
      <c r="G835" s="50">
        <v>43105.0</v>
      </c>
      <c r="H835" s="51">
        <v>43115.48263888889</v>
      </c>
      <c r="I835" s="52">
        <v>1.0</v>
      </c>
      <c r="J835" s="53"/>
      <c r="K835" s="53"/>
    </row>
    <row r="836">
      <c r="A836" s="48" t="s">
        <v>2892</v>
      </c>
      <c r="B836" s="49" t="s">
        <v>2894</v>
      </c>
      <c r="C836" s="49" t="s">
        <v>257</v>
      </c>
      <c r="D836" s="49" t="s">
        <v>153</v>
      </c>
      <c r="E836" s="49" t="s">
        <v>245</v>
      </c>
      <c r="F836" s="50">
        <v>43101.0</v>
      </c>
      <c r="G836" s="50">
        <v>43102.0</v>
      </c>
      <c r="H836" s="51">
        <v>43105.714583333334</v>
      </c>
      <c r="I836" s="52">
        <v>1.0</v>
      </c>
      <c r="J836" s="53"/>
      <c r="K836" s="53"/>
    </row>
    <row r="837">
      <c r="A837" s="48" t="s">
        <v>2899</v>
      </c>
      <c r="B837" s="49" t="s">
        <v>2900</v>
      </c>
      <c r="C837" s="49" t="s">
        <v>257</v>
      </c>
      <c r="D837" s="49" t="s">
        <v>153</v>
      </c>
      <c r="E837" s="49" t="s">
        <v>245</v>
      </c>
      <c r="F837" s="50">
        <v>43101.0</v>
      </c>
      <c r="G837" s="50">
        <v>43102.0</v>
      </c>
      <c r="H837" s="51">
        <v>43105.714583333334</v>
      </c>
      <c r="I837" s="52">
        <v>1.0</v>
      </c>
      <c r="J837" s="53"/>
      <c r="K837" s="53"/>
    </row>
    <row r="838">
      <c r="A838" s="48" t="s">
        <v>2902</v>
      </c>
      <c r="B838" s="49" t="s">
        <v>2903</v>
      </c>
      <c r="C838" s="49" t="s">
        <v>257</v>
      </c>
      <c r="D838" s="49" t="s">
        <v>153</v>
      </c>
      <c r="E838" s="49" t="s">
        <v>245</v>
      </c>
      <c r="F838" s="50">
        <v>43101.0</v>
      </c>
      <c r="G838" s="50">
        <v>43102.0</v>
      </c>
      <c r="H838" s="51">
        <v>43105.714583333334</v>
      </c>
      <c r="I838" s="52">
        <v>1.0</v>
      </c>
      <c r="J838" s="53"/>
      <c r="K838" s="53"/>
    </row>
    <row r="839">
      <c r="A839" s="48" t="s">
        <v>2905</v>
      </c>
      <c r="B839" s="49" t="s">
        <v>2907</v>
      </c>
      <c r="C839" s="49" t="s">
        <v>243</v>
      </c>
      <c r="D839" s="49" t="s">
        <v>148</v>
      </c>
      <c r="E839" s="49" t="s">
        <v>245</v>
      </c>
      <c r="F839" s="50">
        <v>43098.0</v>
      </c>
      <c r="G839" s="50">
        <v>43098.0</v>
      </c>
      <c r="H839" s="51">
        <v>43098.634722222225</v>
      </c>
      <c r="I839" s="52">
        <v>1.0</v>
      </c>
      <c r="J839" s="53"/>
      <c r="K839" s="53"/>
    </row>
    <row r="840">
      <c r="A840" s="48" t="s">
        <v>2909</v>
      </c>
      <c r="B840" s="49" t="s">
        <v>2910</v>
      </c>
      <c r="C840" s="49" t="s">
        <v>257</v>
      </c>
      <c r="D840" s="49" t="s">
        <v>153</v>
      </c>
      <c r="E840" s="49" t="s">
        <v>204</v>
      </c>
      <c r="F840" s="50">
        <v>43097.0</v>
      </c>
      <c r="G840" s="50">
        <v>43097.0</v>
      </c>
      <c r="H840" s="51">
        <v>43097.620833333334</v>
      </c>
      <c r="I840" s="52">
        <v>0.0</v>
      </c>
      <c r="J840" s="53"/>
      <c r="K840" s="53"/>
    </row>
    <row r="841">
      <c r="A841" s="48" t="s">
        <v>2912</v>
      </c>
      <c r="B841" s="49" t="s">
        <v>2913</v>
      </c>
      <c r="C841" s="49" t="s">
        <v>221</v>
      </c>
      <c r="D841" s="49" t="s">
        <v>153</v>
      </c>
      <c r="E841" s="49" t="s">
        <v>245</v>
      </c>
      <c r="F841" s="50">
        <v>43097.0</v>
      </c>
      <c r="G841" s="50">
        <v>43097.0</v>
      </c>
      <c r="H841" s="51">
        <v>43105.70763888889</v>
      </c>
      <c r="I841" s="52">
        <v>1.0</v>
      </c>
      <c r="J841" s="53"/>
      <c r="K841" s="53"/>
    </row>
    <row r="842">
      <c r="A842" s="48" t="s">
        <v>2917</v>
      </c>
      <c r="B842" s="49" t="s">
        <v>2918</v>
      </c>
      <c r="C842" s="49" t="s">
        <v>257</v>
      </c>
      <c r="D842" s="49" t="s">
        <v>153</v>
      </c>
      <c r="E842" s="49" t="s">
        <v>245</v>
      </c>
      <c r="F842" s="50">
        <v>43097.0</v>
      </c>
      <c r="G842" s="50">
        <v>43097.0</v>
      </c>
      <c r="H842" s="51">
        <v>43105.70763888889</v>
      </c>
      <c r="I842" s="52">
        <v>1.0</v>
      </c>
      <c r="J842" s="53"/>
      <c r="K842" s="53"/>
    </row>
    <row r="843">
      <c r="A843" s="48" t="s">
        <v>2921</v>
      </c>
      <c r="B843" s="49" t="s">
        <v>2922</v>
      </c>
      <c r="C843" s="49" t="s">
        <v>257</v>
      </c>
      <c r="D843" s="49" t="s">
        <v>153</v>
      </c>
      <c r="E843" s="49" t="s">
        <v>245</v>
      </c>
      <c r="F843" s="50">
        <v>43097.0</v>
      </c>
      <c r="G843" s="50">
        <v>43097.0</v>
      </c>
      <c r="H843" s="51">
        <v>43105.70763888889</v>
      </c>
      <c r="I843" s="52">
        <v>1.0</v>
      </c>
      <c r="J843" s="53"/>
      <c r="K843" s="53"/>
    </row>
    <row r="844">
      <c r="A844" s="48" t="s">
        <v>2929</v>
      </c>
      <c r="B844" s="49" t="s">
        <v>2910</v>
      </c>
      <c r="C844" s="49" t="s">
        <v>257</v>
      </c>
      <c r="D844" s="49" t="s">
        <v>153</v>
      </c>
      <c r="E844" s="49" t="s">
        <v>245</v>
      </c>
      <c r="F844" s="50">
        <v>43097.0</v>
      </c>
      <c r="G844" s="50">
        <v>43097.0</v>
      </c>
      <c r="H844" s="51">
        <v>43105.70763888889</v>
      </c>
      <c r="I844" s="52">
        <v>1.0</v>
      </c>
      <c r="J844" s="53"/>
      <c r="K844" s="53"/>
    </row>
    <row r="845">
      <c r="A845" s="48" t="s">
        <v>2932</v>
      </c>
      <c r="B845" s="49" t="s">
        <v>2913</v>
      </c>
      <c r="C845" s="49" t="s">
        <v>221</v>
      </c>
      <c r="D845" s="49" t="s">
        <v>153</v>
      </c>
      <c r="E845" s="49" t="s">
        <v>245</v>
      </c>
      <c r="F845" s="50">
        <v>43097.0</v>
      </c>
      <c r="G845" s="50">
        <v>43097.0</v>
      </c>
      <c r="H845" s="51">
        <v>43105.70763888889</v>
      </c>
      <c r="I845" s="52">
        <v>1.0</v>
      </c>
      <c r="J845" s="53"/>
      <c r="K845" s="53"/>
    </row>
    <row r="846">
      <c r="A846" s="48" t="s">
        <v>2936</v>
      </c>
      <c r="B846" s="49" t="s">
        <v>2937</v>
      </c>
      <c r="C846" s="49" t="s">
        <v>1676</v>
      </c>
      <c r="D846" s="49" t="s">
        <v>1653</v>
      </c>
      <c r="E846" s="49" t="s">
        <v>245</v>
      </c>
      <c r="F846" s="50">
        <v>43097.0</v>
      </c>
      <c r="G846" s="50">
        <v>43098.0</v>
      </c>
      <c r="H846" s="51">
        <v>43098.49375</v>
      </c>
      <c r="I846" s="52">
        <v>1.0</v>
      </c>
      <c r="J846" s="53"/>
      <c r="K846" s="53"/>
    </row>
    <row r="847">
      <c r="A847" s="48" t="s">
        <v>2942</v>
      </c>
      <c r="B847" s="49" t="s">
        <v>2943</v>
      </c>
      <c r="C847" s="49" t="s">
        <v>379</v>
      </c>
      <c r="D847" s="49" t="s">
        <v>148</v>
      </c>
      <c r="E847" s="49" t="s">
        <v>245</v>
      </c>
      <c r="F847" s="50">
        <v>43096.0</v>
      </c>
      <c r="G847" s="50">
        <v>43098.0</v>
      </c>
      <c r="H847" s="51">
        <v>43098.49444444444</v>
      </c>
      <c r="I847" s="52">
        <v>1.0</v>
      </c>
      <c r="J847" s="53"/>
      <c r="K847" s="53"/>
    </row>
    <row r="848">
      <c r="A848" s="48" t="s">
        <v>2946</v>
      </c>
      <c r="B848" s="49" t="s">
        <v>2947</v>
      </c>
      <c r="C848" s="49" t="s">
        <v>1676</v>
      </c>
      <c r="D848" s="49" t="s">
        <v>148</v>
      </c>
      <c r="E848" s="49" t="s">
        <v>245</v>
      </c>
      <c r="F848" s="50">
        <v>43096.0</v>
      </c>
      <c r="G848" s="50">
        <v>43096.0</v>
      </c>
      <c r="H848" s="51">
        <v>43098.49513888889</v>
      </c>
      <c r="I848" s="52">
        <v>1.0</v>
      </c>
      <c r="J848" s="53"/>
      <c r="K848" s="53"/>
    </row>
    <row r="849">
      <c r="A849" s="48" t="s">
        <v>2952</v>
      </c>
      <c r="B849" s="49" t="s">
        <v>2953</v>
      </c>
      <c r="C849" s="49" t="s">
        <v>379</v>
      </c>
      <c r="D849" s="49" t="s">
        <v>148</v>
      </c>
      <c r="E849" s="49" t="s">
        <v>245</v>
      </c>
      <c r="F849" s="50">
        <v>43096.0</v>
      </c>
      <c r="G849" s="50">
        <v>43096.0</v>
      </c>
      <c r="H849" s="51">
        <v>43098.49513888889</v>
      </c>
      <c r="I849" s="52">
        <v>1.0</v>
      </c>
      <c r="J849" s="53"/>
      <c r="K849" s="53"/>
    </row>
    <row r="850">
      <c r="A850" s="48" t="s">
        <v>2957</v>
      </c>
      <c r="B850" s="49" t="s">
        <v>2958</v>
      </c>
      <c r="C850" s="49" t="s">
        <v>379</v>
      </c>
      <c r="D850" s="49" t="s">
        <v>148</v>
      </c>
      <c r="E850" s="49" t="s">
        <v>245</v>
      </c>
      <c r="F850" s="50">
        <v>43095.0</v>
      </c>
      <c r="G850" s="50">
        <v>43098.0</v>
      </c>
      <c r="H850" s="51">
        <v>43098.77361111111</v>
      </c>
      <c r="I850" s="52">
        <v>1.0</v>
      </c>
      <c r="J850" s="53"/>
      <c r="K850" s="53"/>
    </row>
    <row r="851">
      <c r="A851" s="48" t="s">
        <v>2962</v>
      </c>
      <c r="B851" s="49" t="s">
        <v>2963</v>
      </c>
      <c r="C851" s="49" t="s">
        <v>221</v>
      </c>
      <c r="D851" s="49" t="s">
        <v>153</v>
      </c>
      <c r="E851" s="49" t="s">
        <v>245</v>
      </c>
      <c r="F851" s="50">
        <v>43095.0</v>
      </c>
      <c r="G851" s="50">
        <v>43095.0</v>
      </c>
      <c r="H851" s="51">
        <v>43105.70763888889</v>
      </c>
      <c r="I851" s="52">
        <v>1.0</v>
      </c>
      <c r="J851" s="53"/>
      <c r="K851" s="53"/>
    </row>
    <row r="852">
      <c r="A852" s="48" t="s">
        <v>2966</v>
      </c>
      <c r="B852" s="49" t="s">
        <v>2967</v>
      </c>
      <c r="C852" s="49" t="s">
        <v>257</v>
      </c>
      <c r="D852" s="49" t="s">
        <v>153</v>
      </c>
      <c r="E852" s="49" t="s">
        <v>245</v>
      </c>
      <c r="F852" s="50">
        <v>43095.0</v>
      </c>
      <c r="G852" s="50">
        <v>43095.0</v>
      </c>
      <c r="H852" s="51">
        <v>43105.711805555555</v>
      </c>
      <c r="I852" s="52">
        <v>1.0</v>
      </c>
      <c r="J852" s="53"/>
      <c r="K852" s="53"/>
    </row>
    <row r="853">
      <c r="A853" s="48" t="s">
        <v>2970</v>
      </c>
      <c r="B853" s="49" t="s">
        <v>2971</v>
      </c>
      <c r="C853" s="49" t="s">
        <v>221</v>
      </c>
      <c r="D853" s="49" t="s">
        <v>153</v>
      </c>
      <c r="E853" s="49" t="s">
        <v>245</v>
      </c>
      <c r="F853" s="50">
        <v>43095.0</v>
      </c>
      <c r="G853" s="50">
        <v>43095.0</v>
      </c>
      <c r="H853" s="51">
        <v>43105.70763888889</v>
      </c>
      <c r="I853" s="52">
        <v>1.0</v>
      </c>
      <c r="J853" s="53"/>
      <c r="K853" s="53"/>
    </row>
    <row r="854">
      <c r="A854" s="48" t="s">
        <v>2975</v>
      </c>
      <c r="B854" s="49" t="s">
        <v>2976</v>
      </c>
      <c r="C854" s="49" t="s">
        <v>257</v>
      </c>
      <c r="D854" s="49" t="s">
        <v>153</v>
      </c>
      <c r="E854" s="49" t="s">
        <v>245</v>
      </c>
      <c r="F854" s="50">
        <v>43095.0</v>
      </c>
      <c r="G854" s="50">
        <v>43095.0</v>
      </c>
      <c r="H854" s="51">
        <v>43105.70763888889</v>
      </c>
      <c r="I854" s="52">
        <v>1.0</v>
      </c>
      <c r="J854" s="53"/>
      <c r="K854" s="53"/>
    </row>
    <row r="855">
      <c r="A855" s="48" t="s">
        <v>2984</v>
      </c>
      <c r="B855" s="49" t="s">
        <v>2985</v>
      </c>
      <c r="C855" s="49" t="s">
        <v>203</v>
      </c>
      <c r="D855" s="49" t="s">
        <v>153</v>
      </c>
      <c r="E855" s="49" t="s">
        <v>245</v>
      </c>
      <c r="F855" s="50">
        <v>43094.0</v>
      </c>
      <c r="G855" s="50">
        <v>43098.0</v>
      </c>
      <c r="H855" s="51">
        <v>43159.59097222222</v>
      </c>
      <c r="I855" s="52">
        <v>1.0</v>
      </c>
      <c r="J855" s="53"/>
      <c r="K855" s="53"/>
    </row>
    <row r="856">
      <c r="A856" s="49" t="s">
        <v>2993</v>
      </c>
      <c r="B856" s="49" t="s">
        <v>2994</v>
      </c>
      <c r="C856" s="49" t="s">
        <v>379</v>
      </c>
      <c r="D856" s="49" t="s">
        <v>148</v>
      </c>
      <c r="E856" s="49" t="s">
        <v>245</v>
      </c>
      <c r="F856" s="50">
        <v>43094.0</v>
      </c>
      <c r="G856" s="50">
        <v>43098.0</v>
      </c>
      <c r="H856" s="51">
        <v>43098.49513888889</v>
      </c>
      <c r="I856" s="52">
        <v>1.0</v>
      </c>
      <c r="J856" s="53"/>
      <c r="K856" s="53"/>
    </row>
    <row r="857">
      <c r="A857" s="49" t="s">
        <v>2996</v>
      </c>
      <c r="B857" s="49" t="s">
        <v>2997</v>
      </c>
      <c r="C857" s="49" t="s">
        <v>203</v>
      </c>
      <c r="D857" s="49" t="s">
        <v>1653</v>
      </c>
      <c r="E857" s="49" t="s">
        <v>245</v>
      </c>
      <c r="F857" s="50">
        <v>43094.0</v>
      </c>
      <c r="G857" s="50">
        <v>43098.0</v>
      </c>
      <c r="H857" s="51">
        <v>43094.43402777778</v>
      </c>
      <c r="I857" s="52">
        <v>1.0</v>
      </c>
      <c r="J857" s="53"/>
      <c r="K857" s="53"/>
    </row>
    <row r="858">
      <c r="A858" s="48" t="s">
        <v>3000</v>
      </c>
      <c r="B858" s="49" t="s">
        <v>3001</v>
      </c>
      <c r="C858" s="49" t="s">
        <v>379</v>
      </c>
      <c r="D858" s="49" t="s">
        <v>153</v>
      </c>
      <c r="E858" s="49" t="s">
        <v>245</v>
      </c>
      <c r="F858" s="50">
        <v>43094.0</v>
      </c>
      <c r="G858" s="50">
        <v>43094.0</v>
      </c>
      <c r="H858" s="51">
        <v>43098.70277777778</v>
      </c>
      <c r="I858" s="52">
        <v>1.0</v>
      </c>
      <c r="J858" s="53"/>
      <c r="K858" s="53"/>
    </row>
    <row r="859">
      <c r="A859" s="48" t="s">
        <v>3007</v>
      </c>
      <c r="B859" s="49" t="s">
        <v>3008</v>
      </c>
      <c r="C859" s="49" t="s">
        <v>257</v>
      </c>
      <c r="D859" s="49" t="s">
        <v>153</v>
      </c>
      <c r="E859" s="49" t="s">
        <v>245</v>
      </c>
      <c r="F859" s="50">
        <v>43094.0</v>
      </c>
      <c r="G859" s="50">
        <v>43094.0</v>
      </c>
      <c r="H859" s="51">
        <v>43094.751388888886</v>
      </c>
      <c r="I859" s="52">
        <v>1.0</v>
      </c>
      <c r="J859" s="53"/>
      <c r="K859" s="53"/>
    </row>
    <row r="860">
      <c r="A860" s="49" t="s">
        <v>3011</v>
      </c>
      <c r="B860" s="49" t="s">
        <v>3012</v>
      </c>
      <c r="C860" s="49" t="s">
        <v>243</v>
      </c>
      <c r="D860" s="49" t="s">
        <v>148</v>
      </c>
      <c r="E860" s="49" t="s">
        <v>204</v>
      </c>
      <c r="F860" s="50">
        <v>43091.0</v>
      </c>
      <c r="G860" s="50">
        <v>43091.0</v>
      </c>
      <c r="H860" s="51">
        <v>43094.73263888889</v>
      </c>
      <c r="I860" s="52">
        <v>0.0</v>
      </c>
      <c r="J860" s="53"/>
      <c r="K860" s="53"/>
    </row>
    <row r="861">
      <c r="A861" s="49" t="s">
        <v>3015</v>
      </c>
      <c r="B861" s="49" t="s">
        <v>3016</v>
      </c>
      <c r="C861" s="49" t="s">
        <v>243</v>
      </c>
      <c r="D861" s="49" t="s">
        <v>148</v>
      </c>
      <c r="E861" s="49" t="s">
        <v>245</v>
      </c>
      <c r="F861" s="50">
        <v>43091.0</v>
      </c>
      <c r="G861" s="50">
        <v>43100.0</v>
      </c>
      <c r="H861" s="51">
        <v>43091.62986111111</v>
      </c>
      <c r="I861" s="52">
        <v>1.0</v>
      </c>
      <c r="J861" s="53"/>
      <c r="K861" s="53"/>
    </row>
    <row r="862">
      <c r="A862" s="48" t="s">
        <v>3020</v>
      </c>
      <c r="B862" s="49" t="s">
        <v>3021</v>
      </c>
      <c r="C862" s="49" t="s">
        <v>203</v>
      </c>
      <c r="D862" s="49" t="s">
        <v>148</v>
      </c>
      <c r="E862" s="49" t="s">
        <v>245</v>
      </c>
      <c r="F862" s="50">
        <v>43091.0</v>
      </c>
      <c r="G862" s="50">
        <v>43091.0</v>
      </c>
      <c r="H862" s="51">
        <v>43091.72152777778</v>
      </c>
      <c r="I862" s="52">
        <v>1.0</v>
      </c>
      <c r="J862" s="53"/>
      <c r="K862" s="53"/>
    </row>
    <row r="863">
      <c r="A863" s="49" t="s">
        <v>3025</v>
      </c>
      <c r="B863" s="49" t="s">
        <v>3026</v>
      </c>
      <c r="C863" s="49" t="s">
        <v>243</v>
      </c>
      <c r="D863" s="49" t="s">
        <v>148</v>
      </c>
      <c r="E863" s="49" t="s">
        <v>277</v>
      </c>
      <c r="F863" s="50">
        <v>43089.0</v>
      </c>
      <c r="G863" s="50">
        <v>43089.0</v>
      </c>
      <c r="H863" s="51">
        <v>43089.649305555555</v>
      </c>
      <c r="I863" s="52">
        <v>0.0</v>
      </c>
      <c r="J863" s="53"/>
      <c r="K863" s="53"/>
    </row>
    <row r="864">
      <c r="A864" s="48" t="s">
        <v>3028</v>
      </c>
      <c r="B864" s="49" t="s">
        <v>3030</v>
      </c>
      <c r="C864" s="49" t="s">
        <v>243</v>
      </c>
      <c r="D864" s="49" t="s">
        <v>148</v>
      </c>
      <c r="E864" s="49" t="s">
        <v>245</v>
      </c>
      <c r="F864" s="50">
        <v>43089.0</v>
      </c>
      <c r="G864" s="50">
        <v>43093.0</v>
      </c>
      <c r="H864" s="51">
        <v>43105.73125</v>
      </c>
      <c r="I864" s="52">
        <v>1.0</v>
      </c>
      <c r="J864" s="53"/>
      <c r="K864" s="53"/>
    </row>
    <row r="865">
      <c r="A865" s="48" t="s">
        <v>3036</v>
      </c>
      <c r="B865" s="49" t="s">
        <v>3037</v>
      </c>
      <c r="C865" s="49" t="s">
        <v>203</v>
      </c>
      <c r="D865" s="49" t="s">
        <v>148</v>
      </c>
      <c r="E865" s="49" t="s">
        <v>245</v>
      </c>
      <c r="F865" s="50">
        <v>43089.0</v>
      </c>
      <c r="G865" s="50">
        <v>43091.0</v>
      </c>
      <c r="H865" s="51">
        <v>43090.70277777778</v>
      </c>
      <c r="I865" s="52">
        <v>1.0</v>
      </c>
      <c r="J865" s="53"/>
      <c r="K865" s="53"/>
    </row>
    <row r="866">
      <c r="A866" s="49" t="s">
        <v>3040</v>
      </c>
      <c r="B866" s="49" t="s">
        <v>3042</v>
      </c>
      <c r="C866" s="49" t="s">
        <v>243</v>
      </c>
      <c r="D866" s="49" t="s">
        <v>148</v>
      </c>
      <c r="E866" s="49" t="s">
        <v>245</v>
      </c>
      <c r="F866" s="50">
        <v>43089.0</v>
      </c>
      <c r="G866" s="50">
        <v>43089.0</v>
      </c>
      <c r="H866" s="51">
        <v>43089.649305555555</v>
      </c>
      <c r="I866" s="52">
        <v>1.0</v>
      </c>
      <c r="J866" s="53"/>
      <c r="K866" s="53"/>
    </row>
    <row r="867">
      <c r="A867" s="48" t="s">
        <v>3046</v>
      </c>
      <c r="B867" s="49" t="s">
        <v>3048</v>
      </c>
      <c r="C867" s="49" t="s">
        <v>243</v>
      </c>
      <c r="D867" s="49" t="s">
        <v>148</v>
      </c>
      <c r="E867" s="49" t="s">
        <v>245</v>
      </c>
      <c r="F867" s="50">
        <v>43089.0</v>
      </c>
      <c r="G867" s="50">
        <v>43089.0</v>
      </c>
      <c r="H867" s="51">
        <v>43089.62569444445</v>
      </c>
      <c r="I867" s="52">
        <v>1.0</v>
      </c>
      <c r="J867" s="53"/>
      <c r="K867" s="53"/>
    </row>
    <row r="868">
      <c r="A868" s="48" t="s">
        <v>3054</v>
      </c>
      <c r="B868" s="49" t="s">
        <v>3055</v>
      </c>
      <c r="C868" s="49" t="s">
        <v>1676</v>
      </c>
      <c r="D868" s="49" t="s">
        <v>148</v>
      </c>
      <c r="E868" s="49" t="s">
        <v>245</v>
      </c>
      <c r="F868" s="50">
        <v>43088.0</v>
      </c>
      <c r="G868" s="50">
        <v>43091.0</v>
      </c>
      <c r="H868" s="51">
        <v>43090.76180555556</v>
      </c>
      <c r="I868" s="52">
        <v>1.0</v>
      </c>
      <c r="J868" s="53"/>
      <c r="K868" s="53"/>
    </row>
    <row r="869">
      <c r="A869" s="48" t="s">
        <v>3059</v>
      </c>
      <c r="B869" s="49" t="s">
        <v>3060</v>
      </c>
      <c r="C869" s="49" t="s">
        <v>203</v>
      </c>
      <c r="D869" s="49" t="s">
        <v>148</v>
      </c>
      <c r="E869" s="49" t="s">
        <v>245</v>
      </c>
      <c r="F869" s="50">
        <v>43088.0</v>
      </c>
      <c r="G869" s="50">
        <v>43091.0</v>
      </c>
      <c r="H869" s="51">
        <v>43090.70277777778</v>
      </c>
      <c r="I869" s="52">
        <v>1.0</v>
      </c>
      <c r="J869" s="53"/>
      <c r="K869" s="53"/>
    </row>
    <row r="870">
      <c r="A870" s="48" t="s">
        <v>3064</v>
      </c>
      <c r="B870" s="49" t="s">
        <v>3065</v>
      </c>
      <c r="C870" s="49" t="s">
        <v>1676</v>
      </c>
      <c r="D870" s="49" t="s">
        <v>153</v>
      </c>
      <c r="E870" s="49" t="s">
        <v>204</v>
      </c>
      <c r="F870" s="50">
        <v>43087.0</v>
      </c>
      <c r="G870" s="50">
        <v>43091.0</v>
      </c>
      <c r="H870" s="51">
        <v>43088.722916666666</v>
      </c>
      <c r="I870" s="52">
        <v>0.0</v>
      </c>
      <c r="J870" s="53"/>
      <c r="K870" s="53"/>
    </row>
    <row r="871">
      <c r="A871" s="49" t="s">
        <v>3068</v>
      </c>
      <c r="B871" s="49" t="s">
        <v>3069</v>
      </c>
      <c r="C871" s="49" t="s">
        <v>379</v>
      </c>
      <c r="D871" s="49" t="s">
        <v>153</v>
      </c>
      <c r="E871" s="49" t="s">
        <v>245</v>
      </c>
      <c r="F871" s="50">
        <v>43087.0</v>
      </c>
      <c r="G871" s="50">
        <v>43091.0</v>
      </c>
      <c r="H871" s="51">
        <v>43159.59097222222</v>
      </c>
      <c r="I871" s="52">
        <v>1.0</v>
      </c>
      <c r="J871" s="53"/>
      <c r="K871" s="53"/>
    </row>
    <row r="872">
      <c r="A872" s="48" t="s">
        <v>3073</v>
      </c>
      <c r="B872" s="49" t="s">
        <v>3074</v>
      </c>
      <c r="C872" s="49" t="s">
        <v>379</v>
      </c>
      <c r="D872" s="49" t="s">
        <v>153</v>
      </c>
      <c r="E872" s="49" t="s">
        <v>245</v>
      </c>
      <c r="F872" s="50">
        <v>43087.0</v>
      </c>
      <c r="G872" s="50">
        <v>43091.0</v>
      </c>
      <c r="H872" s="51">
        <v>43094.42638888889</v>
      </c>
      <c r="I872" s="52">
        <v>1.0</v>
      </c>
      <c r="J872" s="53"/>
      <c r="K872" s="53"/>
    </row>
    <row r="873">
      <c r="A873" s="48" t="s">
        <v>3079</v>
      </c>
      <c r="B873" s="49" t="s">
        <v>3081</v>
      </c>
      <c r="C873" s="49" t="s">
        <v>1676</v>
      </c>
      <c r="D873" s="49" t="s">
        <v>148</v>
      </c>
      <c r="E873" s="49" t="s">
        <v>245</v>
      </c>
      <c r="F873" s="50">
        <v>43087.0</v>
      </c>
      <c r="G873" s="50">
        <v>43091.0</v>
      </c>
      <c r="H873" s="51">
        <v>43091.72152777778</v>
      </c>
      <c r="I873" s="52">
        <v>1.0</v>
      </c>
      <c r="J873" s="53"/>
      <c r="K873" s="53"/>
    </row>
    <row r="874">
      <c r="A874" s="48" t="s">
        <v>3085</v>
      </c>
      <c r="B874" s="49" t="s">
        <v>3087</v>
      </c>
      <c r="C874" s="49" t="s">
        <v>1676</v>
      </c>
      <c r="D874" s="49" t="s">
        <v>148</v>
      </c>
      <c r="E874" s="49" t="s">
        <v>245</v>
      </c>
      <c r="F874" s="50">
        <v>43087.0</v>
      </c>
      <c r="G874" s="50">
        <v>43087.0</v>
      </c>
      <c r="H874" s="51">
        <v>43088.62291666667</v>
      </c>
      <c r="I874" s="52">
        <v>1.0</v>
      </c>
      <c r="J874" s="53"/>
      <c r="K874" s="53"/>
    </row>
    <row r="875">
      <c r="A875" s="49" t="s">
        <v>3089</v>
      </c>
      <c r="B875" s="49" t="s">
        <v>3091</v>
      </c>
      <c r="C875" s="49" t="s">
        <v>203</v>
      </c>
      <c r="D875" s="49" t="s">
        <v>148</v>
      </c>
      <c r="E875" s="49" t="s">
        <v>245</v>
      </c>
      <c r="F875" s="50">
        <v>43087.0</v>
      </c>
      <c r="G875" s="50">
        <v>43091.0</v>
      </c>
      <c r="H875" s="51">
        <v>43090.427083333336</v>
      </c>
      <c r="I875" s="52">
        <v>1.0</v>
      </c>
      <c r="J875" s="53"/>
      <c r="K875" s="53"/>
    </row>
    <row r="876">
      <c r="A876" s="48" t="s">
        <v>3093</v>
      </c>
      <c r="B876" s="49" t="s">
        <v>3095</v>
      </c>
      <c r="C876" s="49" t="s">
        <v>221</v>
      </c>
      <c r="D876" s="49" t="s">
        <v>148</v>
      </c>
      <c r="E876" s="49" t="s">
        <v>245</v>
      </c>
      <c r="F876" s="50">
        <v>43087.0</v>
      </c>
      <c r="G876" s="50">
        <v>43091.0</v>
      </c>
      <c r="H876" s="51">
        <v>43090.57916666667</v>
      </c>
      <c r="I876" s="52">
        <v>1.0</v>
      </c>
      <c r="J876" s="53"/>
      <c r="K876" s="53"/>
    </row>
    <row r="877">
      <c r="A877" s="48" t="s">
        <v>3100</v>
      </c>
      <c r="B877" s="49" t="s">
        <v>3101</v>
      </c>
      <c r="C877" s="49" t="s">
        <v>257</v>
      </c>
      <c r="D877" s="49" t="s">
        <v>153</v>
      </c>
      <c r="E877" s="49" t="s">
        <v>245</v>
      </c>
      <c r="F877" s="50">
        <v>43087.0</v>
      </c>
      <c r="G877" s="50">
        <v>43087.0</v>
      </c>
      <c r="H877" s="51">
        <v>43087.65277777778</v>
      </c>
      <c r="I877" s="52">
        <v>1.0</v>
      </c>
      <c r="J877" s="53"/>
      <c r="K877" s="53"/>
    </row>
    <row r="878">
      <c r="A878" s="48" t="s">
        <v>3103</v>
      </c>
      <c r="B878" s="49" t="s">
        <v>3105</v>
      </c>
      <c r="C878" s="49" t="s">
        <v>221</v>
      </c>
      <c r="D878" s="49" t="s">
        <v>153</v>
      </c>
      <c r="E878" s="49" t="s">
        <v>245</v>
      </c>
      <c r="F878" s="50">
        <v>43087.0</v>
      </c>
      <c r="G878" s="50">
        <v>43087.0</v>
      </c>
      <c r="H878" s="51">
        <v>43087.65277777778</v>
      </c>
      <c r="I878" s="52">
        <v>1.0</v>
      </c>
      <c r="J878" s="53"/>
      <c r="K878" s="53"/>
    </row>
    <row r="879">
      <c r="A879" s="48" t="s">
        <v>3107</v>
      </c>
      <c r="B879" s="49" t="s">
        <v>3108</v>
      </c>
      <c r="C879" s="49" t="s">
        <v>257</v>
      </c>
      <c r="D879" s="49" t="s">
        <v>153</v>
      </c>
      <c r="E879" s="49" t="s">
        <v>245</v>
      </c>
      <c r="F879" s="50">
        <v>43087.0</v>
      </c>
      <c r="G879" s="50">
        <v>43087.0</v>
      </c>
      <c r="H879" s="51">
        <v>43087.65347222222</v>
      </c>
      <c r="I879" s="52">
        <v>1.0</v>
      </c>
      <c r="J879" s="53"/>
      <c r="K879" s="53"/>
    </row>
    <row r="880">
      <c r="A880" s="48" t="s">
        <v>3110</v>
      </c>
      <c r="B880" s="49" t="s">
        <v>3112</v>
      </c>
      <c r="C880" s="49" t="s">
        <v>379</v>
      </c>
      <c r="D880" s="49" t="s">
        <v>1653</v>
      </c>
      <c r="E880" s="49" t="s">
        <v>245</v>
      </c>
      <c r="F880" s="50">
        <v>43087.0</v>
      </c>
      <c r="G880" s="50">
        <v>43091.0</v>
      </c>
      <c r="H880" s="51">
        <v>43097.69305555556</v>
      </c>
      <c r="I880" s="52">
        <v>1.0</v>
      </c>
      <c r="J880" s="53"/>
      <c r="K880" s="53"/>
    </row>
    <row r="881">
      <c r="A881" s="48" t="s">
        <v>3114</v>
      </c>
      <c r="B881" s="49" t="s">
        <v>3115</v>
      </c>
      <c r="C881" s="49" t="s">
        <v>452</v>
      </c>
      <c r="D881" s="49" t="s">
        <v>140</v>
      </c>
      <c r="E881" s="49" t="s">
        <v>245</v>
      </c>
      <c r="F881" s="50">
        <v>43083.0</v>
      </c>
      <c r="G881" s="50">
        <v>43083.0</v>
      </c>
      <c r="H881" s="51">
        <v>43084.41388888889</v>
      </c>
      <c r="I881" s="52">
        <v>1.0</v>
      </c>
      <c r="J881" s="53"/>
      <c r="K881" s="53"/>
    </row>
    <row r="882">
      <c r="A882" s="48" t="s">
        <v>3118</v>
      </c>
      <c r="B882" s="49" t="s">
        <v>3119</v>
      </c>
      <c r="C882" s="49" t="s">
        <v>257</v>
      </c>
      <c r="D882" s="49" t="s">
        <v>140</v>
      </c>
      <c r="E882" s="49" t="s">
        <v>245</v>
      </c>
      <c r="F882" s="50">
        <v>43083.0</v>
      </c>
      <c r="G882" s="50">
        <v>43083.0</v>
      </c>
      <c r="H882" s="51">
        <v>43084.413194444445</v>
      </c>
      <c r="I882" s="52">
        <v>1.0</v>
      </c>
      <c r="J882" s="53"/>
      <c r="K882" s="53"/>
    </row>
    <row r="883">
      <c r="A883" s="48" t="s">
        <v>3122</v>
      </c>
      <c r="B883" s="49" t="s">
        <v>3123</v>
      </c>
      <c r="C883" s="49" t="s">
        <v>257</v>
      </c>
      <c r="D883" s="49" t="s">
        <v>140</v>
      </c>
      <c r="E883" s="49" t="s">
        <v>245</v>
      </c>
      <c r="F883" s="50">
        <v>43083.0</v>
      </c>
      <c r="G883" s="50">
        <v>43083.0</v>
      </c>
      <c r="H883" s="51">
        <v>43084.79027777778</v>
      </c>
      <c r="I883" s="52">
        <v>1.0</v>
      </c>
      <c r="J883" s="53"/>
      <c r="K883" s="53"/>
    </row>
    <row r="884">
      <c r="A884" s="48" t="s">
        <v>3124</v>
      </c>
      <c r="B884" s="49" t="s">
        <v>3126</v>
      </c>
      <c r="C884" s="49" t="s">
        <v>257</v>
      </c>
      <c r="D884" s="49" t="s">
        <v>140</v>
      </c>
      <c r="E884" s="49" t="s">
        <v>245</v>
      </c>
      <c r="F884" s="50">
        <v>43083.0</v>
      </c>
      <c r="G884" s="50">
        <v>43083.0</v>
      </c>
      <c r="H884" s="51">
        <v>43084.79305555556</v>
      </c>
      <c r="I884" s="52">
        <v>1.0</v>
      </c>
      <c r="J884" s="53"/>
      <c r="K884" s="53"/>
    </row>
    <row r="885">
      <c r="A885" s="48" t="s">
        <v>3128</v>
      </c>
      <c r="B885" s="49" t="s">
        <v>3129</v>
      </c>
      <c r="C885" s="49" t="s">
        <v>243</v>
      </c>
      <c r="D885" s="49" t="s">
        <v>148</v>
      </c>
      <c r="E885" s="49" t="s">
        <v>245</v>
      </c>
      <c r="F885" s="50">
        <v>43082.0</v>
      </c>
      <c r="G885" s="50">
        <v>43092.0</v>
      </c>
      <c r="H885" s="51">
        <v>43082.43402777778</v>
      </c>
      <c r="I885" s="52">
        <v>1.0</v>
      </c>
      <c r="J885" s="53"/>
      <c r="K885" s="53"/>
    </row>
    <row r="886">
      <c r="A886" s="49" t="s">
        <v>3132</v>
      </c>
      <c r="B886" s="49" t="s">
        <v>3134</v>
      </c>
      <c r="C886" s="49" t="s">
        <v>243</v>
      </c>
      <c r="D886" s="49" t="s">
        <v>148</v>
      </c>
      <c r="E886" s="49" t="s">
        <v>245</v>
      </c>
      <c r="F886" s="50">
        <v>43082.0</v>
      </c>
      <c r="G886" s="50">
        <v>43082.0</v>
      </c>
      <c r="H886" s="51">
        <v>43082.438888888886</v>
      </c>
      <c r="I886" s="52">
        <v>1.0</v>
      </c>
      <c r="J886" s="53"/>
      <c r="K886" s="53"/>
    </row>
    <row r="887">
      <c r="A887" s="48" t="s">
        <v>3137</v>
      </c>
      <c r="B887" s="49" t="s">
        <v>3139</v>
      </c>
      <c r="C887" s="49" t="s">
        <v>257</v>
      </c>
      <c r="D887" s="49" t="s">
        <v>140</v>
      </c>
      <c r="E887" s="49" t="s">
        <v>245</v>
      </c>
      <c r="F887" s="50">
        <v>43082.0</v>
      </c>
      <c r="G887" s="50">
        <v>43082.0</v>
      </c>
      <c r="H887" s="51">
        <v>43084.78958333333</v>
      </c>
      <c r="I887" s="52">
        <v>1.0</v>
      </c>
      <c r="J887" s="53"/>
      <c r="K887" s="53"/>
    </row>
    <row r="888">
      <c r="A888" s="48" t="s">
        <v>3143</v>
      </c>
      <c r="B888" s="49" t="s">
        <v>3146</v>
      </c>
      <c r="C888" s="49" t="s">
        <v>1049</v>
      </c>
      <c r="D888" s="49" t="s">
        <v>140</v>
      </c>
      <c r="E888" s="49" t="s">
        <v>245</v>
      </c>
      <c r="F888" s="50">
        <v>43082.0</v>
      </c>
      <c r="G888" s="50">
        <v>43082.0</v>
      </c>
      <c r="H888" s="51">
        <v>43084.790972222225</v>
      </c>
      <c r="I888" s="52">
        <v>1.0</v>
      </c>
      <c r="J888" s="53"/>
      <c r="K888" s="53"/>
    </row>
    <row r="889">
      <c r="A889" s="48" t="s">
        <v>3150</v>
      </c>
      <c r="B889" s="49" t="s">
        <v>3151</v>
      </c>
      <c r="C889" s="49" t="s">
        <v>452</v>
      </c>
      <c r="D889" s="49" t="s">
        <v>140</v>
      </c>
      <c r="E889" s="49" t="s">
        <v>245</v>
      </c>
      <c r="F889" s="50">
        <v>43082.0</v>
      </c>
      <c r="G889" s="50">
        <v>43091.0</v>
      </c>
      <c r="H889" s="51">
        <v>43185.50763888889</v>
      </c>
      <c r="I889" s="52">
        <v>1.0</v>
      </c>
      <c r="J889" s="53"/>
      <c r="K889" s="53"/>
    </row>
    <row r="890">
      <c r="A890" s="48" t="s">
        <v>3154</v>
      </c>
      <c r="B890" s="49" t="s">
        <v>3156</v>
      </c>
      <c r="C890" s="49" t="s">
        <v>203</v>
      </c>
      <c r="D890" s="49" t="s">
        <v>148</v>
      </c>
      <c r="E890" s="49" t="s">
        <v>245</v>
      </c>
      <c r="F890" s="50">
        <v>43081.0</v>
      </c>
      <c r="G890" s="50">
        <v>43081.0</v>
      </c>
      <c r="H890" s="51">
        <v>43305.82847222222</v>
      </c>
      <c r="I890" s="52">
        <v>1.0</v>
      </c>
      <c r="J890" s="53"/>
      <c r="K890" s="53"/>
    </row>
    <row r="891">
      <c r="A891" s="49" t="s">
        <v>3158</v>
      </c>
      <c r="B891" s="49" t="s">
        <v>3160</v>
      </c>
      <c r="C891" s="49" t="s">
        <v>203</v>
      </c>
      <c r="D891" s="49" t="s">
        <v>148</v>
      </c>
      <c r="E891" s="49" t="s">
        <v>245</v>
      </c>
      <c r="F891" s="50">
        <v>43081.0</v>
      </c>
      <c r="G891" s="50">
        <v>43091.0</v>
      </c>
      <c r="H891" s="51">
        <v>43090.427083333336</v>
      </c>
      <c r="I891" s="52">
        <v>1.0</v>
      </c>
      <c r="J891" s="53"/>
      <c r="K891" s="53"/>
    </row>
    <row r="892">
      <c r="A892" s="48" t="s">
        <v>3161</v>
      </c>
      <c r="B892" s="49" t="s">
        <v>3163</v>
      </c>
      <c r="C892" s="49" t="s">
        <v>203</v>
      </c>
      <c r="D892" s="49" t="s">
        <v>148</v>
      </c>
      <c r="E892" s="49" t="s">
        <v>245</v>
      </c>
      <c r="F892" s="50">
        <v>43081.0</v>
      </c>
      <c r="G892" s="50">
        <v>43081.0</v>
      </c>
      <c r="H892" s="51">
        <v>43081.60833333333</v>
      </c>
      <c r="I892" s="52">
        <v>1.0</v>
      </c>
      <c r="J892" s="53"/>
      <c r="K892" s="53"/>
    </row>
    <row r="893">
      <c r="A893" s="48" t="s">
        <v>3165</v>
      </c>
      <c r="B893" s="49" t="s">
        <v>3167</v>
      </c>
      <c r="C893" s="49" t="s">
        <v>3168</v>
      </c>
      <c r="D893" s="49" t="s">
        <v>153</v>
      </c>
      <c r="E893" s="49" t="s">
        <v>245</v>
      </c>
      <c r="F893" s="50">
        <v>43081.0</v>
      </c>
      <c r="G893" s="50">
        <v>43081.0</v>
      </c>
      <c r="H893" s="51">
        <v>43081.60902777778</v>
      </c>
      <c r="I893" s="52">
        <v>1.0</v>
      </c>
      <c r="J893" s="53"/>
      <c r="K893" s="53"/>
    </row>
    <row r="894">
      <c r="A894" s="48" t="s">
        <v>3171</v>
      </c>
      <c r="B894" s="49" t="s">
        <v>3172</v>
      </c>
      <c r="C894" s="49" t="s">
        <v>203</v>
      </c>
      <c r="D894" s="49" t="s">
        <v>148</v>
      </c>
      <c r="E894" s="49" t="s">
        <v>245</v>
      </c>
      <c r="F894" s="50">
        <v>43081.0</v>
      </c>
      <c r="G894" s="50">
        <v>43081.0</v>
      </c>
      <c r="H894" s="51">
        <v>43081.7625</v>
      </c>
      <c r="I894" s="52">
        <v>1.0</v>
      </c>
      <c r="J894" s="53"/>
      <c r="K894" s="53"/>
    </row>
    <row r="895">
      <c r="A895" s="48" t="s">
        <v>3176</v>
      </c>
      <c r="B895" s="49" t="s">
        <v>3177</v>
      </c>
      <c r="C895" s="49" t="s">
        <v>203</v>
      </c>
      <c r="D895" s="49" t="s">
        <v>148</v>
      </c>
      <c r="E895" s="49" t="s">
        <v>245</v>
      </c>
      <c r="F895" s="50">
        <v>43081.0</v>
      </c>
      <c r="G895" s="50">
        <v>43081.0</v>
      </c>
      <c r="H895" s="51">
        <v>43081.7625</v>
      </c>
      <c r="I895" s="52">
        <v>1.0</v>
      </c>
      <c r="J895" s="53"/>
      <c r="K895" s="53"/>
    </row>
    <row r="896">
      <c r="A896" s="48" t="s">
        <v>3181</v>
      </c>
      <c r="B896" s="49" t="s">
        <v>3182</v>
      </c>
      <c r="C896" s="49" t="s">
        <v>243</v>
      </c>
      <c r="D896" s="49" t="s">
        <v>148</v>
      </c>
      <c r="E896" s="49" t="s">
        <v>245</v>
      </c>
      <c r="F896" s="50">
        <v>43081.0</v>
      </c>
      <c r="G896" s="50">
        <v>43081.0</v>
      </c>
      <c r="H896" s="51">
        <v>43081.67222222222</v>
      </c>
      <c r="I896" s="52">
        <v>1.0</v>
      </c>
      <c r="J896" s="53"/>
      <c r="K896" s="53"/>
    </row>
    <row r="897">
      <c r="A897" s="49" t="s">
        <v>3187</v>
      </c>
      <c r="B897" s="49" t="s">
        <v>3189</v>
      </c>
      <c r="C897" s="49" t="s">
        <v>257</v>
      </c>
      <c r="D897" s="49" t="s">
        <v>153</v>
      </c>
      <c r="E897" s="49" t="s">
        <v>245</v>
      </c>
      <c r="F897" s="50">
        <v>43081.0</v>
      </c>
      <c r="G897" s="50">
        <v>43081.0</v>
      </c>
      <c r="H897" s="51">
        <v>43081.592361111114</v>
      </c>
      <c r="I897" s="52">
        <v>1.0</v>
      </c>
      <c r="J897" s="53"/>
      <c r="K897" s="53"/>
    </row>
    <row r="898">
      <c r="A898" s="49" t="s">
        <v>3192</v>
      </c>
      <c r="B898" s="49" t="s">
        <v>3193</v>
      </c>
      <c r="C898" s="49" t="s">
        <v>221</v>
      </c>
      <c r="D898" s="49" t="s">
        <v>153</v>
      </c>
      <c r="E898" s="49" t="s">
        <v>245</v>
      </c>
      <c r="F898" s="50">
        <v>43081.0</v>
      </c>
      <c r="G898" s="50">
        <v>43081.0</v>
      </c>
      <c r="H898" s="51">
        <v>43081.59305555555</v>
      </c>
      <c r="I898" s="52">
        <v>1.0</v>
      </c>
      <c r="J898" s="53"/>
      <c r="K898" s="53"/>
    </row>
    <row r="899">
      <c r="A899" s="49" t="s">
        <v>3197</v>
      </c>
      <c r="B899" s="49" t="s">
        <v>3198</v>
      </c>
      <c r="C899" s="49" t="s">
        <v>221</v>
      </c>
      <c r="D899" s="49" t="s">
        <v>153</v>
      </c>
      <c r="E899" s="49" t="s">
        <v>245</v>
      </c>
      <c r="F899" s="50">
        <v>43081.0</v>
      </c>
      <c r="G899" s="50">
        <v>43081.0</v>
      </c>
      <c r="H899" s="51">
        <v>43081.59305555555</v>
      </c>
      <c r="I899" s="52">
        <v>1.0</v>
      </c>
      <c r="J899" s="53"/>
      <c r="K899" s="53"/>
    </row>
    <row r="900">
      <c r="A900" s="49" t="s">
        <v>3200</v>
      </c>
      <c r="B900" s="49" t="s">
        <v>3201</v>
      </c>
      <c r="C900" s="49" t="s">
        <v>257</v>
      </c>
      <c r="D900" s="49" t="s">
        <v>153</v>
      </c>
      <c r="E900" s="49" t="s">
        <v>245</v>
      </c>
      <c r="F900" s="50">
        <v>43081.0</v>
      </c>
      <c r="G900" s="50">
        <v>43081.0</v>
      </c>
      <c r="H900" s="51">
        <v>43081.59305555555</v>
      </c>
      <c r="I900" s="52">
        <v>1.0</v>
      </c>
      <c r="J900" s="53"/>
      <c r="K900" s="53"/>
    </row>
    <row r="901">
      <c r="A901" s="48" t="s">
        <v>3204</v>
      </c>
      <c r="B901" s="49" t="s">
        <v>3206</v>
      </c>
      <c r="C901" s="49" t="s">
        <v>203</v>
      </c>
      <c r="D901" s="49" t="s">
        <v>140</v>
      </c>
      <c r="E901" s="49" t="s">
        <v>245</v>
      </c>
      <c r="F901" s="50">
        <v>43081.0</v>
      </c>
      <c r="G901" s="50">
        <v>43083.0</v>
      </c>
      <c r="H901" s="51">
        <v>43084.790972222225</v>
      </c>
      <c r="I901" s="52">
        <v>1.0</v>
      </c>
      <c r="J901" s="53"/>
      <c r="K901" s="53"/>
    </row>
    <row r="902">
      <c r="A902" s="48" t="s">
        <v>3210</v>
      </c>
      <c r="B902" s="49" t="s">
        <v>3211</v>
      </c>
      <c r="C902" s="49" t="s">
        <v>203</v>
      </c>
      <c r="D902" s="49" t="s">
        <v>140</v>
      </c>
      <c r="E902" s="49" t="s">
        <v>245</v>
      </c>
      <c r="F902" s="50">
        <v>43081.0</v>
      </c>
      <c r="G902" s="50">
        <v>43081.0</v>
      </c>
      <c r="H902" s="51">
        <v>43238.77291666667</v>
      </c>
      <c r="I902" s="52">
        <v>1.0</v>
      </c>
      <c r="J902" s="53"/>
      <c r="K902" s="53"/>
    </row>
    <row r="903">
      <c r="A903" s="49" t="s">
        <v>3214</v>
      </c>
      <c r="B903" s="49" t="s">
        <v>3215</v>
      </c>
      <c r="C903" s="49" t="s">
        <v>243</v>
      </c>
      <c r="D903" s="49" t="s">
        <v>148</v>
      </c>
      <c r="E903" s="49" t="s">
        <v>245</v>
      </c>
      <c r="F903" s="50">
        <v>43080.0</v>
      </c>
      <c r="G903" s="50">
        <v>43090.0</v>
      </c>
      <c r="H903" s="51">
        <v>43080.790972222225</v>
      </c>
      <c r="I903" s="52">
        <v>1.0</v>
      </c>
      <c r="J903" s="53"/>
      <c r="K903" s="53"/>
    </row>
    <row r="904">
      <c r="A904" s="48" t="s">
        <v>3220</v>
      </c>
      <c r="B904" s="49" t="s">
        <v>3221</v>
      </c>
      <c r="C904" s="49" t="s">
        <v>379</v>
      </c>
      <c r="D904" s="49" t="s">
        <v>310</v>
      </c>
      <c r="E904" s="49" t="s">
        <v>245</v>
      </c>
      <c r="F904" s="50">
        <v>43080.0</v>
      </c>
      <c r="G904" s="50">
        <v>43084.0</v>
      </c>
      <c r="H904" s="51">
        <v>43084.675</v>
      </c>
      <c r="I904" s="52">
        <v>1.0</v>
      </c>
      <c r="J904" s="53"/>
      <c r="K904" s="53"/>
    </row>
    <row r="905">
      <c r="A905" s="49" t="s">
        <v>3226</v>
      </c>
      <c r="B905" s="49" t="s">
        <v>3227</v>
      </c>
      <c r="C905" s="49" t="s">
        <v>379</v>
      </c>
      <c r="D905" s="49" t="s">
        <v>148</v>
      </c>
      <c r="E905" s="49" t="s">
        <v>245</v>
      </c>
      <c r="F905" s="50">
        <v>43080.0</v>
      </c>
      <c r="G905" s="50">
        <v>43084.0</v>
      </c>
      <c r="H905" s="51">
        <v>43084.674305555556</v>
      </c>
      <c r="I905" s="52">
        <v>1.0</v>
      </c>
      <c r="J905" s="53"/>
      <c r="K905" s="53"/>
    </row>
    <row r="906">
      <c r="A906" s="49" t="s">
        <v>3231</v>
      </c>
      <c r="B906" s="49" t="s">
        <v>3232</v>
      </c>
      <c r="C906" s="49" t="s">
        <v>203</v>
      </c>
      <c r="D906" s="49" t="s">
        <v>310</v>
      </c>
      <c r="E906" s="49" t="s">
        <v>245</v>
      </c>
      <c r="F906" s="50">
        <v>43080.0</v>
      </c>
      <c r="G906" s="50">
        <v>43084.0</v>
      </c>
      <c r="H906" s="51">
        <v>43084.675</v>
      </c>
      <c r="I906" s="52">
        <v>1.0</v>
      </c>
      <c r="J906" s="52">
        <v>0.0</v>
      </c>
      <c r="K906" s="53"/>
    </row>
    <row r="907">
      <c r="A907" s="49" t="s">
        <v>3236</v>
      </c>
      <c r="B907" s="49" t="s">
        <v>3237</v>
      </c>
      <c r="C907" s="49" t="s">
        <v>1676</v>
      </c>
      <c r="D907" s="49" t="s">
        <v>1653</v>
      </c>
      <c r="E907" s="49" t="s">
        <v>245</v>
      </c>
      <c r="F907" s="50">
        <v>43080.0</v>
      </c>
      <c r="G907" s="50">
        <v>43084.0</v>
      </c>
      <c r="H907" s="51">
        <v>43084.674305555556</v>
      </c>
      <c r="I907" s="52">
        <v>1.0</v>
      </c>
      <c r="J907" s="53"/>
      <c r="K907" s="53"/>
    </row>
    <row r="908">
      <c r="A908" s="48" t="s">
        <v>3240</v>
      </c>
      <c r="B908" s="49" t="s">
        <v>3242</v>
      </c>
      <c r="C908" s="49" t="s">
        <v>243</v>
      </c>
      <c r="D908" s="49" t="s">
        <v>148</v>
      </c>
      <c r="E908" s="49" t="s">
        <v>245</v>
      </c>
      <c r="F908" s="50">
        <v>43080.0</v>
      </c>
      <c r="G908" s="50">
        <v>43080.0</v>
      </c>
      <c r="H908" s="51">
        <v>43084.74444444444</v>
      </c>
      <c r="I908" s="52">
        <v>1.0</v>
      </c>
      <c r="J908" s="53"/>
      <c r="K908" s="53"/>
    </row>
    <row r="909">
      <c r="A909" s="49" t="s">
        <v>3246</v>
      </c>
      <c r="B909" s="49" t="s">
        <v>3248</v>
      </c>
      <c r="C909" s="49" t="s">
        <v>379</v>
      </c>
      <c r="D909" s="49" t="s">
        <v>1653</v>
      </c>
      <c r="E909" s="49" t="s">
        <v>245</v>
      </c>
      <c r="F909" s="50">
        <v>43080.0</v>
      </c>
      <c r="G909" s="50">
        <v>43080.0</v>
      </c>
      <c r="H909" s="51">
        <v>43317.174305555556</v>
      </c>
      <c r="I909" s="52">
        <v>1.0</v>
      </c>
      <c r="J909" s="53"/>
      <c r="K909" s="53"/>
    </row>
    <row r="910">
      <c r="A910" s="49" t="s">
        <v>3250</v>
      </c>
      <c r="B910" s="49" t="s">
        <v>3251</v>
      </c>
      <c r="C910" s="49" t="s">
        <v>1676</v>
      </c>
      <c r="D910" s="49" t="s">
        <v>148</v>
      </c>
      <c r="E910" s="49" t="s">
        <v>245</v>
      </c>
      <c r="F910" s="50">
        <v>43080.0</v>
      </c>
      <c r="G910" s="50">
        <v>43080.0</v>
      </c>
      <c r="H910" s="51">
        <v>43083.62222222222</v>
      </c>
      <c r="I910" s="52">
        <v>1.0</v>
      </c>
      <c r="J910" s="53"/>
      <c r="K910" s="53"/>
    </row>
    <row r="911">
      <c r="A911" s="48" t="s">
        <v>3255</v>
      </c>
      <c r="B911" s="49" t="s">
        <v>3256</v>
      </c>
      <c r="C911" s="49" t="s">
        <v>485</v>
      </c>
      <c r="D911" s="49" t="s">
        <v>140</v>
      </c>
      <c r="E911" s="49" t="s">
        <v>245</v>
      </c>
      <c r="F911" s="50">
        <v>43080.0</v>
      </c>
      <c r="G911" s="50">
        <v>43080.0</v>
      </c>
      <c r="H911" s="51">
        <v>43084.785416666666</v>
      </c>
      <c r="I911" s="52">
        <v>1.0</v>
      </c>
      <c r="J911" s="53"/>
      <c r="K911" s="53"/>
    </row>
    <row r="912">
      <c r="A912" s="48" t="s">
        <v>3259</v>
      </c>
      <c r="B912" s="49" t="s">
        <v>3261</v>
      </c>
      <c r="C912" s="49" t="s">
        <v>452</v>
      </c>
      <c r="D912" s="49" t="s">
        <v>140</v>
      </c>
      <c r="E912" s="49" t="s">
        <v>245</v>
      </c>
      <c r="F912" s="50">
        <v>43080.0</v>
      </c>
      <c r="G912" s="50">
        <v>43080.0</v>
      </c>
      <c r="H912" s="51">
        <v>43084.78680555556</v>
      </c>
      <c r="I912" s="52">
        <v>1.0</v>
      </c>
      <c r="J912" s="53"/>
      <c r="K912" s="53"/>
    </row>
    <row r="913">
      <c r="A913" s="49" t="s">
        <v>3265</v>
      </c>
      <c r="B913" s="49" t="s">
        <v>3266</v>
      </c>
      <c r="C913" s="49" t="s">
        <v>203</v>
      </c>
      <c r="D913" s="49" t="s">
        <v>140</v>
      </c>
      <c r="E913" s="49" t="s">
        <v>245</v>
      </c>
      <c r="F913" s="50">
        <v>43077.0</v>
      </c>
      <c r="G913" s="50">
        <v>43087.0</v>
      </c>
      <c r="H913" s="51">
        <v>43084.78680555556</v>
      </c>
      <c r="I913" s="52">
        <v>1.0</v>
      </c>
      <c r="J913" s="53"/>
      <c r="K913" s="53"/>
    </row>
    <row r="914">
      <c r="A914" s="49" t="s">
        <v>3270</v>
      </c>
      <c r="B914" s="49" t="s">
        <v>3273</v>
      </c>
      <c r="C914" s="49" t="s">
        <v>452</v>
      </c>
      <c r="D914" s="49" t="s">
        <v>140</v>
      </c>
      <c r="E914" s="49" t="s">
        <v>245</v>
      </c>
      <c r="F914" s="50">
        <v>43077.0</v>
      </c>
      <c r="G914" s="50">
        <v>43084.0</v>
      </c>
      <c r="H914" s="51">
        <v>43084.78680555556</v>
      </c>
      <c r="I914" s="52">
        <v>1.0</v>
      </c>
      <c r="J914" s="53"/>
      <c r="K914" s="53"/>
    </row>
    <row r="915">
      <c r="A915" s="49" t="s">
        <v>3275</v>
      </c>
      <c r="B915" s="49" t="s">
        <v>3276</v>
      </c>
      <c r="C915" s="49" t="s">
        <v>243</v>
      </c>
      <c r="D915" s="49" t="s">
        <v>148</v>
      </c>
      <c r="E915" s="49" t="s">
        <v>245</v>
      </c>
      <c r="F915" s="50">
        <v>43077.0</v>
      </c>
      <c r="G915" s="50">
        <v>43077.0</v>
      </c>
      <c r="H915" s="51">
        <v>43076.59375</v>
      </c>
      <c r="I915" s="52">
        <v>1.0</v>
      </c>
      <c r="J915" s="53"/>
      <c r="K915" s="53"/>
    </row>
    <row r="916">
      <c r="A916" s="49" t="s">
        <v>3280</v>
      </c>
      <c r="B916" s="49" t="s">
        <v>3281</v>
      </c>
      <c r="C916" s="49" t="s">
        <v>243</v>
      </c>
      <c r="D916" s="49" t="s">
        <v>153</v>
      </c>
      <c r="E916" s="49" t="s">
        <v>245</v>
      </c>
      <c r="F916" s="50">
        <v>43077.0</v>
      </c>
      <c r="G916" s="50">
        <v>43077.0</v>
      </c>
      <c r="H916" s="51">
        <v>43084.67847222222</v>
      </c>
      <c r="I916" s="52">
        <v>1.0</v>
      </c>
      <c r="J916" s="53"/>
      <c r="K916" s="53"/>
    </row>
    <row r="917">
      <c r="A917" s="49" t="s">
        <v>3284</v>
      </c>
      <c r="B917" s="49" t="s">
        <v>3285</v>
      </c>
      <c r="C917" s="49" t="s">
        <v>257</v>
      </c>
      <c r="D917" s="49" t="s">
        <v>153</v>
      </c>
      <c r="E917" s="49" t="s">
        <v>245</v>
      </c>
      <c r="F917" s="50">
        <v>43077.0</v>
      </c>
      <c r="G917" s="50">
        <v>43077.0</v>
      </c>
      <c r="H917" s="51">
        <v>43077.791666666664</v>
      </c>
      <c r="I917" s="52">
        <v>1.0</v>
      </c>
      <c r="J917" s="53"/>
      <c r="K917" s="53"/>
    </row>
    <row r="918">
      <c r="A918" s="49" t="s">
        <v>3290</v>
      </c>
      <c r="B918" s="49" t="s">
        <v>3291</v>
      </c>
      <c r="C918" s="49" t="s">
        <v>257</v>
      </c>
      <c r="D918" s="49" t="s">
        <v>153</v>
      </c>
      <c r="E918" s="49" t="s">
        <v>245</v>
      </c>
      <c r="F918" s="50">
        <v>43077.0</v>
      </c>
      <c r="G918" s="50">
        <v>43077.0</v>
      </c>
      <c r="H918" s="51">
        <v>43077.791666666664</v>
      </c>
      <c r="I918" s="52">
        <v>1.0</v>
      </c>
      <c r="J918" s="53"/>
      <c r="K918" s="53"/>
    </row>
    <row r="919">
      <c r="A919" s="49" t="s">
        <v>3293</v>
      </c>
      <c r="B919" s="49" t="s">
        <v>3294</v>
      </c>
      <c r="C919" s="49" t="s">
        <v>257</v>
      </c>
      <c r="D919" s="49" t="s">
        <v>153</v>
      </c>
      <c r="E919" s="49" t="s">
        <v>245</v>
      </c>
      <c r="F919" s="50">
        <v>43077.0</v>
      </c>
      <c r="G919" s="50">
        <v>43077.0</v>
      </c>
      <c r="H919" s="51">
        <v>43077.790972222225</v>
      </c>
      <c r="I919" s="52">
        <v>1.0</v>
      </c>
      <c r="J919" s="53"/>
      <c r="K919" s="53"/>
    </row>
    <row r="920">
      <c r="A920" s="49" t="s">
        <v>3297</v>
      </c>
      <c r="B920" s="49" t="s">
        <v>3298</v>
      </c>
      <c r="C920" s="49" t="s">
        <v>221</v>
      </c>
      <c r="D920" s="49" t="s">
        <v>153</v>
      </c>
      <c r="E920" s="49" t="s">
        <v>245</v>
      </c>
      <c r="F920" s="50">
        <v>43077.0</v>
      </c>
      <c r="G920" s="50">
        <v>43077.0</v>
      </c>
      <c r="H920" s="51">
        <v>43077.791666666664</v>
      </c>
      <c r="I920" s="52">
        <v>1.0</v>
      </c>
      <c r="J920" s="53"/>
      <c r="K920" s="53"/>
    </row>
    <row r="921">
      <c r="A921" s="49" t="s">
        <v>3301</v>
      </c>
      <c r="B921" s="49" t="s">
        <v>3302</v>
      </c>
      <c r="C921" s="49" t="s">
        <v>221</v>
      </c>
      <c r="D921" s="49" t="s">
        <v>153</v>
      </c>
      <c r="E921" s="49" t="s">
        <v>245</v>
      </c>
      <c r="F921" s="50">
        <v>43077.0</v>
      </c>
      <c r="G921" s="50">
        <v>43077.0</v>
      </c>
      <c r="H921" s="51">
        <v>43077.791666666664</v>
      </c>
      <c r="I921" s="52">
        <v>1.0</v>
      </c>
      <c r="J921" s="53"/>
      <c r="K921" s="53"/>
    </row>
    <row r="922">
      <c r="A922" s="49" t="s">
        <v>3305</v>
      </c>
      <c r="B922" s="49" t="s">
        <v>3307</v>
      </c>
      <c r="C922" s="49" t="s">
        <v>221</v>
      </c>
      <c r="D922" s="49" t="s">
        <v>153</v>
      </c>
      <c r="E922" s="49" t="s">
        <v>245</v>
      </c>
      <c r="F922" s="50">
        <v>43077.0</v>
      </c>
      <c r="G922" s="50">
        <v>43077.0</v>
      </c>
      <c r="H922" s="51">
        <v>43084.68263888889</v>
      </c>
      <c r="I922" s="52">
        <v>1.0</v>
      </c>
      <c r="J922" s="53"/>
      <c r="K922" s="53"/>
    </row>
    <row r="923">
      <c r="A923" s="49" t="s">
        <v>3310</v>
      </c>
      <c r="B923" s="49" t="s">
        <v>3312</v>
      </c>
      <c r="C923" s="49" t="s">
        <v>257</v>
      </c>
      <c r="D923" s="49" t="s">
        <v>153</v>
      </c>
      <c r="E923" s="49" t="s">
        <v>245</v>
      </c>
      <c r="F923" s="50">
        <v>43077.0</v>
      </c>
      <c r="G923" s="50">
        <v>43077.0</v>
      </c>
      <c r="H923" s="51">
        <v>43077.79305555556</v>
      </c>
      <c r="I923" s="52">
        <v>1.0</v>
      </c>
      <c r="J923" s="53"/>
      <c r="K923" s="53"/>
    </row>
    <row r="924">
      <c r="A924" s="49" t="s">
        <v>3315</v>
      </c>
      <c r="B924" s="49" t="s">
        <v>3316</v>
      </c>
      <c r="C924" s="49" t="s">
        <v>221</v>
      </c>
      <c r="D924" s="49" t="s">
        <v>153</v>
      </c>
      <c r="E924" s="49" t="s">
        <v>245</v>
      </c>
      <c r="F924" s="50">
        <v>43077.0</v>
      </c>
      <c r="G924" s="50">
        <v>43077.0</v>
      </c>
      <c r="H924" s="51">
        <v>43077.79305555556</v>
      </c>
      <c r="I924" s="52">
        <v>1.0</v>
      </c>
      <c r="J924" s="53"/>
      <c r="K924" s="53"/>
    </row>
    <row r="925">
      <c r="A925" s="49" t="s">
        <v>3318</v>
      </c>
      <c r="B925" s="49" t="s">
        <v>3320</v>
      </c>
      <c r="C925" s="49" t="s">
        <v>1676</v>
      </c>
      <c r="D925" s="49" t="s">
        <v>148</v>
      </c>
      <c r="E925" s="49" t="s">
        <v>245</v>
      </c>
      <c r="F925" s="50">
        <v>43076.0</v>
      </c>
      <c r="G925" s="50">
        <v>43078.0</v>
      </c>
      <c r="H925" s="51">
        <v>43077.86388888889</v>
      </c>
      <c r="I925" s="52">
        <v>1.0</v>
      </c>
      <c r="J925" s="53"/>
      <c r="K925" s="53"/>
    </row>
    <row r="926">
      <c r="A926" s="49" t="s">
        <v>3326</v>
      </c>
      <c r="B926" s="49" t="s">
        <v>3327</v>
      </c>
      <c r="C926" s="49" t="s">
        <v>1676</v>
      </c>
      <c r="D926" s="49" t="s">
        <v>148</v>
      </c>
      <c r="E926" s="49" t="s">
        <v>245</v>
      </c>
      <c r="F926" s="50">
        <v>43076.0</v>
      </c>
      <c r="G926" s="50">
        <v>43077.0</v>
      </c>
      <c r="H926" s="51">
        <v>43077.86388888889</v>
      </c>
      <c r="I926" s="52">
        <v>1.0</v>
      </c>
      <c r="J926" s="53"/>
      <c r="K926" s="53"/>
    </row>
    <row r="927">
      <c r="A927" s="49" t="s">
        <v>3331</v>
      </c>
      <c r="B927" s="49" t="s">
        <v>3333</v>
      </c>
      <c r="C927" s="49" t="s">
        <v>1676</v>
      </c>
      <c r="D927" s="49" t="s">
        <v>148</v>
      </c>
      <c r="E927" s="49" t="s">
        <v>245</v>
      </c>
      <c r="F927" s="50">
        <v>43076.0</v>
      </c>
      <c r="G927" s="50">
        <v>43076.0</v>
      </c>
      <c r="H927" s="51">
        <v>43077.86388888889</v>
      </c>
      <c r="I927" s="52">
        <v>1.0</v>
      </c>
      <c r="J927" s="53"/>
      <c r="K927" s="53"/>
    </row>
    <row r="928">
      <c r="A928" s="49" t="s">
        <v>3335</v>
      </c>
      <c r="B928" s="49" t="s">
        <v>3336</v>
      </c>
      <c r="C928" s="49" t="s">
        <v>203</v>
      </c>
      <c r="D928" s="49" t="s">
        <v>140</v>
      </c>
      <c r="E928" s="49" t="s">
        <v>245</v>
      </c>
      <c r="F928" s="50">
        <v>43076.0</v>
      </c>
      <c r="G928" s="50">
        <v>43076.0</v>
      </c>
      <c r="H928" s="51">
        <v>43077.82777777778</v>
      </c>
      <c r="I928" s="52">
        <v>1.0</v>
      </c>
      <c r="J928" s="53"/>
      <c r="K928" s="53"/>
    </row>
    <row r="929">
      <c r="A929" s="49" t="s">
        <v>3339</v>
      </c>
      <c r="B929" s="49" t="s">
        <v>3340</v>
      </c>
      <c r="C929" s="49" t="s">
        <v>221</v>
      </c>
      <c r="D929" s="49" t="s">
        <v>140</v>
      </c>
      <c r="E929" s="49" t="s">
        <v>245</v>
      </c>
      <c r="F929" s="50">
        <v>43076.0</v>
      </c>
      <c r="G929" s="50">
        <v>43076.0</v>
      </c>
      <c r="H929" s="51">
        <v>43077.82777777778</v>
      </c>
      <c r="I929" s="52">
        <v>1.0</v>
      </c>
      <c r="J929" s="53"/>
      <c r="K929" s="53"/>
    </row>
    <row r="930">
      <c r="A930" s="49" t="s">
        <v>3345</v>
      </c>
      <c r="B930" s="49" t="s">
        <v>3346</v>
      </c>
      <c r="C930" s="49" t="s">
        <v>452</v>
      </c>
      <c r="D930" s="49" t="s">
        <v>140</v>
      </c>
      <c r="E930" s="49" t="s">
        <v>245</v>
      </c>
      <c r="F930" s="50">
        <v>43076.0</v>
      </c>
      <c r="G930" s="50">
        <v>43076.0</v>
      </c>
      <c r="H930" s="51">
        <v>43077.82847222222</v>
      </c>
      <c r="I930" s="52">
        <v>1.0</v>
      </c>
      <c r="J930" s="53"/>
      <c r="K930" s="53"/>
    </row>
    <row r="931">
      <c r="A931" s="49" t="s">
        <v>3350</v>
      </c>
      <c r="B931" s="49" t="s">
        <v>3352</v>
      </c>
      <c r="C931" s="49" t="s">
        <v>379</v>
      </c>
      <c r="D931" s="49" t="s">
        <v>148</v>
      </c>
      <c r="E931" s="49" t="s">
        <v>245</v>
      </c>
      <c r="F931" s="50">
        <v>43075.0</v>
      </c>
      <c r="G931" s="50">
        <v>43076.0</v>
      </c>
      <c r="H931" s="51">
        <v>43076.59375</v>
      </c>
      <c r="I931" s="52">
        <v>1.0</v>
      </c>
      <c r="J931" s="53"/>
      <c r="K931" s="53"/>
    </row>
    <row r="932">
      <c r="A932" s="49" t="s">
        <v>3355</v>
      </c>
      <c r="B932" s="49" t="s">
        <v>3356</v>
      </c>
      <c r="C932" s="49" t="s">
        <v>257</v>
      </c>
      <c r="D932" s="49" t="s">
        <v>140</v>
      </c>
      <c r="E932" s="49" t="s">
        <v>245</v>
      </c>
      <c r="F932" s="50">
        <v>43075.0</v>
      </c>
      <c r="G932" s="50">
        <v>43075.0</v>
      </c>
      <c r="H932" s="51">
        <v>43077.825694444444</v>
      </c>
      <c r="I932" s="52">
        <v>1.0</v>
      </c>
      <c r="J932" s="53"/>
      <c r="K932" s="53"/>
    </row>
    <row r="933">
      <c r="A933" s="49" t="s">
        <v>3359</v>
      </c>
      <c r="B933" s="49" t="s">
        <v>3360</v>
      </c>
      <c r="C933" s="49" t="s">
        <v>452</v>
      </c>
      <c r="D933" s="49" t="s">
        <v>140</v>
      </c>
      <c r="E933" s="49" t="s">
        <v>245</v>
      </c>
      <c r="F933" s="50">
        <v>43075.0</v>
      </c>
      <c r="G933" s="50">
        <v>43075.0</v>
      </c>
      <c r="H933" s="51">
        <v>43077.82638888889</v>
      </c>
      <c r="I933" s="52">
        <v>1.0</v>
      </c>
      <c r="J933" s="53"/>
      <c r="K933" s="53"/>
    </row>
    <row r="934">
      <c r="A934" s="48" t="s">
        <v>3363</v>
      </c>
      <c r="B934" s="49" t="s">
        <v>3365</v>
      </c>
      <c r="C934" s="49" t="s">
        <v>243</v>
      </c>
      <c r="D934" s="49" t="s">
        <v>148</v>
      </c>
      <c r="E934" s="49" t="s">
        <v>245</v>
      </c>
      <c r="F934" s="50">
        <v>43074.0</v>
      </c>
      <c r="G934" s="50">
        <v>43085.0</v>
      </c>
      <c r="H934" s="51">
        <v>43074.660416666666</v>
      </c>
      <c r="I934" s="52">
        <v>1.0</v>
      </c>
      <c r="J934" s="53"/>
      <c r="K934" s="53"/>
    </row>
    <row r="935">
      <c r="A935" s="49" t="s">
        <v>3368</v>
      </c>
      <c r="B935" s="49" t="s">
        <v>3371</v>
      </c>
      <c r="C935" s="49" t="s">
        <v>243</v>
      </c>
      <c r="D935" s="49" t="s">
        <v>148</v>
      </c>
      <c r="E935" s="49" t="s">
        <v>245</v>
      </c>
      <c r="F935" s="50">
        <v>43074.0</v>
      </c>
      <c r="G935" s="50">
        <v>43084.0</v>
      </c>
      <c r="H935" s="51">
        <v>43074.73611111111</v>
      </c>
      <c r="I935" s="52">
        <v>1.0</v>
      </c>
      <c r="J935" s="53"/>
      <c r="K935" s="53"/>
    </row>
    <row r="936">
      <c r="A936" s="48" t="s">
        <v>3377</v>
      </c>
      <c r="B936" s="49" t="s">
        <v>3378</v>
      </c>
      <c r="C936" s="49" t="s">
        <v>243</v>
      </c>
      <c r="D936" s="49" t="s">
        <v>148</v>
      </c>
      <c r="E936" s="49" t="s">
        <v>245</v>
      </c>
      <c r="F936" s="50">
        <v>43074.0</v>
      </c>
      <c r="G936" s="50">
        <v>43082.0</v>
      </c>
      <c r="H936" s="51">
        <v>43074.629166666666</v>
      </c>
      <c r="I936" s="52">
        <v>1.0</v>
      </c>
      <c r="J936" s="53"/>
      <c r="K936" s="53"/>
    </row>
    <row r="937">
      <c r="A937" s="49" t="s">
        <v>3381</v>
      </c>
      <c r="B937" s="49" t="s">
        <v>3382</v>
      </c>
      <c r="C937" s="49" t="s">
        <v>203</v>
      </c>
      <c r="D937" s="49" t="s">
        <v>148</v>
      </c>
      <c r="E937" s="49" t="s">
        <v>245</v>
      </c>
      <c r="F937" s="50">
        <v>43074.0</v>
      </c>
      <c r="G937" s="50">
        <v>43077.0</v>
      </c>
      <c r="H937" s="51">
        <v>43159.59097222222</v>
      </c>
      <c r="I937" s="52">
        <v>1.0</v>
      </c>
      <c r="J937" s="53"/>
      <c r="K937" s="53"/>
    </row>
    <row r="938">
      <c r="A938" s="49" t="s">
        <v>3385</v>
      </c>
      <c r="B938" s="49" t="s">
        <v>3386</v>
      </c>
      <c r="C938" s="49" t="s">
        <v>203</v>
      </c>
      <c r="D938" s="49" t="s">
        <v>148</v>
      </c>
      <c r="E938" s="49" t="s">
        <v>245</v>
      </c>
      <c r="F938" s="50">
        <v>43074.0</v>
      </c>
      <c r="G938" s="50">
        <v>43077.0</v>
      </c>
      <c r="H938" s="51">
        <v>43076.59375</v>
      </c>
      <c r="I938" s="52">
        <v>1.0</v>
      </c>
      <c r="J938" s="53"/>
      <c r="K938" s="53"/>
    </row>
    <row r="939">
      <c r="A939" s="49" t="s">
        <v>3390</v>
      </c>
      <c r="B939" s="49" t="s">
        <v>3391</v>
      </c>
      <c r="C939" s="49" t="s">
        <v>243</v>
      </c>
      <c r="D939" s="49" t="s">
        <v>148</v>
      </c>
      <c r="E939" s="49" t="s">
        <v>245</v>
      </c>
      <c r="F939" s="50">
        <v>43074.0</v>
      </c>
      <c r="G939" s="50">
        <v>43074.0</v>
      </c>
      <c r="H939" s="51">
        <v>43074.714583333334</v>
      </c>
      <c r="I939" s="52">
        <v>1.0</v>
      </c>
      <c r="J939" s="53"/>
      <c r="K939" s="53"/>
    </row>
    <row r="940">
      <c r="A940" s="49" t="s">
        <v>3394</v>
      </c>
      <c r="B940" s="49" t="s">
        <v>3396</v>
      </c>
      <c r="C940" s="49" t="s">
        <v>452</v>
      </c>
      <c r="D940" s="49" t="s">
        <v>140</v>
      </c>
      <c r="E940" s="49" t="s">
        <v>245</v>
      </c>
      <c r="F940" s="50">
        <v>43074.0</v>
      </c>
      <c r="G940" s="50">
        <v>43074.0</v>
      </c>
      <c r="H940" s="51">
        <v>43077.82430555556</v>
      </c>
      <c r="I940" s="52">
        <v>1.0</v>
      </c>
      <c r="J940" s="53"/>
      <c r="K940" s="53"/>
    </row>
    <row r="941">
      <c r="A941" s="49" t="s">
        <v>3399</v>
      </c>
      <c r="B941" s="49" t="s">
        <v>3401</v>
      </c>
      <c r="C941" s="49" t="s">
        <v>1049</v>
      </c>
      <c r="D941" s="49" t="s">
        <v>140</v>
      </c>
      <c r="E941" s="49" t="s">
        <v>245</v>
      </c>
      <c r="F941" s="50">
        <v>43074.0</v>
      </c>
      <c r="G941" s="50">
        <v>43074.0</v>
      </c>
      <c r="H941" s="51">
        <v>43077.825</v>
      </c>
      <c r="I941" s="52">
        <v>1.0</v>
      </c>
      <c r="J941" s="53"/>
      <c r="K941" s="53"/>
    </row>
    <row r="942">
      <c r="A942" s="48" t="s">
        <v>3404</v>
      </c>
      <c r="B942" s="49" t="s">
        <v>3406</v>
      </c>
      <c r="C942" s="49" t="s">
        <v>1676</v>
      </c>
      <c r="D942" s="49" t="s">
        <v>148</v>
      </c>
      <c r="E942" s="49" t="s">
        <v>277</v>
      </c>
      <c r="F942" s="50">
        <v>43073.0</v>
      </c>
      <c r="G942" s="50">
        <v>43077.0</v>
      </c>
      <c r="H942" s="51">
        <v>43084.50902777778</v>
      </c>
      <c r="I942" s="52">
        <v>0.0</v>
      </c>
      <c r="J942" s="53"/>
      <c r="K942" s="53"/>
    </row>
    <row r="943">
      <c r="A943" s="48" t="s">
        <v>3409</v>
      </c>
      <c r="B943" s="49" t="s">
        <v>3411</v>
      </c>
      <c r="C943" s="49" t="s">
        <v>1676</v>
      </c>
      <c r="D943" s="49" t="s">
        <v>140</v>
      </c>
      <c r="E943" s="49" t="s">
        <v>245</v>
      </c>
      <c r="F943" s="50">
        <v>43073.0</v>
      </c>
      <c r="G943" s="50">
        <v>43077.0</v>
      </c>
      <c r="H943" s="51">
        <v>43266.700694444444</v>
      </c>
      <c r="I943" s="52">
        <v>1.0</v>
      </c>
      <c r="J943" s="53"/>
      <c r="K943" s="53"/>
    </row>
    <row r="944">
      <c r="A944" s="48" t="s">
        <v>3414</v>
      </c>
      <c r="B944" s="49" t="s">
        <v>3415</v>
      </c>
      <c r="C944" s="49" t="s">
        <v>452</v>
      </c>
      <c r="D944" s="49" t="s">
        <v>140</v>
      </c>
      <c r="E944" s="49" t="s">
        <v>245</v>
      </c>
      <c r="F944" s="50">
        <v>43073.0</v>
      </c>
      <c r="G944" s="50">
        <v>43073.0</v>
      </c>
      <c r="H944" s="51">
        <v>43266.700694444444</v>
      </c>
      <c r="I944" s="52">
        <v>1.0</v>
      </c>
      <c r="J944" s="53"/>
      <c r="K944" s="53"/>
    </row>
    <row r="945">
      <c r="A945" s="48" t="s">
        <v>3418</v>
      </c>
      <c r="B945" s="49" t="s">
        <v>3312</v>
      </c>
      <c r="C945" s="49" t="s">
        <v>257</v>
      </c>
      <c r="D945" s="49" t="s">
        <v>153</v>
      </c>
      <c r="E945" s="49" t="s">
        <v>245</v>
      </c>
      <c r="F945" s="50">
        <v>43073.0</v>
      </c>
      <c r="G945" s="50">
        <v>43073.0</v>
      </c>
      <c r="H945" s="51">
        <v>43073.67847222222</v>
      </c>
      <c r="I945" s="52">
        <v>1.0</v>
      </c>
      <c r="J945" s="53"/>
      <c r="K945" s="53"/>
    </row>
    <row r="946">
      <c r="A946" s="49" t="s">
        <v>3421</v>
      </c>
      <c r="B946" s="49" t="s">
        <v>3423</v>
      </c>
      <c r="C946" s="49" t="s">
        <v>203</v>
      </c>
      <c r="D946" s="49" t="s">
        <v>148</v>
      </c>
      <c r="E946" s="49" t="s">
        <v>245</v>
      </c>
      <c r="F946" s="50">
        <v>43073.0</v>
      </c>
      <c r="G946" s="50">
        <v>43077.0</v>
      </c>
      <c r="H946" s="51">
        <v>43073.85208333333</v>
      </c>
      <c r="I946" s="52">
        <v>1.0</v>
      </c>
      <c r="J946" s="53"/>
      <c r="K946" s="53"/>
    </row>
    <row r="947">
      <c r="A947" s="49" t="s">
        <v>3426</v>
      </c>
      <c r="B947" s="49" t="s">
        <v>3427</v>
      </c>
      <c r="C947" s="49" t="s">
        <v>221</v>
      </c>
      <c r="D947" s="49" t="s">
        <v>153</v>
      </c>
      <c r="E947" s="49" t="s">
        <v>245</v>
      </c>
      <c r="F947" s="50">
        <v>43073.0</v>
      </c>
      <c r="G947" s="50">
        <v>43073.0</v>
      </c>
      <c r="H947" s="51">
        <v>43073.67916666667</v>
      </c>
      <c r="I947" s="52">
        <v>1.0</v>
      </c>
      <c r="J947" s="53"/>
      <c r="K947" s="53"/>
    </row>
    <row r="948">
      <c r="A948" s="49" t="s">
        <v>3432</v>
      </c>
      <c r="B948" s="49" t="s">
        <v>3316</v>
      </c>
      <c r="C948" s="49" t="s">
        <v>221</v>
      </c>
      <c r="D948" s="49" t="s">
        <v>153</v>
      </c>
      <c r="E948" s="49" t="s">
        <v>245</v>
      </c>
      <c r="F948" s="50">
        <v>43073.0</v>
      </c>
      <c r="G948" s="50">
        <v>43073.0</v>
      </c>
      <c r="H948" s="51">
        <v>43073.67916666667</v>
      </c>
      <c r="I948" s="52">
        <v>1.0</v>
      </c>
      <c r="J948" s="53"/>
      <c r="K948" s="53"/>
    </row>
    <row r="949">
      <c r="A949" s="49" t="s">
        <v>3436</v>
      </c>
      <c r="B949" s="49" t="s">
        <v>2910</v>
      </c>
      <c r="C949" s="49" t="s">
        <v>257</v>
      </c>
      <c r="D949" s="49" t="s">
        <v>153</v>
      </c>
      <c r="E949" s="49" t="s">
        <v>245</v>
      </c>
      <c r="F949" s="50">
        <v>43073.0</v>
      </c>
      <c r="G949" s="50">
        <v>43073.0</v>
      </c>
      <c r="H949" s="51">
        <v>43073.67916666667</v>
      </c>
      <c r="I949" s="52">
        <v>1.0</v>
      </c>
      <c r="J949" s="53"/>
      <c r="K949" s="53"/>
    </row>
    <row r="950">
      <c r="A950" s="49" t="s">
        <v>3442</v>
      </c>
      <c r="B950" s="49" t="s">
        <v>3443</v>
      </c>
      <c r="C950" s="49" t="s">
        <v>203</v>
      </c>
      <c r="D950" s="49" t="s">
        <v>148</v>
      </c>
      <c r="E950" s="49" t="s">
        <v>245</v>
      </c>
      <c r="F950" s="50">
        <v>43073.0</v>
      </c>
      <c r="G950" s="50">
        <v>43073.0</v>
      </c>
      <c r="H950" s="51">
        <v>43073.791666666664</v>
      </c>
      <c r="I950" s="52">
        <v>1.0</v>
      </c>
      <c r="J950" s="53"/>
      <c r="K950" s="53"/>
    </row>
    <row r="951">
      <c r="A951" s="49" t="s">
        <v>3445</v>
      </c>
      <c r="B951" s="49" t="s">
        <v>3447</v>
      </c>
      <c r="C951" s="49" t="s">
        <v>257</v>
      </c>
      <c r="D951" s="49" t="s">
        <v>140</v>
      </c>
      <c r="E951" s="49" t="s">
        <v>245</v>
      </c>
      <c r="F951" s="50">
        <v>43073.0</v>
      </c>
      <c r="G951" s="50">
        <v>43073.0</v>
      </c>
      <c r="H951" s="51">
        <v>43077.825694444444</v>
      </c>
      <c r="I951" s="52">
        <v>1.0</v>
      </c>
      <c r="J951" s="53"/>
      <c r="K951" s="53"/>
    </row>
    <row r="952">
      <c r="A952" s="48" t="s">
        <v>3451</v>
      </c>
      <c r="B952" s="49" t="s">
        <v>3452</v>
      </c>
      <c r="C952" s="49" t="s">
        <v>203</v>
      </c>
      <c r="D952" s="49" t="s">
        <v>148</v>
      </c>
      <c r="E952" s="49" t="s">
        <v>245</v>
      </c>
      <c r="F952" s="50">
        <v>43070.0</v>
      </c>
      <c r="G952" s="50">
        <v>43077.0</v>
      </c>
      <c r="H952" s="51">
        <v>43074.745833333334</v>
      </c>
      <c r="I952" s="52">
        <v>1.0</v>
      </c>
      <c r="J952" s="53"/>
      <c r="K952" s="53"/>
    </row>
    <row r="953">
      <c r="A953" s="48" t="s">
        <v>3454</v>
      </c>
      <c r="B953" s="49" t="s">
        <v>3455</v>
      </c>
      <c r="C953" s="49" t="s">
        <v>243</v>
      </c>
      <c r="D953" s="49" t="s">
        <v>148</v>
      </c>
      <c r="E953" s="49" t="s">
        <v>245</v>
      </c>
      <c r="F953" s="50">
        <v>43070.0</v>
      </c>
      <c r="G953" s="50">
        <v>43070.0</v>
      </c>
      <c r="H953" s="51">
        <v>43070.65347222222</v>
      </c>
      <c r="I953" s="52">
        <v>1.0</v>
      </c>
      <c r="J953" s="53"/>
      <c r="K953" s="53"/>
    </row>
    <row r="954">
      <c r="A954" s="48" t="s">
        <v>3458</v>
      </c>
      <c r="B954" s="49" t="s">
        <v>3189</v>
      </c>
      <c r="C954" s="49" t="s">
        <v>257</v>
      </c>
      <c r="D954" s="49" t="s">
        <v>153</v>
      </c>
      <c r="E954" s="49" t="s">
        <v>245</v>
      </c>
      <c r="F954" s="50">
        <v>43070.0</v>
      </c>
      <c r="G954" s="50">
        <v>43070.0</v>
      </c>
      <c r="H954" s="51">
        <v>43070.76111111111</v>
      </c>
      <c r="I954" s="52">
        <v>1.0</v>
      </c>
      <c r="J954" s="53"/>
      <c r="K954" s="53"/>
    </row>
    <row r="955">
      <c r="A955" s="48" t="s">
        <v>3461</v>
      </c>
      <c r="B955" s="49" t="s">
        <v>3193</v>
      </c>
      <c r="C955" s="49" t="s">
        <v>221</v>
      </c>
      <c r="D955" s="49" t="s">
        <v>153</v>
      </c>
      <c r="E955" s="49" t="s">
        <v>245</v>
      </c>
      <c r="F955" s="50">
        <v>43070.0</v>
      </c>
      <c r="G955" s="50">
        <v>43070.0</v>
      </c>
      <c r="H955" s="51">
        <v>43070.76180555556</v>
      </c>
      <c r="I955" s="52">
        <v>1.0</v>
      </c>
      <c r="J955" s="53"/>
      <c r="K955" s="53"/>
    </row>
    <row r="956">
      <c r="A956" s="48" t="s">
        <v>3464</v>
      </c>
      <c r="B956" s="49" t="s">
        <v>3465</v>
      </c>
      <c r="C956" s="49" t="s">
        <v>243</v>
      </c>
      <c r="D956" s="49" t="s">
        <v>140</v>
      </c>
      <c r="E956" s="49" t="s">
        <v>245</v>
      </c>
      <c r="F956" s="50">
        <v>43070.0</v>
      </c>
      <c r="G956" s="50">
        <v>43070.0</v>
      </c>
      <c r="H956" s="51">
        <v>43070.96111111111</v>
      </c>
      <c r="I956" s="52">
        <v>1.0</v>
      </c>
      <c r="J956" s="53"/>
      <c r="K956" s="53"/>
    </row>
    <row r="957">
      <c r="A957" s="48" t="s">
        <v>3468</v>
      </c>
      <c r="B957" s="49" t="s">
        <v>3470</v>
      </c>
      <c r="C957" s="49" t="s">
        <v>257</v>
      </c>
      <c r="D957" s="49" t="s">
        <v>140</v>
      </c>
      <c r="E957" s="49" t="s">
        <v>245</v>
      </c>
      <c r="F957" s="50">
        <v>43070.0</v>
      </c>
      <c r="G957" s="50">
        <v>43070.0</v>
      </c>
      <c r="H957" s="51">
        <v>43070.96041666667</v>
      </c>
      <c r="I957" s="52">
        <v>1.0</v>
      </c>
      <c r="J957" s="53"/>
      <c r="K957" s="53"/>
    </row>
    <row r="958">
      <c r="A958" s="48" t="s">
        <v>3474</v>
      </c>
      <c r="B958" s="49" t="s">
        <v>3475</v>
      </c>
      <c r="C958" s="49" t="s">
        <v>452</v>
      </c>
      <c r="D958" s="49" t="s">
        <v>140</v>
      </c>
      <c r="E958" s="49" t="s">
        <v>245</v>
      </c>
      <c r="F958" s="50">
        <v>43070.0</v>
      </c>
      <c r="G958" s="50">
        <v>43070.0</v>
      </c>
      <c r="H958" s="51">
        <v>43070.972916666666</v>
      </c>
      <c r="I958" s="52">
        <v>1.0</v>
      </c>
      <c r="J958" s="53"/>
      <c r="K958" s="53"/>
    </row>
    <row r="959">
      <c r="A959" s="48" t="s">
        <v>3477</v>
      </c>
      <c r="B959" s="49" t="s">
        <v>3312</v>
      </c>
      <c r="C959" s="49" t="s">
        <v>257</v>
      </c>
      <c r="D959" s="49" t="s">
        <v>153</v>
      </c>
      <c r="E959" s="49" t="s">
        <v>245</v>
      </c>
      <c r="F959" s="50">
        <v>43070.0</v>
      </c>
      <c r="G959" s="50">
        <v>43070.0</v>
      </c>
      <c r="H959" s="51">
        <v>43070.76111111111</v>
      </c>
      <c r="I959" s="52">
        <v>1.0</v>
      </c>
      <c r="J959" s="53"/>
      <c r="K959" s="53"/>
    </row>
    <row r="960">
      <c r="A960" s="48" t="s">
        <v>3481</v>
      </c>
      <c r="B960" s="49" t="s">
        <v>3482</v>
      </c>
      <c r="C960" s="49" t="s">
        <v>243</v>
      </c>
      <c r="D960" s="49" t="s">
        <v>148</v>
      </c>
      <c r="E960" s="49" t="s">
        <v>204</v>
      </c>
      <c r="F960" s="50">
        <v>43069.0</v>
      </c>
      <c r="G960" s="50">
        <v>43069.0</v>
      </c>
      <c r="H960" s="51">
        <v>43069.65416666667</v>
      </c>
      <c r="I960" s="52">
        <v>0.0</v>
      </c>
      <c r="J960" s="53"/>
      <c r="K960" s="53"/>
    </row>
    <row r="961">
      <c r="A961" s="48" t="s">
        <v>3485</v>
      </c>
      <c r="B961" s="49" t="s">
        <v>3486</v>
      </c>
      <c r="C961" s="49" t="s">
        <v>243</v>
      </c>
      <c r="D961" s="49" t="s">
        <v>148</v>
      </c>
      <c r="E961" s="49" t="s">
        <v>245</v>
      </c>
      <c r="F961" s="50">
        <v>43069.0</v>
      </c>
      <c r="G961" s="50">
        <v>43079.0</v>
      </c>
      <c r="H961" s="51">
        <v>43070.393055555556</v>
      </c>
      <c r="I961" s="52">
        <v>1.0</v>
      </c>
      <c r="J961" s="53"/>
      <c r="K961" s="53"/>
    </row>
    <row r="962">
      <c r="A962" s="48" t="s">
        <v>3489</v>
      </c>
      <c r="B962" s="49" t="s">
        <v>3490</v>
      </c>
      <c r="C962" s="49" t="s">
        <v>243</v>
      </c>
      <c r="D962" s="49" t="s">
        <v>148</v>
      </c>
      <c r="E962" s="49" t="s">
        <v>245</v>
      </c>
      <c r="F962" s="50">
        <v>43069.0</v>
      </c>
      <c r="G962" s="50">
        <v>43077.0</v>
      </c>
      <c r="H962" s="51">
        <v>43069.731944444444</v>
      </c>
      <c r="I962" s="52">
        <v>1.0</v>
      </c>
      <c r="J962" s="53"/>
      <c r="K962" s="53"/>
    </row>
    <row r="963">
      <c r="A963" s="48" t="s">
        <v>3493</v>
      </c>
      <c r="B963" s="49" t="s">
        <v>3494</v>
      </c>
      <c r="C963" s="49" t="s">
        <v>243</v>
      </c>
      <c r="D963" s="49" t="s">
        <v>148</v>
      </c>
      <c r="E963" s="49" t="s">
        <v>245</v>
      </c>
      <c r="F963" s="50">
        <v>43069.0</v>
      </c>
      <c r="G963" s="50">
        <v>43072.0</v>
      </c>
      <c r="H963" s="51">
        <v>43069.6625</v>
      </c>
      <c r="I963" s="52">
        <v>1.0</v>
      </c>
      <c r="J963" s="53"/>
      <c r="K963" s="53"/>
    </row>
    <row r="964">
      <c r="A964" s="48" t="s">
        <v>3497</v>
      </c>
      <c r="B964" s="49" t="s">
        <v>3499</v>
      </c>
      <c r="C964" s="49" t="s">
        <v>238</v>
      </c>
      <c r="D964" s="49" t="s">
        <v>153</v>
      </c>
      <c r="E964" s="49" t="s">
        <v>245</v>
      </c>
      <c r="F964" s="50">
        <v>43069.0</v>
      </c>
      <c r="G964" s="50">
        <v>43069.0</v>
      </c>
      <c r="H964" s="51">
        <v>43087.467361111114</v>
      </c>
      <c r="I964" s="52">
        <v>1.0</v>
      </c>
      <c r="J964" s="53"/>
      <c r="K964" s="53"/>
    </row>
    <row r="965">
      <c r="A965" s="48" t="s">
        <v>3501</v>
      </c>
      <c r="B965" s="49" t="s">
        <v>3502</v>
      </c>
      <c r="C965" s="49" t="s">
        <v>203</v>
      </c>
      <c r="D965" s="49" t="s">
        <v>148</v>
      </c>
      <c r="E965" s="49" t="s">
        <v>245</v>
      </c>
      <c r="F965" s="50">
        <v>43069.0</v>
      </c>
      <c r="G965" s="50">
        <v>43069.0</v>
      </c>
      <c r="H965" s="51">
        <v>43070.393055555556</v>
      </c>
      <c r="I965" s="52">
        <v>1.0</v>
      </c>
      <c r="J965" s="53"/>
      <c r="K965" s="53"/>
    </row>
    <row r="966">
      <c r="A966" s="48" t="s">
        <v>3505</v>
      </c>
      <c r="B966" s="49" t="s">
        <v>3506</v>
      </c>
      <c r="C966" s="49" t="s">
        <v>203</v>
      </c>
      <c r="D966" s="49" t="s">
        <v>148</v>
      </c>
      <c r="E966" s="49" t="s">
        <v>245</v>
      </c>
      <c r="F966" s="50">
        <v>43069.0</v>
      </c>
      <c r="G966" s="50">
        <v>43069.0</v>
      </c>
      <c r="H966" s="51">
        <v>43070.39375</v>
      </c>
      <c r="I966" s="52">
        <v>1.0</v>
      </c>
      <c r="J966" s="53"/>
      <c r="K966" s="53"/>
    </row>
    <row r="967">
      <c r="A967" s="48" t="s">
        <v>3509</v>
      </c>
      <c r="B967" s="49" t="s">
        <v>3510</v>
      </c>
      <c r="C967" s="49" t="s">
        <v>243</v>
      </c>
      <c r="D967" s="49" t="s">
        <v>140</v>
      </c>
      <c r="E967" s="49" t="s">
        <v>245</v>
      </c>
      <c r="F967" s="50">
        <v>43069.0</v>
      </c>
      <c r="G967" s="50">
        <v>43069.0</v>
      </c>
      <c r="H967" s="51">
        <v>43070.91875</v>
      </c>
      <c r="I967" s="52">
        <v>1.0</v>
      </c>
      <c r="J967" s="53"/>
      <c r="K967" s="53"/>
    </row>
    <row r="968">
      <c r="A968" s="48" t="s">
        <v>3512</v>
      </c>
      <c r="B968" s="49" t="s">
        <v>3513</v>
      </c>
      <c r="C968" s="49" t="s">
        <v>221</v>
      </c>
      <c r="D968" s="49" t="s">
        <v>140</v>
      </c>
      <c r="E968" s="49" t="s">
        <v>245</v>
      </c>
      <c r="F968" s="50">
        <v>43069.0</v>
      </c>
      <c r="G968" s="50">
        <v>43069.0</v>
      </c>
      <c r="H968" s="51">
        <v>43070.94305555556</v>
      </c>
      <c r="I968" s="52">
        <v>1.0</v>
      </c>
      <c r="J968" s="53"/>
      <c r="K968" s="53"/>
    </row>
    <row r="969">
      <c r="A969" s="48" t="s">
        <v>3516</v>
      </c>
      <c r="B969" s="49" t="s">
        <v>3517</v>
      </c>
      <c r="C969" s="49" t="s">
        <v>257</v>
      </c>
      <c r="D969" s="49" t="s">
        <v>140</v>
      </c>
      <c r="E969" s="49" t="s">
        <v>245</v>
      </c>
      <c r="F969" s="50">
        <v>43069.0</v>
      </c>
      <c r="G969" s="50">
        <v>43069.0</v>
      </c>
      <c r="H969" s="51">
        <v>43070.959027777775</v>
      </c>
      <c r="I969" s="52">
        <v>1.0</v>
      </c>
      <c r="J969" s="53"/>
      <c r="K969" s="53"/>
    </row>
    <row r="970">
      <c r="A970" s="48" t="s">
        <v>3519</v>
      </c>
      <c r="B970" s="49" t="s">
        <v>3520</v>
      </c>
      <c r="C970" s="49" t="s">
        <v>257</v>
      </c>
      <c r="D970" s="49" t="s">
        <v>140</v>
      </c>
      <c r="E970" s="49" t="s">
        <v>245</v>
      </c>
      <c r="F970" s="50">
        <v>43069.0</v>
      </c>
      <c r="G970" s="50">
        <v>43069.0</v>
      </c>
      <c r="H970" s="51">
        <v>43070.95972222222</v>
      </c>
      <c r="I970" s="52">
        <v>1.0</v>
      </c>
      <c r="J970" s="53"/>
      <c r="K970" s="53"/>
    </row>
    <row r="971">
      <c r="A971" s="48" t="s">
        <v>3523</v>
      </c>
      <c r="B971" s="49" t="s">
        <v>3524</v>
      </c>
      <c r="C971" s="49" t="s">
        <v>243</v>
      </c>
      <c r="D971" s="49" t="s">
        <v>140</v>
      </c>
      <c r="E971" s="49" t="s">
        <v>245</v>
      </c>
      <c r="F971" s="50">
        <v>43069.0</v>
      </c>
      <c r="G971" s="50">
        <v>43069.0</v>
      </c>
      <c r="H971" s="51">
        <v>43073.853472222225</v>
      </c>
      <c r="I971" s="52">
        <v>1.0</v>
      </c>
      <c r="J971" s="53"/>
      <c r="K971" s="53"/>
    </row>
    <row r="972">
      <c r="A972" s="48" t="s">
        <v>3526</v>
      </c>
      <c r="B972" s="49" t="s">
        <v>3527</v>
      </c>
      <c r="C972" s="49" t="s">
        <v>243</v>
      </c>
      <c r="D972" s="49" t="s">
        <v>140</v>
      </c>
      <c r="E972" s="49" t="s">
        <v>245</v>
      </c>
      <c r="F972" s="50">
        <v>43068.0</v>
      </c>
      <c r="G972" s="50">
        <v>43070.0</v>
      </c>
      <c r="H972" s="51">
        <v>43073.85277777778</v>
      </c>
      <c r="I972" s="52">
        <v>1.0</v>
      </c>
      <c r="J972" s="53"/>
      <c r="K972" s="53"/>
    </row>
    <row r="973">
      <c r="A973" s="48" t="s">
        <v>3531</v>
      </c>
      <c r="B973" s="49" t="s">
        <v>3533</v>
      </c>
      <c r="C973" s="49" t="s">
        <v>257</v>
      </c>
      <c r="D973" s="49" t="s">
        <v>153</v>
      </c>
      <c r="E973" s="49" t="s">
        <v>245</v>
      </c>
      <c r="F973" s="50">
        <v>43068.0</v>
      </c>
      <c r="G973" s="50">
        <v>43068.0</v>
      </c>
      <c r="H973" s="51">
        <v>43069.50486111111</v>
      </c>
      <c r="I973" s="52">
        <v>1.0</v>
      </c>
      <c r="J973" s="53"/>
      <c r="K973" s="53"/>
    </row>
    <row r="974">
      <c r="A974" s="48" t="s">
        <v>3537</v>
      </c>
      <c r="B974" s="49" t="s">
        <v>3538</v>
      </c>
      <c r="C974" s="49" t="s">
        <v>221</v>
      </c>
      <c r="D974" s="49" t="s">
        <v>153</v>
      </c>
      <c r="E974" s="49" t="s">
        <v>245</v>
      </c>
      <c r="F974" s="50">
        <v>43068.0</v>
      </c>
      <c r="G974" s="50">
        <v>43068.0</v>
      </c>
      <c r="H974" s="51">
        <v>43069.504166666666</v>
      </c>
      <c r="I974" s="52">
        <v>1.0</v>
      </c>
      <c r="J974" s="53"/>
      <c r="K974" s="53"/>
    </row>
    <row r="975">
      <c r="A975" s="48" t="s">
        <v>3540</v>
      </c>
      <c r="B975" s="49" t="s">
        <v>3541</v>
      </c>
      <c r="C975" s="49" t="s">
        <v>379</v>
      </c>
      <c r="D975" s="49" t="s">
        <v>153</v>
      </c>
      <c r="E975" s="49" t="s">
        <v>245</v>
      </c>
      <c r="F975" s="50">
        <v>43068.0</v>
      </c>
      <c r="G975" s="50">
        <v>43068.0</v>
      </c>
      <c r="H975" s="51">
        <v>43069.50486111111</v>
      </c>
      <c r="I975" s="52">
        <v>1.0</v>
      </c>
      <c r="J975" s="53"/>
      <c r="K975" s="53"/>
    </row>
    <row r="976">
      <c r="A976" s="48" t="s">
        <v>3545</v>
      </c>
      <c r="B976" s="49" t="s">
        <v>3546</v>
      </c>
      <c r="C976" s="49" t="s">
        <v>257</v>
      </c>
      <c r="D976" s="49" t="s">
        <v>140</v>
      </c>
      <c r="E976" s="49" t="s">
        <v>245</v>
      </c>
      <c r="F976" s="50">
        <v>43068.0</v>
      </c>
      <c r="G976" s="50">
        <v>43068.0</v>
      </c>
      <c r="H976" s="51">
        <v>43084.78958333333</v>
      </c>
      <c r="I976" s="52">
        <v>1.0</v>
      </c>
      <c r="J976" s="53"/>
      <c r="K976" s="53"/>
    </row>
    <row r="977">
      <c r="A977" s="48" t="s">
        <v>3549</v>
      </c>
      <c r="B977" s="49" t="s">
        <v>3551</v>
      </c>
      <c r="C977" s="49" t="s">
        <v>257</v>
      </c>
      <c r="D977" s="49" t="s">
        <v>140</v>
      </c>
      <c r="E977" s="49" t="s">
        <v>245</v>
      </c>
      <c r="F977" s="50">
        <v>43068.0</v>
      </c>
      <c r="G977" s="50">
        <v>43068.0</v>
      </c>
      <c r="H977" s="51">
        <v>43070.95138888889</v>
      </c>
      <c r="I977" s="52">
        <v>1.0</v>
      </c>
      <c r="J977" s="53"/>
      <c r="K977" s="53"/>
    </row>
    <row r="978">
      <c r="A978" s="48" t="s">
        <v>3553</v>
      </c>
      <c r="B978" s="49" t="s">
        <v>3554</v>
      </c>
      <c r="C978" s="49" t="s">
        <v>243</v>
      </c>
      <c r="D978" s="49" t="s">
        <v>140</v>
      </c>
      <c r="E978" s="49" t="s">
        <v>245</v>
      </c>
      <c r="F978" s="50">
        <v>43068.0</v>
      </c>
      <c r="G978" s="50">
        <v>43068.0</v>
      </c>
      <c r="H978" s="51">
        <v>43070.955555555556</v>
      </c>
      <c r="I978" s="52">
        <v>1.0</v>
      </c>
      <c r="J978" s="53"/>
      <c r="K978" s="53"/>
    </row>
    <row r="979">
      <c r="A979" s="48" t="s">
        <v>3556</v>
      </c>
      <c r="B979" s="49" t="s">
        <v>3557</v>
      </c>
      <c r="C979" s="49" t="s">
        <v>243</v>
      </c>
      <c r="D979" s="49" t="s">
        <v>148</v>
      </c>
      <c r="E979" s="49" t="s">
        <v>245</v>
      </c>
      <c r="F979" s="50">
        <v>43067.0</v>
      </c>
      <c r="G979" s="50">
        <v>43071.0</v>
      </c>
      <c r="H979" s="51">
        <v>43067.649305555555</v>
      </c>
      <c r="I979" s="52">
        <v>1.0</v>
      </c>
      <c r="J979" s="53"/>
      <c r="K979" s="53"/>
    </row>
    <row r="980">
      <c r="A980" s="48" t="s">
        <v>3559</v>
      </c>
      <c r="B980" s="49" t="s">
        <v>3560</v>
      </c>
      <c r="C980" s="49" t="s">
        <v>243</v>
      </c>
      <c r="D980" s="49" t="s">
        <v>148</v>
      </c>
      <c r="E980" s="49" t="s">
        <v>245</v>
      </c>
      <c r="F980" s="50">
        <v>43067.0</v>
      </c>
      <c r="G980" s="50">
        <v>43070.0</v>
      </c>
      <c r="H980" s="51">
        <v>43077.50208333333</v>
      </c>
      <c r="I980" s="52">
        <v>1.0</v>
      </c>
      <c r="J980" s="53"/>
      <c r="K980" s="53"/>
    </row>
    <row r="981">
      <c r="A981" s="48" t="s">
        <v>3562</v>
      </c>
      <c r="B981" s="49" t="s">
        <v>3563</v>
      </c>
      <c r="C981" s="49" t="s">
        <v>243</v>
      </c>
      <c r="D981" s="49" t="s">
        <v>148</v>
      </c>
      <c r="E981" s="49" t="s">
        <v>245</v>
      </c>
      <c r="F981" s="50">
        <v>43067.0</v>
      </c>
      <c r="G981" s="50">
        <v>43067.0</v>
      </c>
      <c r="H981" s="51">
        <v>43067.68125</v>
      </c>
      <c r="I981" s="52">
        <v>1.0</v>
      </c>
      <c r="J981" s="53"/>
      <c r="K981" s="53"/>
    </row>
    <row r="982">
      <c r="A982" s="48" t="s">
        <v>3564</v>
      </c>
      <c r="B982" s="49" t="s">
        <v>3566</v>
      </c>
      <c r="C982" s="49" t="s">
        <v>243</v>
      </c>
      <c r="D982" s="49" t="s">
        <v>140</v>
      </c>
      <c r="E982" s="49" t="s">
        <v>245</v>
      </c>
      <c r="F982" s="50">
        <v>43067.0</v>
      </c>
      <c r="G982" s="50">
        <v>43067.0</v>
      </c>
      <c r="H982" s="51">
        <v>43070.95277777778</v>
      </c>
      <c r="I982" s="52">
        <v>1.0</v>
      </c>
      <c r="J982" s="53"/>
      <c r="K982" s="53"/>
    </row>
    <row r="983">
      <c r="A983" s="48" t="s">
        <v>3571</v>
      </c>
      <c r="B983" s="49" t="s">
        <v>3573</v>
      </c>
      <c r="C983" s="49" t="s">
        <v>243</v>
      </c>
      <c r="D983" s="49" t="s">
        <v>148</v>
      </c>
      <c r="E983" s="49" t="s">
        <v>245</v>
      </c>
      <c r="F983" s="50">
        <v>43067.0</v>
      </c>
      <c r="G983" s="50">
        <v>43077.0</v>
      </c>
      <c r="H983" s="51">
        <v>43179.50347222222</v>
      </c>
      <c r="I983" s="52">
        <v>1.0</v>
      </c>
      <c r="J983" s="53"/>
      <c r="K983" s="53"/>
    </row>
    <row r="984">
      <c r="A984" s="48" t="s">
        <v>3579</v>
      </c>
      <c r="B984" s="49" t="s">
        <v>3580</v>
      </c>
      <c r="C984" s="49" t="s">
        <v>243</v>
      </c>
      <c r="D984" s="49" t="s">
        <v>148</v>
      </c>
      <c r="E984" s="49" t="s">
        <v>245</v>
      </c>
      <c r="F984" s="50">
        <v>43067.0</v>
      </c>
      <c r="G984" s="50">
        <v>43077.0</v>
      </c>
      <c r="H984" s="51">
        <v>43179.50347222222</v>
      </c>
      <c r="I984" s="52">
        <v>1.0</v>
      </c>
      <c r="J984" s="53"/>
      <c r="K984" s="53"/>
    </row>
    <row r="985">
      <c r="A985" s="48" t="s">
        <v>3584</v>
      </c>
      <c r="B985" s="49" t="s">
        <v>3586</v>
      </c>
      <c r="C985" s="49" t="s">
        <v>243</v>
      </c>
      <c r="D985" s="49" t="s">
        <v>148</v>
      </c>
      <c r="E985" s="49" t="s">
        <v>204</v>
      </c>
      <c r="F985" s="50">
        <v>43066.0</v>
      </c>
      <c r="G985" s="50">
        <v>43070.0</v>
      </c>
      <c r="H985" s="51">
        <v>43063.495833333334</v>
      </c>
      <c r="I985" s="52">
        <v>0.0</v>
      </c>
      <c r="J985" s="53"/>
      <c r="K985" s="53"/>
    </row>
    <row r="986">
      <c r="A986" s="48" t="s">
        <v>3588</v>
      </c>
      <c r="B986" s="49" t="s">
        <v>3589</v>
      </c>
      <c r="C986" s="49" t="s">
        <v>243</v>
      </c>
      <c r="D986" s="49" t="s">
        <v>148</v>
      </c>
      <c r="E986" s="49" t="s">
        <v>204</v>
      </c>
      <c r="F986" s="50">
        <v>43066.0</v>
      </c>
      <c r="G986" s="50">
        <v>43070.0</v>
      </c>
      <c r="H986" s="51">
        <v>43063.49652777778</v>
      </c>
      <c r="I986" s="52">
        <v>0.0</v>
      </c>
      <c r="J986" s="53"/>
      <c r="K986" s="53"/>
    </row>
    <row r="987">
      <c r="A987" s="48" t="s">
        <v>3591</v>
      </c>
      <c r="B987" s="49" t="s">
        <v>3592</v>
      </c>
      <c r="C987" s="49" t="s">
        <v>243</v>
      </c>
      <c r="D987" s="49" t="s">
        <v>148</v>
      </c>
      <c r="E987" s="49" t="s">
        <v>204</v>
      </c>
      <c r="F987" s="50">
        <v>43066.0</v>
      </c>
      <c r="G987" s="50">
        <v>43070.0</v>
      </c>
      <c r="H987" s="51">
        <v>43063.49722222222</v>
      </c>
      <c r="I987" s="52">
        <v>0.0</v>
      </c>
      <c r="J987" s="53"/>
      <c r="K987" s="53"/>
    </row>
    <row r="988">
      <c r="A988" s="48" t="s">
        <v>3595</v>
      </c>
      <c r="B988" s="49" t="s">
        <v>3597</v>
      </c>
      <c r="C988" s="49" t="s">
        <v>243</v>
      </c>
      <c r="D988" s="49" t="s">
        <v>140</v>
      </c>
      <c r="E988" s="49" t="s">
        <v>245</v>
      </c>
      <c r="F988" s="50">
        <v>43066.0</v>
      </c>
      <c r="G988" s="50">
        <v>43077.0</v>
      </c>
      <c r="H988" s="51">
        <v>43266.700694444444</v>
      </c>
      <c r="I988" s="52">
        <v>1.0</v>
      </c>
      <c r="J988" s="53"/>
      <c r="K988" s="53"/>
    </row>
    <row r="989">
      <c r="A989" s="48" t="s">
        <v>3600</v>
      </c>
      <c r="B989" s="49" t="s">
        <v>3602</v>
      </c>
      <c r="C989" s="49" t="s">
        <v>243</v>
      </c>
      <c r="D989" s="49" t="s">
        <v>148</v>
      </c>
      <c r="E989" s="49" t="s">
        <v>245</v>
      </c>
      <c r="F989" s="50">
        <v>43066.0</v>
      </c>
      <c r="G989" s="50">
        <v>43076.0</v>
      </c>
      <c r="H989" s="51">
        <v>43066.864583333336</v>
      </c>
      <c r="I989" s="52">
        <v>1.0</v>
      </c>
      <c r="J989" s="53"/>
      <c r="K989" s="53"/>
    </row>
    <row r="990">
      <c r="A990" s="48" t="s">
        <v>3606</v>
      </c>
      <c r="B990" s="49" t="s">
        <v>3607</v>
      </c>
      <c r="C990" s="49" t="s">
        <v>243</v>
      </c>
      <c r="D990" s="49" t="s">
        <v>148</v>
      </c>
      <c r="E990" s="49" t="s">
        <v>245</v>
      </c>
      <c r="F990" s="50">
        <v>43066.0</v>
      </c>
      <c r="G990" s="50">
        <v>43066.0</v>
      </c>
      <c r="H990" s="51">
        <v>43066.87152777778</v>
      </c>
      <c r="I990" s="52">
        <v>1.0</v>
      </c>
      <c r="J990" s="53"/>
      <c r="K990" s="53"/>
    </row>
    <row r="991">
      <c r="A991" s="48" t="s">
        <v>3611</v>
      </c>
      <c r="B991" s="49" t="s">
        <v>3613</v>
      </c>
      <c r="C991" s="49" t="s">
        <v>243</v>
      </c>
      <c r="D991" s="49" t="s">
        <v>148</v>
      </c>
      <c r="E991" s="49" t="s">
        <v>245</v>
      </c>
      <c r="F991" s="50">
        <v>43066.0</v>
      </c>
      <c r="G991" s="50">
        <v>43066.0</v>
      </c>
      <c r="H991" s="51">
        <v>43066.87152777778</v>
      </c>
      <c r="I991" s="52">
        <v>1.0</v>
      </c>
      <c r="J991" s="53"/>
      <c r="K991" s="53"/>
    </row>
    <row r="992">
      <c r="A992" s="48" t="s">
        <v>3616</v>
      </c>
      <c r="B992" s="49" t="s">
        <v>3618</v>
      </c>
      <c r="C992" s="49" t="s">
        <v>243</v>
      </c>
      <c r="D992" s="49" t="s">
        <v>148</v>
      </c>
      <c r="E992" s="49" t="s">
        <v>245</v>
      </c>
      <c r="F992" s="50">
        <v>43066.0</v>
      </c>
      <c r="G992" s="50">
        <v>43066.0</v>
      </c>
      <c r="H992" s="51">
        <v>43066.87152777778</v>
      </c>
      <c r="I992" s="52">
        <v>1.0</v>
      </c>
      <c r="J992" s="53"/>
      <c r="K992" s="53"/>
    </row>
    <row r="993">
      <c r="A993" s="48" t="s">
        <v>3620</v>
      </c>
      <c r="B993" s="49" t="s">
        <v>3621</v>
      </c>
      <c r="C993" s="49" t="s">
        <v>243</v>
      </c>
      <c r="D993" s="49" t="s">
        <v>148</v>
      </c>
      <c r="E993" s="49" t="s">
        <v>245</v>
      </c>
      <c r="F993" s="50">
        <v>43066.0</v>
      </c>
      <c r="G993" s="50">
        <v>43066.0</v>
      </c>
      <c r="H993" s="51">
        <v>43066.87152777778</v>
      </c>
      <c r="I993" s="52">
        <v>1.0</v>
      </c>
      <c r="J993" s="53"/>
      <c r="K993" s="53"/>
    </row>
    <row r="994">
      <c r="A994" s="48" t="s">
        <v>3623</v>
      </c>
      <c r="B994" s="49" t="s">
        <v>3625</v>
      </c>
      <c r="C994" s="49" t="s">
        <v>203</v>
      </c>
      <c r="D994" s="49" t="s">
        <v>148</v>
      </c>
      <c r="E994" s="49" t="s">
        <v>245</v>
      </c>
      <c r="F994" s="50">
        <v>43066.0</v>
      </c>
      <c r="G994" s="50">
        <v>43066.0</v>
      </c>
      <c r="H994" s="51">
        <v>43067.47777777778</v>
      </c>
      <c r="I994" s="52">
        <v>1.0</v>
      </c>
      <c r="J994" s="53"/>
      <c r="K994" s="53"/>
    </row>
    <row r="995">
      <c r="A995" s="48" t="s">
        <v>3627</v>
      </c>
      <c r="B995" s="49" t="s">
        <v>3628</v>
      </c>
      <c r="C995" s="49" t="s">
        <v>203</v>
      </c>
      <c r="D995" s="49" t="s">
        <v>148</v>
      </c>
      <c r="E995" s="49" t="s">
        <v>245</v>
      </c>
      <c r="F995" s="50">
        <v>43066.0</v>
      </c>
      <c r="G995" s="50">
        <v>43066.0</v>
      </c>
      <c r="H995" s="51">
        <v>43067.47777777778</v>
      </c>
      <c r="I995" s="52">
        <v>1.0</v>
      </c>
      <c r="J995" s="53"/>
      <c r="K995" s="53"/>
    </row>
    <row r="996">
      <c r="A996" s="48" t="s">
        <v>3631</v>
      </c>
      <c r="B996" s="49" t="s">
        <v>3632</v>
      </c>
      <c r="C996" s="49" t="s">
        <v>203</v>
      </c>
      <c r="D996" s="49" t="s">
        <v>148</v>
      </c>
      <c r="E996" s="49" t="s">
        <v>245</v>
      </c>
      <c r="F996" s="50">
        <v>43066.0</v>
      </c>
      <c r="G996" s="50">
        <v>43066.0</v>
      </c>
      <c r="H996" s="51">
        <v>43067.47777777778</v>
      </c>
      <c r="I996" s="52">
        <v>1.0</v>
      </c>
      <c r="J996" s="53"/>
      <c r="K996" s="53"/>
    </row>
    <row r="997">
      <c r="A997" s="48" t="s">
        <v>3637</v>
      </c>
      <c r="B997" s="49" t="s">
        <v>3638</v>
      </c>
      <c r="C997" s="49" t="s">
        <v>203</v>
      </c>
      <c r="D997" s="49" t="s">
        <v>148</v>
      </c>
      <c r="E997" s="49" t="s">
        <v>245</v>
      </c>
      <c r="F997" s="50">
        <v>43066.0</v>
      </c>
      <c r="G997" s="50">
        <v>43066.0</v>
      </c>
      <c r="H997" s="51">
        <v>43067.47777777778</v>
      </c>
      <c r="I997" s="52">
        <v>1.0</v>
      </c>
      <c r="J997" s="53"/>
      <c r="K997" s="53"/>
    </row>
    <row r="998">
      <c r="A998" s="48" t="s">
        <v>3640</v>
      </c>
      <c r="B998" s="49" t="s">
        <v>3642</v>
      </c>
      <c r="C998" s="49" t="s">
        <v>203</v>
      </c>
      <c r="D998" s="49" t="s">
        <v>148</v>
      </c>
      <c r="E998" s="49" t="s">
        <v>245</v>
      </c>
      <c r="F998" s="50">
        <v>43066.0</v>
      </c>
      <c r="G998" s="50">
        <v>43070.0</v>
      </c>
      <c r="H998" s="51">
        <v>43070.39375</v>
      </c>
      <c r="I998" s="52">
        <v>1.0</v>
      </c>
      <c r="J998" s="53"/>
      <c r="K998" s="53"/>
    </row>
    <row r="999">
      <c r="A999" s="48" t="s">
        <v>3644</v>
      </c>
      <c r="B999" s="49" t="s">
        <v>3646</v>
      </c>
      <c r="C999" s="49" t="s">
        <v>203</v>
      </c>
      <c r="D999" s="49" t="s">
        <v>148</v>
      </c>
      <c r="E999" s="49" t="s">
        <v>245</v>
      </c>
      <c r="F999" s="50">
        <v>43066.0</v>
      </c>
      <c r="G999" s="50">
        <v>43070.0</v>
      </c>
      <c r="H999" s="51">
        <v>43070.39375</v>
      </c>
      <c r="I999" s="52">
        <v>1.0</v>
      </c>
      <c r="J999" s="53"/>
      <c r="K999" s="53"/>
    </row>
    <row r="1000">
      <c r="A1000" s="48" t="s">
        <v>3650</v>
      </c>
      <c r="B1000" s="49" t="s">
        <v>3651</v>
      </c>
      <c r="C1000" s="49" t="s">
        <v>203</v>
      </c>
      <c r="D1000" s="49" t="s">
        <v>148</v>
      </c>
      <c r="E1000" s="49" t="s">
        <v>245</v>
      </c>
      <c r="F1000" s="50">
        <v>43066.0</v>
      </c>
      <c r="G1000" s="50">
        <v>43070.0</v>
      </c>
      <c r="H1000" s="51">
        <v>43087.467361111114</v>
      </c>
      <c r="I1000" s="52">
        <v>1.0</v>
      </c>
      <c r="J1000" s="53"/>
      <c r="K1000" s="53"/>
    </row>
    <row r="1001">
      <c r="A1001" s="48" t="s">
        <v>3655</v>
      </c>
      <c r="B1001" s="49" t="s">
        <v>3656</v>
      </c>
      <c r="C1001" s="49" t="s">
        <v>203</v>
      </c>
      <c r="D1001" s="49" t="s">
        <v>148</v>
      </c>
      <c r="E1001" s="49" t="s">
        <v>245</v>
      </c>
      <c r="F1001" s="50">
        <v>43066.0</v>
      </c>
      <c r="G1001" s="50">
        <v>43070.0</v>
      </c>
      <c r="H1001" s="51">
        <v>43070.39444444444</v>
      </c>
      <c r="I1001" s="52">
        <v>1.0</v>
      </c>
      <c r="J1001" s="53"/>
      <c r="K1001" s="53"/>
    </row>
    <row r="1002">
      <c r="A1002" s="48" t="s">
        <v>3659</v>
      </c>
      <c r="B1002" s="49" t="s">
        <v>3660</v>
      </c>
      <c r="C1002" s="49" t="s">
        <v>379</v>
      </c>
      <c r="D1002" s="49" t="s">
        <v>148</v>
      </c>
      <c r="E1002" s="49" t="s">
        <v>245</v>
      </c>
      <c r="F1002" s="50">
        <v>43066.0</v>
      </c>
      <c r="G1002" s="50">
        <v>43070.0</v>
      </c>
      <c r="H1002" s="51">
        <v>43070.39444444444</v>
      </c>
      <c r="I1002" s="52">
        <v>1.0</v>
      </c>
      <c r="J1002" s="53"/>
      <c r="K1002" s="53"/>
    </row>
    <row r="1003">
      <c r="A1003" s="48" t="s">
        <v>3663</v>
      </c>
      <c r="B1003" s="49" t="s">
        <v>3664</v>
      </c>
      <c r="C1003" s="49" t="s">
        <v>221</v>
      </c>
      <c r="D1003" s="49" t="s">
        <v>140</v>
      </c>
      <c r="E1003" s="49" t="s">
        <v>245</v>
      </c>
      <c r="F1003" s="50">
        <v>43066.0</v>
      </c>
      <c r="G1003" s="50">
        <v>43067.0</v>
      </c>
      <c r="H1003" s="51">
        <v>43084.78680555556</v>
      </c>
      <c r="I1003" s="52">
        <v>1.0</v>
      </c>
      <c r="J1003" s="53"/>
      <c r="K1003" s="53"/>
    </row>
    <row r="1004">
      <c r="A1004" s="48" t="s">
        <v>3668</v>
      </c>
      <c r="B1004" s="49" t="s">
        <v>3669</v>
      </c>
      <c r="C1004" s="49" t="s">
        <v>243</v>
      </c>
      <c r="D1004" s="49" t="s">
        <v>140</v>
      </c>
      <c r="E1004" s="49" t="s">
        <v>245</v>
      </c>
      <c r="F1004" s="50">
        <v>43066.0</v>
      </c>
      <c r="G1004" s="50">
        <v>43066.0</v>
      </c>
      <c r="H1004" s="51">
        <v>43070.91875</v>
      </c>
      <c r="I1004" s="52">
        <v>1.0</v>
      </c>
      <c r="J1004" s="53"/>
      <c r="K1004" s="53"/>
    </row>
    <row r="1005">
      <c r="A1005" s="48" t="s">
        <v>3672</v>
      </c>
      <c r="B1005" s="49" t="s">
        <v>3674</v>
      </c>
      <c r="C1005" s="49" t="s">
        <v>257</v>
      </c>
      <c r="D1005" s="49" t="s">
        <v>140</v>
      </c>
      <c r="E1005" s="49" t="s">
        <v>245</v>
      </c>
      <c r="F1005" s="50">
        <v>43066.0</v>
      </c>
      <c r="G1005" s="50">
        <v>43066.0</v>
      </c>
      <c r="H1005" s="51">
        <v>43066.62847222222</v>
      </c>
      <c r="I1005" s="52">
        <v>1.0</v>
      </c>
      <c r="J1005" s="53"/>
      <c r="K1005" s="53"/>
    </row>
    <row r="1006">
      <c r="A1006" s="48" t="s">
        <v>3675</v>
      </c>
      <c r="B1006" s="49" t="s">
        <v>3676</v>
      </c>
      <c r="C1006" s="49" t="s">
        <v>452</v>
      </c>
      <c r="D1006" s="49" t="s">
        <v>140</v>
      </c>
      <c r="E1006" s="49" t="s">
        <v>245</v>
      </c>
      <c r="F1006" s="50">
        <v>43066.0</v>
      </c>
      <c r="G1006" s="50">
        <v>43066.0</v>
      </c>
      <c r="H1006" s="51">
        <v>43066.62777777778</v>
      </c>
      <c r="I1006" s="52">
        <v>1.0</v>
      </c>
      <c r="J1006" s="53"/>
      <c r="K1006" s="53"/>
    </row>
    <row r="1007">
      <c r="A1007" s="48" t="s">
        <v>3678</v>
      </c>
      <c r="B1007" s="49" t="s">
        <v>3679</v>
      </c>
      <c r="C1007" s="49" t="s">
        <v>257</v>
      </c>
      <c r="D1007" s="49" t="s">
        <v>140</v>
      </c>
      <c r="E1007" s="49" t="s">
        <v>245</v>
      </c>
      <c r="F1007" s="50">
        <v>43066.0</v>
      </c>
      <c r="G1007" s="50">
        <v>43066.0</v>
      </c>
      <c r="H1007" s="51">
        <v>43070.938888888886</v>
      </c>
      <c r="I1007" s="52">
        <v>1.0</v>
      </c>
      <c r="J1007" s="53"/>
      <c r="K1007" s="53"/>
    </row>
    <row r="1008">
      <c r="A1008" s="48" t="s">
        <v>3681</v>
      </c>
      <c r="B1008" s="49" t="s">
        <v>3682</v>
      </c>
      <c r="C1008" s="49" t="s">
        <v>257</v>
      </c>
      <c r="D1008" s="49" t="s">
        <v>140</v>
      </c>
      <c r="E1008" s="49" t="s">
        <v>245</v>
      </c>
      <c r="F1008" s="50">
        <v>43066.0</v>
      </c>
      <c r="G1008" s="50">
        <v>43066.0</v>
      </c>
      <c r="H1008" s="51">
        <v>43070.94097222222</v>
      </c>
      <c r="I1008" s="52">
        <v>1.0</v>
      </c>
      <c r="J1008" s="53"/>
      <c r="K1008" s="53"/>
    </row>
    <row r="1009">
      <c r="A1009" s="48" t="s">
        <v>3684</v>
      </c>
      <c r="B1009" s="49" t="s">
        <v>3686</v>
      </c>
      <c r="C1009" s="49" t="s">
        <v>257</v>
      </c>
      <c r="D1009" s="49" t="s">
        <v>140</v>
      </c>
      <c r="E1009" s="49" t="s">
        <v>245</v>
      </c>
      <c r="F1009" s="50">
        <v>43066.0</v>
      </c>
      <c r="G1009" s="50">
        <v>43066.0</v>
      </c>
      <c r="H1009" s="51">
        <v>43070.955555555556</v>
      </c>
      <c r="I1009" s="52">
        <v>1.0</v>
      </c>
      <c r="J1009" s="53"/>
      <c r="K1009" s="53"/>
    </row>
    <row r="1010">
      <c r="A1010" s="48" t="s">
        <v>3689</v>
      </c>
      <c r="B1010" s="49" t="s">
        <v>3690</v>
      </c>
      <c r="C1010" s="49" t="s">
        <v>257</v>
      </c>
      <c r="D1010" s="49" t="s">
        <v>140</v>
      </c>
      <c r="E1010" s="49" t="s">
        <v>245</v>
      </c>
      <c r="F1010" s="50">
        <v>43066.0</v>
      </c>
      <c r="G1010" s="50">
        <v>43066.0</v>
      </c>
      <c r="H1010" s="51">
        <v>43070.95694444444</v>
      </c>
      <c r="I1010" s="52">
        <v>1.0</v>
      </c>
      <c r="J1010" s="53"/>
      <c r="K1010" s="53"/>
    </row>
    <row r="1011">
      <c r="A1011" s="48" t="s">
        <v>3692</v>
      </c>
      <c r="B1011" s="49" t="s">
        <v>3693</v>
      </c>
      <c r="C1011" s="49" t="s">
        <v>221</v>
      </c>
      <c r="D1011" s="49" t="s">
        <v>140</v>
      </c>
      <c r="E1011" s="49" t="s">
        <v>245</v>
      </c>
      <c r="F1011" s="50">
        <v>43066.0</v>
      </c>
      <c r="G1011" s="50">
        <v>43066.0</v>
      </c>
      <c r="H1011" s="51">
        <v>43070.95694444444</v>
      </c>
      <c r="I1011" s="52">
        <v>1.0</v>
      </c>
      <c r="J1011" s="53"/>
      <c r="K1011" s="53"/>
    </row>
    <row r="1012">
      <c r="A1012" s="48" t="s">
        <v>3694</v>
      </c>
      <c r="B1012" s="49" t="s">
        <v>3695</v>
      </c>
      <c r="C1012" s="49" t="s">
        <v>257</v>
      </c>
      <c r="D1012" s="49" t="s">
        <v>140</v>
      </c>
      <c r="E1012" s="49" t="s">
        <v>245</v>
      </c>
      <c r="F1012" s="50">
        <v>43066.0</v>
      </c>
      <c r="G1012" s="50">
        <v>43066.0</v>
      </c>
      <c r="H1012" s="51">
        <v>43070.95763888889</v>
      </c>
      <c r="I1012" s="52">
        <v>1.0</v>
      </c>
      <c r="J1012" s="53"/>
      <c r="K1012" s="53"/>
    </row>
    <row r="1013">
      <c r="A1013" s="48" t="s">
        <v>3697</v>
      </c>
      <c r="B1013" s="49" t="s">
        <v>3597</v>
      </c>
      <c r="C1013" s="49" t="s">
        <v>243</v>
      </c>
      <c r="D1013" s="49" t="s">
        <v>140</v>
      </c>
      <c r="E1013" s="49" t="s">
        <v>245</v>
      </c>
      <c r="F1013" s="50">
        <v>43066.0</v>
      </c>
      <c r="G1013" s="50">
        <v>43073.0</v>
      </c>
      <c r="H1013" s="51">
        <v>43077.82430555556</v>
      </c>
      <c r="I1013" s="52">
        <v>1.0</v>
      </c>
      <c r="J1013" s="53"/>
      <c r="K1013" s="53"/>
    </row>
    <row r="1014">
      <c r="A1014" s="48" t="s">
        <v>3701</v>
      </c>
      <c r="B1014" s="49" t="s">
        <v>3702</v>
      </c>
      <c r="C1014" s="49" t="s">
        <v>243</v>
      </c>
      <c r="D1014" s="49" t="s">
        <v>140</v>
      </c>
      <c r="E1014" s="49" t="s">
        <v>245</v>
      </c>
      <c r="F1014" s="50">
        <v>43066.0</v>
      </c>
      <c r="G1014" s="50">
        <v>43073.0</v>
      </c>
      <c r="H1014" s="51">
        <v>43077.82430555556</v>
      </c>
      <c r="I1014" s="52">
        <v>1.0</v>
      </c>
      <c r="J1014" s="53"/>
      <c r="K1014" s="53"/>
    </row>
    <row r="1015">
      <c r="A1015" s="48" t="s">
        <v>3704</v>
      </c>
      <c r="B1015" s="49" t="s">
        <v>3705</v>
      </c>
      <c r="C1015" s="49" t="s">
        <v>203</v>
      </c>
      <c r="D1015" s="49" t="s">
        <v>140</v>
      </c>
      <c r="E1015" s="49" t="s">
        <v>245</v>
      </c>
      <c r="F1015" s="50">
        <v>43066.0</v>
      </c>
      <c r="G1015" s="50">
        <v>43070.0</v>
      </c>
      <c r="H1015" s="51">
        <v>43073.854166666664</v>
      </c>
      <c r="I1015" s="52">
        <v>1.0</v>
      </c>
      <c r="J1015" s="53"/>
      <c r="K1015" s="53"/>
    </row>
    <row r="1016">
      <c r="A1016" s="48" t="s">
        <v>3707</v>
      </c>
      <c r="B1016" s="49" t="s">
        <v>3708</v>
      </c>
      <c r="C1016" s="49" t="s">
        <v>243</v>
      </c>
      <c r="D1016" s="49" t="s">
        <v>148</v>
      </c>
      <c r="E1016" s="49" t="s">
        <v>245</v>
      </c>
      <c r="F1016" s="50">
        <v>43063.0</v>
      </c>
      <c r="G1016" s="50">
        <v>43063.0</v>
      </c>
      <c r="H1016" s="51">
        <v>43063.49166666667</v>
      </c>
      <c r="I1016" s="52">
        <v>1.0</v>
      </c>
      <c r="J1016" s="53"/>
      <c r="K1016" s="53"/>
    </row>
    <row r="1017">
      <c r="A1017" s="48" t="s">
        <v>3709</v>
      </c>
      <c r="B1017" s="49" t="s">
        <v>3710</v>
      </c>
      <c r="C1017" s="49" t="s">
        <v>243</v>
      </c>
      <c r="D1017" s="49" t="s">
        <v>148</v>
      </c>
      <c r="E1017" s="49" t="s">
        <v>245</v>
      </c>
      <c r="F1017" s="50">
        <v>43063.0</v>
      </c>
      <c r="G1017" s="50">
        <v>43063.0</v>
      </c>
      <c r="H1017" s="51">
        <v>43066.808333333334</v>
      </c>
      <c r="I1017" s="52">
        <v>1.0</v>
      </c>
      <c r="J1017" s="53"/>
      <c r="K1017" s="53"/>
    </row>
    <row r="1018">
      <c r="A1018" s="48" t="s">
        <v>3713</v>
      </c>
      <c r="B1018" s="49" t="s">
        <v>3714</v>
      </c>
      <c r="C1018" s="49" t="s">
        <v>221</v>
      </c>
      <c r="D1018" s="49" t="s">
        <v>153</v>
      </c>
      <c r="E1018" s="49" t="s">
        <v>245</v>
      </c>
      <c r="F1018" s="50">
        <v>43063.0</v>
      </c>
      <c r="G1018" s="50">
        <v>43063.0</v>
      </c>
      <c r="H1018" s="51">
        <v>43063.76666666667</v>
      </c>
      <c r="I1018" s="52">
        <v>1.0</v>
      </c>
      <c r="J1018" s="53"/>
      <c r="K1018" s="53"/>
    </row>
    <row r="1019">
      <c r="A1019" s="48" t="s">
        <v>3716</v>
      </c>
      <c r="B1019" s="49" t="s">
        <v>3717</v>
      </c>
      <c r="C1019" s="49" t="s">
        <v>257</v>
      </c>
      <c r="D1019" s="49" t="s">
        <v>153</v>
      </c>
      <c r="E1019" s="49" t="s">
        <v>245</v>
      </c>
      <c r="F1019" s="50">
        <v>43062.0</v>
      </c>
      <c r="G1019" s="50">
        <v>43062.0</v>
      </c>
      <c r="H1019" s="51">
        <v>43062.66527777778</v>
      </c>
      <c r="I1019" s="52">
        <v>1.0</v>
      </c>
      <c r="J1019" s="53"/>
      <c r="K1019" s="53"/>
    </row>
    <row r="1020">
      <c r="A1020" s="48" t="s">
        <v>3719</v>
      </c>
      <c r="B1020" s="49" t="s">
        <v>3721</v>
      </c>
      <c r="C1020" s="49" t="s">
        <v>203</v>
      </c>
      <c r="D1020" s="49" t="s">
        <v>140</v>
      </c>
      <c r="E1020" s="49" t="s">
        <v>245</v>
      </c>
      <c r="F1020" s="50">
        <v>43061.0</v>
      </c>
      <c r="G1020" s="50">
        <v>43063.0</v>
      </c>
      <c r="H1020" s="51">
        <v>43063.646527777775</v>
      </c>
      <c r="I1020" s="52">
        <v>1.0</v>
      </c>
      <c r="J1020" s="53"/>
      <c r="K1020" s="53"/>
    </row>
    <row r="1021">
      <c r="A1021" s="48" t="s">
        <v>3724</v>
      </c>
      <c r="B1021" s="49" t="s">
        <v>3721</v>
      </c>
      <c r="C1021" s="49" t="s">
        <v>203</v>
      </c>
      <c r="D1021" s="49" t="s">
        <v>140</v>
      </c>
      <c r="E1021" s="49" t="s">
        <v>245</v>
      </c>
      <c r="F1021" s="50">
        <v>43061.0</v>
      </c>
      <c r="G1021" s="50">
        <v>43063.0</v>
      </c>
      <c r="H1021" s="51">
        <v>43063.646527777775</v>
      </c>
      <c r="I1021" s="52">
        <v>1.0</v>
      </c>
      <c r="J1021" s="53"/>
      <c r="K1021" s="53"/>
    </row>
    <row r="1022">
      <c r="A1022" s="48" t="s">
        <v>3727</v>
      </c>
      <c r="B1022" s="49" t="s">
        <v>3728</v>
      </c>
      <c r="C1022" s="49" t="s">
        <v>257</v>
      </c>
      <c r="D1022" s="49" t="s">
        <v>153</v>
      </c>
      <c r="E1022" s="49" t="s">
        <v>245</v>
      </c>
      <c r="F1022" s="50">
        <v>43061.0</v>
      </c>
      <c r="G1022" s="50">
        <v>43061.0</v>
      </c>
      <c r="H1022" s="51">
        <v>43061.71111111111</v>
      </c>
      <c r="I1022" s="52">
        <v>1.0</v>
      </c>
      <c r="J1022" s="53"/>
      <c r="K1022" s="53"/>
    </row>
    <row r="1023">
      <c r="A1023" s="48" t="s">
        <v>3730</v>
      </c>
      <c r="B1023" s="49" t="s">
        <v>3731</v>
      </c>
      <c r="C1023" s="49" t="s">
        <v>221</v>
      </c>
      <c r="D1023" s="49" t="s">
        <v>153</v>
      </c>
      <c r="E1023" s="49" t="s">
        <v>245</v>
      </c>
      <c r="F1023" s="50">
        <v>43061.0</v>
      </c>
      <c r="G1023" s="50">
        <v>43061.0</v>
      </c>
      <c r="H1023" s="51">
        <v>43061.711805555555</v>
      </c>
      <c r="I1023" s="52">
        <v>1.0</v>
      </c>
      <c r="J1023" s="53"/>
      <c r="K1023" s="53"/>
    </row>
    <row r="1024">
      <c r="A1024" s="48" t="s">
        <v>3734</v>
      </c>
      <c r="B1024" s="49" t="s">
        <v>3735</v>
      </c>
      <c r="C1024" s="49" t="s">
        <v>257</v>
      </c>
      <c r="D1024" s="49" t="s">
        <v>153</v>
      </c>
      <c r="E1024" s="49" t="s">
        <v>245</v>
      </c>
      <c r="F1024" s="50">
        <v>43061.0</v>
      </c>
      <c r="G1024" s="50">
        <v>43061.0</v>
      </c>
      <c r="H1024" s="51">
        <v>43061.711805555555</v>
      </c>
      <c r="I1024" s="52">
        <v>1.0</v>
      </c>
      <c r="J1024" s="53"/>
      <c r="K1024" s="53"/>
    </row>
    <row r="1025">
      <c r="A1025" s="48" t="s">
        <v>3737</v>
      </c>
      <c r="B1025" s="49" t="s">
        <v>3738</v>
      </c>
      <c r="C1025" s="49" t="s">
        <v>221</v>
      </c>
      <c r="D1025" s="49" t="s">
        <v>153</v>
      </c>
      <c r="E1025" s="49" t="s">
        <v>245</v>
      </c>
      <c r="F1025" s="50">
        <v>43061.0</v>
      </c>
      <c r="G1025" s="50">
        <v>43061.0</v>
      </c>
      <c r="H1025" s="51">
        <v>43061.7125</v>
      </c>
      <c r="I1025" s="52">
        <v>1.0</v>
      </c>
      <c r="J1025" s="53"/>
      <c r="K1025" s="53"/>
    </row>
    <row r="1026">
      <c r="A1026" s="48" t="s">
        <v>3742</v>
      </c>
      <c r="B1026" s="49" t="s">
        <v>3743</v>
      </c>
      <c r="C1026" s="49" t="s">
        <v>243</v>
      </c>
      <c r="D1026" s="49" t="s">
        <v>148</v>
      </c>
      <c r="E1026" s="49" t="s">
        <v>245</v>
      </c>
      <c r="F1026" s="50">
        <v>43060.0</v>
      </c>
      <c r="G1026" s="50">
        <v>43064.0</v>
      </c>
      <c r="H1026" s="51">
        <v>43060.66805555556</v>
      </c>
      <c r="I1026" s="52">
        <v>1.0</v>
      </c>
      <c r="J1026" s="53"/>
      <c r="K1026" s="53"/>
    </row>
    <row r="1027">
      <c r="A1027" s="48" t="s">
        <v>3746</v>
      </c>
      <c r="B1027" s="49" t="s">
        <v>3747</v>
      </c>
      <c r="C1027" s="49" t="s">
        <v>257</v>
      </c>
      <c r="D1027" s="49" t="s">
        <v>153</v>
      </c>
      <c r="E1027" s="49" t="s">
        <v>245</v>
      </c>
      <c r="F1027" s="50">
        <v>43060.0</v>
      </c>
      <c r="G1027" s="50">
        <v>43060.0</v>
      </c>
      <c r="H1027" s="51">
        <v>43060.53125</v>
      </c>
      <c r="I1027" s="52">
        <v>1.0</v>
      </c>
      <c r="J1027" s="53"/>
      <c r="K1027" s="53"/>
    </row>
    <row r="1028">
      <c r="A1028" s="48" t="s">
        <v>3749</v>
      </c>
      <c r="B1028" s="49" t="s">
        <v>3751</v>
      </c>
      <c r="C1028" s="49" t="s">
        <v>257</v>
      </c>
      <c r="D1028" s="49" t="s">
        <v>153</v>
      </c>
      <c r="E1028" s="49" t="s">
        <v>245</v>
      </c>
      <c r="F1028" s="50">
        <v>43060.0</v>
      </c>
      <c r="G1028" s="50">
        <v>43060.0</v>
      </c>
      <c r="H1028" s="51">
        <v>43060.53055555555</v>
      </c>
      <c r="I1028" s="52">
        <v>1.0</v>
      </c>
      <c r="J1028" s="53"/>
      <c r="K1028" s="53"/>
    </row>
    <row r="1029">
      <c r="A1029" s="48" t="s">
        <v>3754</v>
      </c>
      <c r="B1029" s="49" t="s">
        <v>3755</v>
      </c>
      <c r="C1029" s="49" t="s">
        <v>257</v>
      </c>
      <c r="D1029" s="49" t="s">
        <v>153</v>
      </c>
      <c r="E1029" s="49" t="s">
        <v>245</v>
      </c>
      <c r="F1029" s="50">
        <v>43060.0</v>
      </c>
      <c r="G1029" s="50">
        <v>43060.0</v>
      </c>
      <c r="H1029" s="51">
        <v>43060.53055555555</v>
      </c>
      <c r="I1029" s="52">
        <v>1.0</v>
      </c>
      <c r="J1029" s="53"/>
      <c r="K1029" s="53"/>
    </row>
    <row r="1030">
      <c r="A1030" s="48" t="s">
        <v>3758</v>
      </c>
      <c r="B1030" s="49" t="s">
        <v>3759</v>
      </c>
      <c r="C1030" s="49" t="s">
        <v>221</v>
      </c>
      <c r="D1030" s="49" t="s">
        <v>153</v>
      </c>
      <c r="E1030" s="49" t="s">
        <v>245</v>
      </c>
      <c r="F1030" s="50">
        <v>43060.0</v>
      </c>
      <c r="G1030" s="50">
        <v>43060.0</v>
      </c>
      <c r="H1030" s="51">
        <v>43060.53125</v>
      </c>
      <c r="I1030" s="52">
        <v>1.0</v>
      </c>
      <c r="J1030" s="53"/>
      <c r="K1030" s="53"/>
    </row>
    <row r="1031">
      <c r="A1031" s="48" t="s">
        <v>3762</v>
      </c>
      <c r="B1031" s="49" t="s">
        <v>3763</v>
      </c>
      <c r="C1031" s="49" t="s">
        <v>221</v>
      </c>
      <c r="D1031" s="49" t="s">
        <v>153</v>
      </c>
      <c r="E1031" s="49" t="s">
        <v>245</v>
      </c>
      <c r="F1031" s="50">
        <v>43060.0</v>
      </c>
      <c r="G1031" s="50">
        <v>43060.0</v>
      </c>
      <c r="H1031" s="51">
        <v>43060.53125</v>
      </c>
      <c r="I1031" s="52">
        <v>1.0</v>
      </c>
      <c r="J1031" s="53"/>
      <c r="K1031" s="53"/>
    </row>
    <row r="1032">
      <c r="A1032" s="48" t="s">
        <v>3765</v>
      </c>
      <c r="B1032" s="49" t="s">
        <v>3766</v>
      </c>
      <c r="C1032" s="49" t="s">
        <v>243</v>
      </c>
      <c r="D1032" s="49" t="s">
        <v>148</v>
      </c>
      <c r="E1032" s="49" t="s">
        <v>245</v>
      </c>
      <c r="F1032" s="50">
        <v>43060.0</v>
      </c>
      <c r="G1032" s="50">
        <v>43060.0</v>
      </c>
      <c r="H1032" s="51">
        <v>43066.80625</v>
      </c>
      <c r="I1032" s="52">
        <v>1.0</v>
      </c>
      <c r="J1032" s="53"/>
      <c r="K1032" s="53"/>
    </row>
    <row r="1033">
      <c r="A1033" s="48" t="s">
        <v>3770</v>
      </c>
      <c r="B1033" s="49" t="s">
        <v>3771</v>
      </c>
      <c r="C1033" s="49" t="s">
        <v>243</v>
      </c>
      <c r="D1033" s="49" t="s">
        <v>148</v>
      </c>
      <c r="E1033" s="49" t="s">
        <v>204</v>
      </c>
      <c r="F1033" s="50">
        <v>43059.0</v>
      </c>
      <c r="G1033" s="50">
        <v>43063.0</v>
      </c>
      <c r="H1033" s="51">
        <v>43059.569444444445</v>
      </c>
      <c r="I1033" s="52">
        <v>0.0</v>
      </c>
      <c r="J1033" s="53"/>
      <c r="K1033" s="53"/>
    </row>
    <row r="1034">
      <c r="A1034" s="48" t="s">
        <v>3772</v>
      </c>
      <c r="B1034" s="49" t="s">
        <v>3773</v>
      </c>
      <c r="C1034" s="49" t="s">
        <v>243</v>
      </c>
      <c r="D1034" s="49" t="s">
        <v>148</v>
      </c>
      <c r="E1034" s="49" t="s">
        <v>204</v>
      </c>
      <c r="F1034" s="50">
        <v>43059.0</v>
      </c>
      <c r="G1034" s="50">
        <v>43061.0</v>
      </c>
      <c r="H1034" s="51">
        <v>43059.57430555556</v>
      </c>
      <c r="I1034" s="52">
        <v>0.0</v>
      </c>
      <c r="J1034" s="53"/>
      <c r="K1034" s="53"/>
    </row>
    <row r="1035">
      <c r="A1035" s="48" t="s">
        <v>3776</v>
      </c>
      <c r="B1035" s="49" t="s">
        <v>3777</v>
      </c>
      <c r="C1035" s="49" t="s">
        <v>243</v>
      </c>
      <c r="D1035" s="49" t="s">
        <v>148</v>
      </c>
      <c r="E1035" s="49" t="s">
        <v>245</v>
      </c>
      <c r="F1035" s="50">
        <v>43059.0</v>
      </c>
      <c r="G1035" s="50">
        <v>43066.0</v>
      </c>
      <c r="H1035" s="51">
        <v>43074.71666666667</v>
      </c>
      <c r="I1035" s="52">
        <v>1.0</v>
      </c>
      <c r="J1035" s="53"/>
      <c r="K1035" s="53"/>
    </row>
    <row r="1036">
      <c r="A1036" s="48" t="s">
        <v>3781</v>
      </c>
      <c r="B1036" s="49" t="s">
        <v>3782</v>
      </c>
      <c r="C1036" s="49" t="s">
        <v>203</v>
      </c>
      <c r="D1036" s="49" t="s">
        <v>148</v>
      </c>
      <c r="E1036" s="49" t="s">
        <v>245</v>
      </c>
      <c r="F1036" s="50">
        <v>43059.0</v>
      </c>
      <c r="G1036" s="50">
        <v>43063.0</v>
      </c>
      <c r="H1036" s="51">
        <v>43063.805555555555</v>
      </c>
      <c r="I1036" s="52">
        <v>1.0</v>
      </c>
      <c r="J1036" s="53"/>
      <c r="K1036" s="53"/>
    </row>
    <row r="1037">
      <c r="A1037" s="48" t="s">
        <v>3786</v>
      </c>
      <c r="B1037" s="49" t="s">
        <v>3787</v>
      </c>
      <c r="C1037" s="49" t="s">
        <v>203</v>
      </c>
      <c r="D1037" s="49" t="s">
        <v>148</v>
      </c>
      <c r="E1037" s="49" t="s">
        <v>245</v>
      </c>
      <c r="F1037" s="50">
        <v>43059.0</v>
      </c>
      <c r="G1037" s="50">
        <v>43063.0</v>
      </c>
      <c r="H1037" s="51">
        <v>43063.805555555555</v>
      </c>
      <c r="I1037" s="52">
        <v>1.0</v>
      </c>
      <c r="J1037" s="53"/>
      <c r="K1037" s="53"/>
    </row>
    <row r="1038">
      <c r="A1038" s="48" t="s">
        <v>3791</v>
      </c>
      <c r="B1038" s="49" t="s">
        <v>3792</v>
      </c>
      <c r="C1038" s="49" t="s">
        <v>257</v>
      </c>
      <c r="D1038" s="49" t="s">
        <v>153</v>
      </c>
      <c r="E1038" s="49" t="s">
        <v>245</v>
      </c>
      <c r="F1038" s="50">
        <v>43059.0</v>
      </c>
      <c r="G1038" s="50">
        <v>43059.0</v>
      </c>
      <c r="H1038" s="51">
        <v>43059.566666666666</v>
      </c>
      <c r="I1038" s="52">
        <v>1.0</v>
      </c>
      <c r="J1038" s="53"/>
      <c r="K1038" s="53"/>
    </row>
    <row r="1039">
      <c r="A1039" s="48" t="s">
        <v>3795</v>
      </c>
      <c r="B1039" s="49" t="s">
        <v>3796</v>
      </c>
      <c r="C1039" s="49" t="s">
        <v>221</v>
      </c>
      <c r="D1039" s="49" t="s">
        <v>153</v>
      </c>
      <c r="E1039" s="49" t="s">
        <v>245</v>
      </c>
      <c r="F1039" s="50">
        <v>43059.0</v>
      </c>
      <c r="G1039" s="50">
        <v>43059.0</v>
      </c>
      <c r="H1039" s="51">
        <v>43059.56736111111</v>
      </c>
      <c r="I1039" s="52">
        <v>1.0</v>
      </c>
      <c r="J1039" s="53"/>
      <c r="K1039" s="53"/>
    </row>
    <row r="1040">
      <c r="A1040" s="48" t="s">
        <v>3799</v>
      </c>
      <c r="B1040" s="49" t="s">
        <v>3800</v>
      </c>
      <c r="C1040" s="49" t="s">
        <v>221</v>
      </c>
      <c r="D1040" s="49" t="s">
        <v>153</v>
      </c>
      <c r="E1040" s="49" t="s">
        <v>245</v>
      </c>
      <c r="F1040" s="50">
        <v>43059.0</v>
      </c>
      <c r="G1040" s="50">
        <v>43059.0</v>
      </c>
      <c r="H1040" s="51">
        <v>43059.56736111111</v>
      </c>
      <c r="I1040" s="52">
        <v>1.0</v>
      </c>
      <c r="J1040" s="53"/>
      <c r="K1040" s="53"/>
    </row>
    <row r="1041">
      <c r="A1041" s="48" t="s">
        <v>3805</v>
      </c>
      <c r="B1041" s="49" t="s">
        <v>3807</v>
      </c>
      <c r="C1041" s="49" t="s">
        <v>243</v>
      </c>
      <c r="D1041" s="49" t="s">
        <v>148</v>
      </c>
      <c r="E1041" s="49" t="s">
        <v>245</v>
      </c>
      <c r="F1041" s="50">
        <v>43059.0</v>
      </c>
      <c r="G1041" s="50">
        <v>43059.0</v>
      </c>
      <c r="H1041" s="51">
        <v>43059.86944444444</v>
      </c>
      <c r="I1041" s="52">
        <v>1.0</v>
      </c>
      <c r="J1041" s="53"/>
      <c r="K1041" s="53"/>
    </row>
    <row r="1042">
      <c r="A1042" s="48" t="s">
        <v>3809</v>
      </c>
      <c r="B1042" s="49" t="s">
        <v>3810</v>
      </c>
      <c r="C1042" s="49" t="s">
        <v>243</v>
      </c>
      <c r="D1042" s="49" t="s">
        <v>148</v>
      </c>
      <c r="E1042" s="49" t="s">
        <v>245</v>
      </c>
      <c r="F1042" s="50">
        <v>43056.0</v>
      </c>
      <c r="G1042" s="50">
        <v>43063.0</v>
      </c>
      <c r="H1042" s="51">
        <v>43056.79513888889</v>
      </c>
      <c r="I1042" s="52">
        <v>1.0</v>
      </c>
      <c r="J1042" s="53"/>
      <c r="K1042" s="53"/>
    </row>
    <row r="1043">
      <c r="A1043" s="48" t="s">
        <v>3813</v>
      </c>
      <c r="B1043" s="49" t="s">
        <v>3814</v>
      </c>
      <c r="C1043" s="49" t="s">
        <v>243</v>
      </c>
      <c r="D1043" s="49" t="s">
        <v>148</v>
      </c>
      <c r="E1043" s="49" t="s">
        <v>245</v>
      </c>
      <c r="F1043" s="50">
        <v>43056.0</v>
      </c>
      <c r="G1043" s="50">
        <v>43060.0</v>
      </c>
      <c r="H1043" s="51">
        <v>43056.39722222222</v>
      </c>
      <c r="I1043" s="52">
        <v>1.0</v>
      </c>
      <c r="J1043" s="53"/>
      <c r="K1043" s="53"/>
    </row>
    <row r="1044">
      <c r="A1044" s="48" t="s">
        <v>3817</v>
      </c>
      <c r="B1044" s="49" t="s">
        <v>3818</v>
      </c>
      <c r="C1044" s="49" t="s">
        <v>221</v>
      </c>
      <c r="D1044" s="49" t="s">
        <v>153</v>
      </c>
      <c r="E1044" s="49" t="s">
        <v>245</v>
      </c>
      <c r="F1044" s="50">
        <v>43056.0</v>
      </c>
      <c r="G1044" s="50">
        <v>43056.0</v>
      </c>
      <c r="H1044" s="51">
        <v>43056.64375</v>
      </c>
      <c r="I1044" s="52">
        <v>1.0</v>
      </c>
      <c r="J1044" s="53"/>
      <c r="K1044" s="53"/>
    </row>
    <row r="1045">
      <c r="A1045" s="48" t="s">
        <v>3821</v>
      </c>
      <c r="B1045" s="49" t="s">
        <v>3822</v>
      </c>
      <c r="C1045" s="49" t="s">
        <v>257</v>
      </c>
      <c r="D1045" s="49" t="s">
        <v>153</v>
      </c>
      <c r="E1045" s="49" t="s">
        <v>245</v>
      </c>
      <c r="F1045" s="50">
        <v>43056.0</v>
      </c>
      <c r="G1045" s="50">
        <v>43056.0</v>
      </c>
      <c r="H1045" s="51">
        <v>43056.64375</v>
      </c>
      <c r="I1045" s="52">
        <v>1.0</v>
      </c>
      <c r="J1045" s="53"/>
      <c r="K1045" s="53"/>
    </row>
    <row r="1046">
      <c r="A1046" s="48" t="s">
        <v>3826</v>
      </c>
      <c r="B1046" s="49" t="s">
        <v>3827</v>
      </c>
      <c r="C1046" s="49" t="s">
        <v>243</v>
      </c>
      <c r="D1046" s="49" t="s">
        <v>148</v>
      </c>
      <c r="E1046" s="49" t="s">
        <v>245</v>
      </c>
      <c r="F1046" s="50">
        <v>43054.0</v>
      </c>
      <c r="G1046" s="50">
        <v>43057.0</v>
      </c>
      <c r="H1046" s="51">
        <v>43054.45486111111</v>
      </c>
      <c r="I1046" s="52">
        <v>1.0</v>
      </c>
      <c r="J1046" s="53"/>
      <c r="K1046" s="53"/>
    </row>
    <row r="1047">
      <c r="A1047" s="48" t="s">
        <v>3830</v>
      </c>
      <c r="B1047" s="49" t="s">
        <v>3832</v>
      </c>
      <c r="C1047" s="49" t="s">
        <v>485</v>
      </c>
      <c r="D1047" s="49" t="s">
        <v>140</v>
      </c>
      <c r="E1047" s="49" t="s">
        <v>245</v>
      </c>
      <c r="F1047" s="50">
        <v>43054.0</v>
      </c>
      <c r="G1047" s="50">
        <v>43055.0</v>
      </c>
      <c r="H1047" s="51">
        <v>43055.78958333333</v>
      </c>
      <c r="I1047" s="52">
        <v>1.0</v>
      </c>
      <c r="J1047" s="53"/>
      <c r="K1047" s="53"/>
    </row>
    <row r="1048">
      <c r="A1048" s="48" t="s">
        <v>3833</v>
      </c>
      <c r="B1048" s="49" t="s">
        <v>3834</v>
      </c>
      <c r="C1048" s="49" t="s">
        <v>243</v>
      </c>
      <c r="D1048" s="49" t="s">
        <v>148</v>
      </c>
      <c r="E1048" s="49" t="s">
        <v>245</v>
      </c>
      <c r="F1048" s="50">
        <v>43054.0</v>
      </c>
      <c r="G1048" s="50">
        <v>43054.0</v>
      </c>
      <c r="H1048" s="51">
        <v>43054.42083333333</v>
      </c>
      <c r="I1048" s="52">
        <v>1.0</v>
      </c>
      <c r="J1048" s="53"/>
      <c r="K1048" s="53"/>
    </row>
    <row r="1049">
      <c r="A1049" s="48" t="s">
        <v>3836</v>
      </c>
      <c r="B1049" s="49" t="s">
        <v>3837</v>
      </c>
      <c r="C1049" s="49" t="s">
        <v>257</v>
      </c>
      <c r="D1049" s="49" t="s">
        <v>153</v>
      </c>
      <c r="E1049" s="49" t="s">
        <v>245</v>
      </c>
      <c r="F1049" s="50">
        <v>43054.0</v>
      </c>
      <c r="G1049" s="50">
        <v>43054.0</v>
      </c>
      <c r="H1049" s="51">
        <v>43054.75347222222</v>
      </c>
      <c r="I1049" s="52">
        <v>1.0</v>
      </c>
      <c r="J1049" s="53"/>
      <c r="K1049" s="53"/>
    </row>
    <row r="1050">
      <c r="A1050" s="48" t="s">
        <v>3839</v>
      </c>
      <c r="B1050" s="49" t="s">
        <v>3842</v>
      </c>
      <c r="C1050" s="49" t="s">
        <v>485</v>
      </c>
      <c r="D1050" s="49" t="s">
        <v>140</v>
      </c>
      <c r="E1050" s="49" t="s">
        <v>245</v>
      </c>
      <c r="F1050" s="50">
        <v>43053.0</v>
      </c>
      <c r="G1050" s="50">
        <v>43054.0</v>
      </c>
      <c r="H1050" s="51">
        <v>43070.93125</v>
      </c>
      <c r="I1050" s="52">
        <v>1.0</v>
      </c>
      <c r="J1050" s="53"/>
      <c r="K1050" s="53"/>
    </row>
    <row r="1051">
      <c r="A1051" s="48" t="s">
        <v>3847</v>
      </c>
      <c r="B1051" s="49" t="s">
        <v>3848</v>
      </c>
      <c r="C1051" s="49" t="s">
        <v>221</v>
      </c>
      <c r="D1051" s="49" t="s">
        <v>153</v>
      </c>
      <c r="E1051" s="49" t="s">
        <v>245</v>
      </c>
      <c r="F1051" s="50">
        <v>43053.0</v>
      </c>
      <c r="G1051" s="50">
        <v>43053.0</v>
      </c>
      <c r="H1051" s="51">
        <v>43053.78125</v>
      </c>
      <c r="I1051" s="52">
        <v>1.0</v>
      </c>
      <c r="J1051" s="53"/>
      <c r="K1051" s="53"/>
    </row>
    <row r="1052">
      <c r="A1052" s="48" t="s">
        <v>3853</v>
      </c>
      <c r="B1052" s="49" t="s">
        <v>3854</v>
      </c>
      <c r="C1052" s="49" t="s">
        <v>257</v>
      </c>
      <c r="D1052" s="49" t="s">
        <v>153</v>
      </c>
      <c r="E1052" s="49" t="s">
        <v>245</v>
      </c>
      <c r="F1052" s="50">
        <v>43053.0</v>
      </c>
      <c r="G1052" s="50">
        <v>43053.0</v>
      </c>
      <c r="H1052" s="51">
        <v>43053.78194444445</v>
      </c>
      <c r="I1052" s="52">
        <v>1.0</v>
      </c>
      <c r="J1052" s="53"/>
      <c r="K1052" s="53"/>
    </row>
    <row r="1053">
      <c r="A1053" s="48" t="s">
        <v>3856</v>
      </c>
      <c r="B1053" s="49" t="s">
        <v>3857</v>
      </c>
      <c r="C1053" s="49" t="s">
        <v>257</v>
      </c>
      <c r="D1053" s="49" t="s">
        <v>153</v>
      </c>
      <c r="E1053" s="49" t="s">
        <v>245</v>
      </c>
      <c r="F1053" s="50">
        <v>43053.0</v>
      </c>
      <c r="G1053" s="50">
        <v>43053.0</v>
      </c>
      <c r="H1053" s="51">
        <v>43053.78125</v>
      </c>
      <c r="I1053" s="52">
        <v>1.0</v>
      </c>
      <c r="J1053" s="53"/>
      <c r="K1053" s="53"/>
    </row>
    <row r="1054">
      <c r="A1054" s="48" t="s">
        <v>3860</v>
      </c>
      <c r="B1054" s="49" t="s">
        <v>3861</v>
      </c>
      <c r="C1054" s="49" t="s">
        <v>221</v>
      </c>
      <c r="D1054" s="49" t="s">
        <v>153</v>
      </c>
      <c r="E1054" s="49" t="s">
        <v>245</v>
      </c>
      <c r="F1054" s="50">
        <v>43053.0</v>
      </c>
      <c r="G1054" s="50">
        <v>43053.0</v>
      </c>
      <c r="H1054" s="51">
        <v>43053.78194444445</v>
      </c>
      <c r="I1054" s="52">
        <v>1.0</v>
      </c>
      <c r="J1054" s="53"/>
      <c r="K1054" s="53"/>
    </row>
    <row r="1055">
      <c r="A1055" s="48" t="s">
        <v>3864</v>
      </c>
      <c r="B1055" s="49" t="s">
        <v>3865</v>
      </c>
      <c r="C1055" s="49" t="s">
        <v>243</v>
      </c>
      <c r="D1055" s="49" t="s">
        <v>148</v>
      </c>
      <c r="E1055" s="49" t="s">
        <v>245</v>
      </c>
      <c r="F1055" s="50">
        <v>43052.0</v>
      </c>
      <c r="G1055" s="50">
        <v>43059.0</v>
      </c>
      <c r="H1055" s="51">
        <v>43052.62569444445</v>
      </c>
      <c r="I1055" s="52">
        <v>1.0</v>
      </c>
      <c r="J1055" s="53"/>
      <c r="K1055" s="53"/>
    </row>
    <row r="1056">
      <c r="A1056" s="48" t="s">
        <v>3867</v>
      </c>
      <c r="B1056" s="49" t="s">
        <v>3869</v>
      </c>
      <c r="C1056" s="49" t="s">
        <v>243</v>
      </c>
      <c r="D1056" s="49" t="s">
        <v>148</v>
      </c>
      <c r="E1056" s="49" t="s">
        <v>245</v>
      </c>
      <c r="F1056" s="50">
        <v>43052.0</v>
      </c>
      <c r="G1056" s="50">
        <v>43059.0</v>
      </c>
      <c r="H1056" s="51">
        <v>43052.62569444445</v>
      </c>
      <c r="I1056" s="52">
        <v>1.0</v>
      </c>
      <c r="J1056" s="53"/>
      <c r="K1056" s="53"/>
    </row>
    <row r="1057">
      <c r="A1057" s="48" t="s">
        <v>3872</v>
      </c>
      <c r="B1057" s="49" t="s">
        <v>3874</v>
      </c>
      <c r="C1057" s="49" t="s">
        <v>243</v>
      </c>
      <c r="D1057" s="49" t="s">
        <v>148</v>
      </c>
      <c r="E1057" s="49" t="s">
        <v>245</v>
      </c>
      <c r="F1057" s="50">
        <v>43052.0</v>
      </c>
      <c r="G1057" s="50">
        <v>43059.0</v>
      </c>
      <c r="H1057" s="51">
        <v>43052.825694444444</v>
      </c>
      <c r="I1057" s="52">
        <v>1.0</v>
      </c>
      <c r="J1057" s="53"/>
      <c r="K1057" s="53"/>
    </row>
    <row r="1058">
      <c r="A1058" s="48" t="s">
        <v>3878</v>
      </c>
      <c r="B1058" s="49" t="s">
        <v>3879</v>
      </c>
      <c r="C1058" s="49" t="s">
        <v>203</v>
      </c>
      <c r="D1058" s="49" t="s">
        <v>310</v>
      </c>
      <c r="E1058" s="49" t="s">
        <v>245</v>
      </c>
      <c r="F1058" s="50">
        <v>43052.0</v>
      </c>
      <c r="G1058" s="50">
        <v>43056.0</v>
      </c>
      <c r="H1058" s="51">
        <v>43067.683333333334</v>
      </c>
      <c r="I1058" s="52">
        <v>1.0</v>
      </c>
      <c r="J1058" s="53"/>
      <c r="K1058" s="53"/>
    </row>
    <row r="1059">
      <c r="A1059" s="48" t="s">
        <v>3884</v>
      </c>
      <c r="B1059" s="49" t="s">
        <v>3885</v>
      </c>
      <c r="C1059" s="49" t="s">
        <v>243</v>
      </c>
      <c r="D1059" s="49" t="s">
        <v>148</v>
      </c>
      <c r="E1059" s="49" t="s">
        <v>245</v>
      </c>
      <c r="F1059" s="50">
        <v>43052.0</v>
      </c>
      <c r="G1059" s="50">
        <v>43056.0</v>
      </c>
      <c r="H1059" s="51">
        <v>43054.455555555556</v>
      </c>
      <c r="I1059" s="52">
        <v>1.0</v>
      </c>
      <c r="J1059" s="53"/>
      <c r="K1059" s="53"/>
    </row>
    <row r="1060">
      <c r="A1060" s="48" t="s">
        <v>3888</v>
      </c>
      <c r="B1060" s="49" t="s">
        <v>3889</v>
      </c>
      <c r="C1060" s="49" t="s">
        <v>203</v>
      </c>
      <c r="D1060" s="49" t="s">
        <v>148</v>
      </c>
      <c r="E1060" s="49" t="s">
        <v>245</v>
      </c>
      <c r="F1060" s="50">
        <v>43052.0</v>
      </c>
      <c r="G1060" s="50">
        <v>43056.0</v>
      </c>
      <c r="H1060" s="51">
        <v>43056.79583333333</v>
      </c>
      <c r="I1060" s="52">
        <v>1.0</v>
      </c>
      <c r="J1060" s="53"/>
      <c r="K1060" s="53"/>
    </row>
    <row r="1061">
      <c r="A1061" s="48" t="s">
        <v>3893</v>
      </c>
      <c r="B1061" s="49" t="s">
        <v>3894</v>
      </c>
      <c r="C1061" s="49" t="s">
        <v>203</v>
      </c>
      <c r="D1061" s="49" t="s">
        <v>148</v>
      </c>
      <c r="E1061" s="49" t="s">
        <v>245</v>
      </c>
      <c r="F1061" s="50">
        <v>43052.0</v>
      </c>
      <c r="G1061" s="50">
        <v>43056.0</v>
      </c>
      <c r="H1061" s="51">
        <v>43056.79583333333</v>
      </c>
      <c r="I1061" s="52">
        <v>1.0</v>
      </c>
      <c r="J1061" s="53"/>
      <c r="K1061" s="53"/>
    </row>
    <row r="1062">
      <c r="A1062" s="48" t="s">
        <v>3898</v>
      </c>
      <c r="B1062" s="49" t="s">
        <v>3899</v>
      </c>
      <c r="C1062" s="49" t="s">
        <v>452</v>
      </c>
      <c r="D1062" s="49" t="s">
        <v>140</v>
      </c>
      <c r="E1062" s="49" t="s">
        <v>245</v>
      </c>
      <c r="F1062" s="50">
        <v>43052.0</v>
      </c>
      <c r="G1062" s="50">
        <v>43056.0</v>
      </c>
      <c r="H1062" s="51">
        <v>43070.93125</v>
      </c>
      <c r="I1062" s="52">
        <v>1.0</v>
      </c>
      <c r="J1062" s="53"/>
      <c r="K1062" s="53"/>
    </row>
    <row r="1063">
      <c r="A1063" s="48" t="s">
        <v>3901</v>
      </c>
      <c r="B1063" s="49" t="s">
        <v>3903</v>
      </c>
      <c r="C1063" s="49" t="s">
        <v>203</v>
      </c>
      <c r="D1063" s="49" t="s">
        <v>148</v>
      </c>
      <c r="E1063" s="49" t="s">
        <v>245</v>
      </c>
      <c r="F1063" s="50">
        <v>43052.0</v>
      </c>
      <c r="G1063" s="50">
        <v>43054.0</v>
      </c>
      <c r="H1063" s="51">
        <v>43056.73125</v>
      </c>
      <c r="I1063" s="52">
        <v>1.0</v>
      </c>
      <c r="J1063" s="53"/>
      <c r="K1063" s="53"/>
    </row>
    <row r="1064">
      <c r="A1064" s="48" t="s">
        <v>3905</v>
      </c>
      <c r="B1064" s="49" t="s">
        <v>3906</v>
      </c>
      <c r="C1064" s="49" t="s">
        <v>203</v>
      </c>
      <c r="D1064" s="49" t="s">
        <v>148</v>
      </c>
      <c r="E1064" s="49" t="s">
        <v>245</v>
      </c>
      <c r="F1064" s="50">
        <v>43052.0</v>
      </c>
      <c r="G1064" s="50">
        <v>43052.0</v>
      </c>
      <c r="H1064" s="51">
        <v>43054.458333333336</v>
      </c>
      <c r="I1064" s="52">
        <v>1.0</v>
      </c>
      <c r="J1064" s="53"/>
      <c r="K1064" s="53"/>
    </row>
    <row r="1065">
      <c r="A1065" s="48" t="s">
        <v>3908</v>
      </c>
      <c r="B1065" s="49" t="s">
        <v>3909</v>
      </c>
      <c r="C1065" s="49" t="s">
        <v>257</v>
      </c>
      <c r="D1065" s="49" t="s">
        <v>153</v>
      </c>
      <c r="E1065" s="49" t="s">
        <v>245</v>
      </c>
      <c r="F1065" s="50">
        <v>43052.0</v>
      </c>
      <c r="G1065" s="50">
        <v>43052.0</v>
      </c>
      <c r="H1065" s="51">
        <v>43052.76875</v>
      </c>
      <c r="I1065" s="52">
        <v>1.0</v>
      </c>
      <c r="J1065" s="53"/>
      <c r="K1065" s="53"/>
    </row>
    <row r="1066">
      <c r="A1066" s="48" t="s">
        <v>3912</v>
      </c>
      <c r="B1066" s="49" t="s">
        <v>3913</v>
      </c>
      <c r="C1066" s="49" t="s">
        <v>257</v>
      </c>
      <c r="D1066" s="49" t="s">
        <v>153</v>
      </c>
      <c r="E1066" s="49" t="s">
        <v>245</v>
      </c>
      <c r="F1066" s="50">
        <v>43052.0</v>
      </c>
      <c r="G1066" s="50">
        <v>43052.0</v>
      </c>
      <c r="H1066" s="51">
        <v>43052.76944444444</v>
      </c>
      <c r="I1066" s="52">
        <v>1.0</v>
      </c>
      <c r="J1066" s="53"/>
      <c r="K1066" s="53"/>
    </row>
    <row r="1067">
      <c r="A1067" s="48" t="s">
        <v>3916</v>
      </c>
      <c r="B1067" s="49" t="s">
        <v>3917</v>
      </c>
      <c r="C1067" s="49" t="s">
        <v>221</v>
      </c>
      <c r="D1067" s="49" t="s">
        <v>153</v>
      </c>
      <c r="E1067" s="49" t="s">
        <v>245</v>
      </c>
      <c r="F1067" s="50">
        <v>43052.0</v>
      </c>
      <c r="G1067" s="50">
        <v>43052.0</v>
      </c>
      <c r="H1067" s="51">
        <v>43052.76944444444</v>
      </c>
      <c r="I1067" s="52">
        <v>1.0</v>
      </c>
      <c r="J1067" s="53"/>
      <c r="K1067" s="53"/>
    </row>
    <row r="1068">
      <c r="A1068" s="48" t="s">
        <v>3921</v>
      </c>
      <c r="B1068" s="49" t="s">
        <v>3922</v>
      </c>
      <c r="C1068" s="49" t="s">
        <v>221</v>
      </c>
      <c r="D1068" s="49" t="s">
        <v>153</v>
      </c>
      <c r="E1068" s="49" t="s">
        <v>245</v>
      </c>
      <c r="F1068" s="50">
        <v>43052.0</v>
      </c>
      <c r="G1068" s="50">
        <v>43052.0</v>
      </c>
      <c r="H1068" s="51">
        <v>43052.76944444444</v>
      </c>
      <c r="I1068" s="52">
        <v>1.0</v>
      </c>
      <c r="J1068" s="53"/>
      <c r="K1068" s="53"/>
    </row>
    <row r="1069">
      <c r="A1069" s="48" t="s">
        <v>3925</v>
      </c>
      <c r="B1069" s="49" t="s">
        <v>3926</v>
      </c>
      <c r="C1069" s="49" t="s">
        <v>1964</v>
      </c>
      <c r="D1069" s="49" t="s">
        <v>140</v>
      </c>
      <c r="E1069" s="49" t="s">
        <v>245</v>
      </c>
      <c r="F1069" s="50">
        <v>43050.0</v>
      </c>
      <c r="G1069" s="50">
        <v>43055.0</v>
      </c>
      <c r="H1069" s="51">
        <v>43067.683333333334</v>
      </c>
      <c r="I1069" s="52">
        <v>1.0</v>
      </c>
      <c r="J1069" s="53"/>
      <c r="K1069" s="53"/>
    </row>
    <row r="1070">
      <c r="A1070" s="48" t="s">
        <v>3928</v>
      </c>
      <c r="B1070" s="49" t="s">
        <v>3929</v>
      </c>
      <c r="C1070" s="49" t="s">
        <v>243</v>
      </c>
      <c r="D1070" s="49" t="s">
        <v>148</v>
      </c>
      <c r="E1070" s="49" t="s">
        <v>245</v>
      </c>
      <c r="F1070" s="50">
        <v>43049.0</v>
      </c>
      <c r="G1070" s="50">
        <v>43056.0</v>
      </c>
      <c r="H1070" s="51">
        <v>43049.686111111114</v>
      </c>
      <c r="I1070" s="52">
        <v>1.0</v>
      </c>
      <c r="J1070" s="53"/>
      <c r="K1070" s="53"/>
    </row>
    <row r="1071">
      <c r="A1071" s="48" t="s">
        <v>3932</v>
      </c>
      <c r="B1071" s="49" t="s">
        <v>3934</v>
      </c>
      <c r="C1071" s="49" t="s">
        <v>243</v>
      </c>
      <c r="D1071" s="49" t="s">
        <v>148</v>
      </c>
      <c r="E1071" s="49" t="s">
        <v>245</v>
      </c>
      <c r="F1071" s="50">
        <v>43049.0</v>
      </c>
      <c r="G1071" s="50">
        <v>43056.0</v>
      </c>
      <c r="H1071" s="51">
        <v>43049.686111111114</v>
      </c>
      <c r="I1071" s="52">
        <v>1.0</v>
      </c>
      <c r="J1071" s="53"/>
      <c r="K1071" s="53"/>
    </row>
    <row r="1072">
      <c r="A1072" s="48" t="s">
        <v>3936</v>
      </c>
      <c r="B1072" s="49" t="s">
        <v>3938</v>
      </c>
      <c r="C1072" s="49" t="s">
        <v>243</v>
      </c>
      <c r="D1072" s="49" t="s">
        <v>148</v>
      </c>
      <c r="E1072" s="49" t="s">
        <v>245</v>
      </c>
      <c r="F1072" s="50">
        <v>43049.0</v>
      </c>
      <c r="G1072" s="50">
        <v>43056.0</v>
      </c>
      <c r="H1072" s="51">
        <v>43049.6875</v>
      </c>
      <c r="I1072" s="52">
        <v>1.0</v>
      </c>
      <c r="J1072" s="53"/>
      <c r="K1072" s="53"/>
    </row>
    <row r="1073">
      <c r="A1073" s="48" t="s">
        <v>3945</v>
      </c>
      <c r="B1073" s="49" t="s">
        <v>3946</v>
      </c>
      <c r="C1073" s="49" t="s">
        <v>243</v>
      </c>
      <c r="D1073" s="49" t="s">
        <v>148</v>
      </c>
      <c r="E1073" s="49" t="s">
        <v>245</v>
      </c>
      <c r="F1073" s="50">
        <v>43049.0</v>
      </c>
      <c r="G1073" s="50">
        <v>43053.0</v>
      </c>
      <c r="H1073" s="51">
        <v>43049.84305555555</v>
      </c>
      <c r="I1073" s="52">
        <v>1.0</v>
      </c>
      <c r="J1073" s="53"/>
      <c r="K1073" s="53"/>
    </row>
    <row r="1074">
      <c r="A1074" s="48" t="s">
        <v>3949</v>
      </c>
      <c r="B1074" s="49" t="s">
        <v>3950</v>
      </c>
      <c r="C1074" s="49" t="s">
        <v>243</v>
      </c>
      <c r="D1074" s="49" t="s">
        <v>148</v>
      </c>
      <c r="E1074" s="49" t="s">
        <v>245</v>
      </c>
      <c r="F1074" s="50">
        <v>43049.0</v>
      </c>
      <c r="G1074" s="50">
        <v>43049.0</v>
      </c>
      <c r="H1074" s="51">
        <v>43049.70347222222</v>
      </c>
      <c r="I1074" s="52">
        <v>1.0</v>
      </c>
      <c r="J1074" s="53"/>
      <c r="K1074" s="53"/>
    </row>
    <row r="1075">
      <c r="A1075" s="48" t="s">
        <v>3954</v>
      </c>
      <c r="B1075" s="49" t="s">
        <v>3955</v>
      </c>
      <c r="C1075" s="49" t="s">
        <v>257</v>
      </c>
      <c r="D1075" s="49" t="s">
        <v>153</v>
      </c>
      <c r="E1075" s="49" t="s">
        <v>245</v>
      </c>
      <c r="F1075" s="50">
        <v>43049.0</v>
      </c>
      <c r="G1075" s="50">
        <v>43049.0</v>
      </c>
      <c r="H1075" s="51">
        <v>43049.819444444445</v>
      </c>
      <c r="I1075" s="52">
        <v>1.0</v>
      </c>
      <c r="J1075" s="53"/>
      <c r="K1075" s="53"/>
    </row>
    <row r="1076">
      <c r="A1076" s="48" t="s">
        <v>3957</v>
      </c>
      <c r="B1076" s="49" t="s">
        <v>3958</v>
      </c>
      <c r="C1076" s="49" t="s">
        <v>221</v>
      </c>
      <c r="D1076" s="49" t="s">
        <v>153</v>
      </c>
      <c r="E1076" s="49" t="s">
        <v>245</v>
      </c>
      <c r="F1076" s="50">
        <v>43049.0</v>
      </c>
      <c r="G1076" s="50">
        <v>43049.0</v>
      </c>
      <c r="H1076" s="51">
        <v>43049.819444444445</v>
      </c>
      <c r="I1076" s="52">
        <v>1.0</v>
      </c>
      <c r="J1076" s="53"/>
      <c r="K1076" s="53"/>
    </row>
    <row r="1077">
      <c r="A1077" s="48" t="s">
        <v>3961</v>
      </c>
      <c r="B1077" s="49" t="s">
        <v>3962</v>
      </c>
      <c r="C1077" s="49" t="s">
        <v>243</v>
      </c>
      <c r="D1077" s="49" t="s">
        <v>148</v>
      </c>
      <c r="E1077" s="49" t="s">
        <v>245</v>
      </c>
      <c r="F1077" s="50">
        <v>43048.0</v>
      </c>
      <c r="G1077" s="50">
        <v>43052.0</v>
      </c>
      <c r="H1077" s="51">
        <v>43048.39027777778</v>
      </c>
      <c r="I1077" s="52">
        <v>1.0</v>
      </c>
      <c r="J1077" s="53"/>
      <c r="K1077" s="53"/>
    </row>
    <row r="1078">
      <c r="A1078" s="48" t="s">
        <v>3965</v>
      </c>
      <c r="B1078" s="49" t="s">
        <v>3966</v>
      </c>
      <c r="C1078" s="49" t="s">
        <v>243</v>
      </c>
      <c r="D1078" s="49" t="s">
        <v>148</v>
      </c>
      <c r="E1078" s="49" t="s">
        <v>245</v>
      </c>
      <c r="F1078" s="50">
        <v>43048.0</v>
      </c>
      <c r="G1078" s="50">
        <v>43049.0</v>
      </c>
      <c r="H1078" s="51">
        <v>43048.38611111111</v>
      </c>
      <c r="I1078" s="52">
        <v>1.0</v>
      </c>
      <c r="J1078" s="53"/>
      <c r="K1078" s="53"/>
    </row>
    <row r="1079">
      <c r="A1079" s="48" t="s">
        <v>3969</v>
      </c>
      <c r="B1079" s="49" t="s">
        <v>3970</v>
      </c>
      <c r="C1079" s="49" t="s">
        <v>257</v>
      </c>
      <c r="D1079" s="49" t="s">
        <v>153</v>
      </c>
      <c r="E1079" s="49" t="s">
        <v>245</v>
      </c>
      <c r="F1079" s="50">
        <v>43048.0</v>
      </c>
      <c r="G1079" s="50">
        <v>43048.0</v>
      </c>
      <c r="H1079" s="51">
        <v>43048.67152777778</v>
      </c>
      <c r="I1079" s="52">
        <v>1.0</v>
      </c>
      <c r="J1079" s="53"/>
      <c r="K1079" s="53"/>
    </row>
    <row r="1080">
      <c r="A1080" s="48" t="s">
        <v>3971</v>
      </c>
      <c r="B1080" s="49" t="s">
        <v>3972</v>
      </c>
      <c r="C1080" s="49" t="s">
        <v>257</v>
      </c>
      <c r="D1080" s="49" t="s">
        <v>153</v>
      </c>
      <c r="E1080" s="49" t="s">
        <v>245</v>
      </c>
      <c r="F1080" s="50">
        <v>43048.0</v>
      </c>
      <c r="G1080" s="50">
        <v>43048.0</v>
      </c>
      <c r="H1080" s="51">
        <v>43048.67152777778</v>
      </c>
      <c r="I1080" s="52">
        <v>1.0</v>
      </c>
      <c r="J1080" s="53"/>
      <c r="K1080" s="53"/>
    </row>
    <row r="1081">
      <c r="A1081" s="48" t="s">
        <v>3975</v>
      </c>
      <c r="B1081" s="49" t="s">
        <v>3976</v>
      </c>
      <c r="C1081" s="49" t="s">
        <v>257</v>
      </c>
      <c r="D1081" s="49" t="s">
        <v>153</v>
      </c>
      <c r="E1081" s="49" t="s">
        <v>245</v>
      </c>
      <c r="F1081" s="50">
        <v>43048.0</v>
      </c>
      <c r="G1081" s="50">
        <v>43048.0</v>
      </c>
      <c r="H1081" s="51">
        <v>43048.67222222222</v>
      </c>
      <c r="I1081" s="52">
        <v>1.0</v>
      </c>
      <c r="J1081" s="53"/>
      <c r="K1081" s="53"/>
    </row>
    <row r="1082">
      <c r="A1082" s="48" t="s">
        <v>3978</v>
      </c>
      <c r="B1082" s="49" t="s">
        <v>3979</v>
      </c>
      <c r="C1082" s="49" t="s">
        <v>257</v>
      </c>
      <c r="D1082" s="49" t="s">
        <v>153</v>
      </c>
      <c r="E1082" s="49" t="s">
        <v>245</v>
      </c>
      <c r="F1082" s="50">
        <v>43048.0</v>
      </c>
      <c r="G1082" s="50">
        <v>43048.0</v>
      </c>
      <c r="H1082" s="51">
        <v>43048.67222222222</v>
      </c>
      <c r="I1082" s="52">
        <v>1.0</v>
      </c>
      <c r="J1082" s="53"/>
      <c r="K1082" s="53"/>
    </row>
    <row r="1083">
      <c r="A1083" s="48" t="s">
        <v>3982</v>
      </c>
      <c r="B1083" s="49" t="s">
        <v>3983</v>
      </c>
      <c r="C1083" s="49" t="s">
        <v>257</v>
      </c>
      <c r="D1083" s="49" t="s">
        <v>153</v>
      </c>
      <c r="E1083" s="49" t="s">
        <v>245</v>
      </c>
      <c r="F1083" s="50">
        <v>43048.0</v>
      </c>
      <c r="G1083" s="50">
        <v>43048.0</v>
      </c>
      <c r="H1083" s="51">
        <v>43048.67291666667</v>
      </c>
      <c r="I1083" s="52">
        <v>1.0</v>
      </c>
      <c r="J1083" s="53"/>
      <c r="K1083" s="53"/>
    </row>
    <row r="1084">
      <c r="A1084" s="48" t="s">
        <v>3984</v>
      </c>
      <c r="B1084" s="49" t="s">
        <v>3985</v>
      </c>
      <c r="C1084" s="49" t="s">
        <v>257</v>
      </c>
      <c r="D1084" s="49" t="s">
        <v>153</v>
      </c>
      <c r="E1084" s="49" t="s">
        <v>245</v>
      </c>
      <c r="F1084" s="50">
        <v>43048.0</v>
      </c>
      <c r="G1084" s="50">
        <v>43048.0</v>
      </c>
      <c r="H1084" s="51">
        <v>43048.67222222222</v>
      </c>
      <c r="I1084" s="52">
        <v>1.0</v>
      </c>
      <c r="J1084" s="53"/>
      <c r="K1084" s="53"/>
    </row>
    <row r="1085">
      <c r="A1085" s="48" t="s">
        <v>3987</v>
      </c>
      <c r="B1085" s="49" t="s">
        <v>3988</v>
      </c>
      <c r="C1085" s="49" t="s">
        <v>221</v>
      </c>
      <c r="D1085" s="49" t="s">
        <v>153</v>
      </c>
      <c r="E1085" s="49" t="s">
        <v>245</v>
      </c>
      <c r="F1085" s="50">
        <v>43048.0</v>
      </c>
      <c r="G1085" s="50">
        <v>43048.0</v>
      </c>
      <c r="H1085" s="51">
        <v>43048.67291666667</v>
      </c>
      <c r="I1085" s="52">
        <v>1.0</v>
      </c>
      <c r="J1085" s="53"/>
      <c r="K1085" s="53"/>
    </row>
    <row r="1086">
      <c r="A1086" s="48" t="s">
        <v>3990</v>
      </c>
      <c r="B1086" s="49" t="s">
        <v>3991</v>
      </c>
      <c r="C1086" s="49" t="s">
        <v>221</v>
      </c>
      <c r="D1086" s="49" t="s">
        <v>153</v>
      </c>
      <c r="E1086" s="49" t="s">
        <v>245</v>
      </c>
      <c r="F1086" s="50">
        <v>43048.0</v>
      </c>
      <c r="G1086" s="50">
        <v>43048.0</v>
      </c>
      <c r="H1086" s="51">
        <v>43048.67291666667</v>
      </c>
      <c r="I1086" s="52">
        <v>1.0</v>
      </c>
      <c r="J1086" s="53"/>
      <c r="K1086" s="53"/>
    </row>
    <row r="1087">
      <c r="A1087" s="48" t="s">
        <v>3994</v>
      </c>
      <c r="B1087" s="49" t="s">
        <v>3996</v>
      </c>
      <c r="C1087" s="49" t="s">
        <v>221</v>
      </c>
      <c r="D1087" s="49" t="s">
        <v>153</v>
      </c>
      <c r="E1087" s="49" t="s">
        <v>245</v>
      </c>
      <c r="F1087" s="50">
        <v>43048.0</v>
      </c>
      <c r="G1087" s="50">
        <v>43048.0</v>
      </c>
      <c r="H1087" s="51">
        <v>43048.67361111111</v>
      </c>
      <c r="I1087" s="52">
        <v>1.0</v>
      </c>
      <c r="J1087" s="53"/>
      <c r="K1087" s="53"/>
    </row>
    <row r="1088">
      <c r="A1088" s="48" t="s">
        <v>3997</v>
      </c>
      <c r="B1088" s="49" t="s">
        <v>3999</v>
      </c>
      <c r="C1088" s="49" t="s">
        <v>221</v>
      </c>
      <c r="D1088" s="49" t="s">
        <v>153</v>
      </c>
      <c r="E1088" s="49" t="s">
        <v>245</v>
      </c>
      <c r="F1088" s="50">
        <v>43048.0</v>
      </c>
      <c r="G1088" s="50">
        <v>43048.0</v>
      </c>
      <c r="H1088" s="51">
        <v>43048.67291666667</v>
      </c>
      <c r="I1088" s="52">
        <v>1.0</v>
      </c>
      <c r="J1088" s="53"/>
      <c r="K1088" s="53"/>
    </row>
    <row r="1089">
      <c r="A1089" s="48" t="s">
        <v>4001</v>
      </c>
      <c r="B1089" s="49" t="s">
        <v>4002</v>
      </c>
      <c r="C1089" s="49" t="s">
        <v>221</v>
      </c>
      <c r="D1089" s="49" t="s">
        <v>153</v>
      </c>
      <c r="E1089" s="49" t="s">
        <v>245</v>
      </c>
      <c r="F1089" s="50">
        <v>43048.0</v>
      </c>
      <c r="G1089" s="50">
        <v>43048.0</v>
      </c>
      <c r="H1089" s="51">
        <v>43048.67361111111</v>
      </c>
      <c r="I1089" s="52">
        <v>1.0</v>
      </c>
      <c r="J1089" s="53"/>
      <c r="K1089" s="53"/>
    </row>
    <row r="1090">
      <c r="A1090" s="48" t="s">
        <v>4004</v>
      </c>
      <c r="B1090" s="49" t="s">
        <v>4005</v>
      </c>
      <c r="C1090" s="49" t="s">
        <v>221</v>
      </c>
      <c r="D1090" s="49" t="s">
        <v>153</v>
      </c>
      <c r="E1090" s="49" t="s">
        <v>245</v>
      </c>
      <c r="F1090" s="50">
        <v>43048.0</v>
      </c>
      <c r="G1090" s="50">
        <v>43048.0</v>
      </c>
      <c r="H1090" s="51">
        <v>43048.67361111111</v>
      </c>
      <c r="I1090" s="52">
        <v>1.0</v>
      </c>
      <c r="J1090" s="53"/>
      <c r="K1090" s="53"/>
    </row>
    <row r="1091">
      <c r="A1091" s="48" t="s">
        <v>4007</v>
      </c>
      <c r="B1091" s="49" t="s">
        <v>4008</v>
      </c>
      <c r="C1091" s="49" t="s">
        <v>203</v>
      </c>
      <c r="D1091" s="49" t="s">
        <v>974</v>
      </c>
      <c r="E1091" s="49" t="s">
        <v>245</v>
      </c>
      <c r="F1091" s="50">
        <v>43047.0</v>
      </c>
      <c r="G1091" s="50">
        <v>43055.0</v>
      </c>
      <c r="H1091" s="51">
        <v>43063.80416666667</v>
      </c>
      <c r="I1091" s="52">
        <v>1.0</v>
      </c>
      <c r="J1091" s="53"/>
      <c r="K1091" s="53"/>
    </row>
    <row r="1092">
      <c r="A1092" s="48" t="s">
        <v>4011</v>
      </c>
      <c r="B1092" s="49" t="s">
        <v>4012</v>
      </c>
      <c r="C1092" s="49" t="s">
        <v>243</v>
      </c>
      <c r="D1092" s="49" t="s">
        <v>148</v>
      </c>
      <c r="E1092" s="49" t="s">
        <v>245</v>
      </c>
      <c r="F1092" s="50">
        <v>43047.0</v>
      </c>
      <c r="G1092" s="50">
        <v>43047.0</v>
      </c>
      <c r="H1092" s="51">
        <v>43047.427083333336</v>
      </c>
      <c r="I1092" s="52">
        <v>1.0</v>
      </c>
      <c r="J1092" s="53"/>
      <c r="K1092" s="53"/>
    </row>
    <row r="1093">
      <c r="A1093" s="48" t="s">
        <v>4015</v>
      </c>
      <c r="B1093" s="49" t="s">
        <v>4016</v>
      </c>
      <c r="C1093" s="49" t="s">
        <v>243</v>
      </c>
      <c r="D1093" s="49" t="s">
        <v>148</v>
      </c>
      <c r="E1093" s="49" t="s">
        <v>245</v>
      </c>
      <c r="F1093" s="50">
        <v>43046.0</v>
      </c>
      <c r="G1093" s="50">
        <v>43050.0</v>
      </c>
      <c r="H1093" s="51">
        <v>43046.688888888886</v>
      </c>
      <c r="I1093" s="52">
        <v>1.0</v>
      </c>
      <c r="J1093" s="53"/>
      <c r="K1093" s="53"/>
    </row>
    <row r="1094">
      <c r="A1094" s="48" t="s">
        <v>4019</v>
      </c>
      <c r="B1094" s="49" t="s">
        <v>4021</v>
      </c>
      <c r="C1094" s="49" t="s">
        <v>203</v>
      </c>
      <c r="D1094" s="49" t="s">
        <v>148</v>
      </c>
      <c r="E1094" s="49" t="s">
        <v>245</v>
      </c>
      <c r="F1094" s="50">
        <v>43046.0</v>
      </c>
      <c r="G1094" s="50">
        <v>43049.0</v>
      </c>
      <c r="H1094" s="51">
        <v>43049.68263888889</v>
      </c>
      <c r="I1094" s="52">
        <v>1.0</v>
      </c>
      <c r="J1094" s="53"/>
      <c r="K1094" s="53"/>
    </row>
    <row r="1095">
      <c r="A1095" s="48" t="s">
        <v>4025</v>
      </c>
      <c r="B1095" s="49" t="s">
        <v>4026</v>
      </c>
      <c r="C1095" s="49" t="s">
        <v>203</v>
      </c>
      <c r="D1095" s="49" t="s">
        <v>148</v>
      </c>
      <c r="E1095" s="49" t="s">
        <v>245</v>
      </c>
      <c r="F1095" s="50">
        <v>43046.0</v>
      </c>
      <c r="G1095" s="50">
        <v>43049.0</v>
      </c>
      <c r="H1095" s="51">
        <v>43056.82361111111</v>
      </c>
      <c r="I1095" s="52">
        <v>1.0</v>
      </c>
      <c r="J1095" s="53"/>
      <c r="K1095" s="53"/>
    </row>
    <row r="1096">
      <c r="A1096" s="48" t="s">
        <v>4029</v>
      </c>
      <c r="B1096" s="49" t="s">
        <v>4031</v>
      </c>
      <c r="C1096" s="49" t="s">
        <v>243</v>
      </c>
      <c r="D1096" s="49" t="s">
        <v>148</v>
      </c>
      <c r="E1096" s="49" t="s">
        <v>245</v>
      </c>
      <c r="F1096" s="50">
        <v>43046.0</v>
      </c>
      <c r="G1096" s="50">
        <v>43046.0</v>
      </c>
      <c r="H1096" s="51">
        <v>43046.614583333336</v>
      </c>
      <c r="I1096" s="52">
        <v>1.0</v>
      </c>
      <c r="J1096" s="53"/>
      <c r="K1096" s="53"/>
    </row>
    <row r="1097">
      <c r="A1097" s="48" t="s">
        <v>4033</v>
      </c>
      <c r="B1097" s="49" t="s">
        <v>4034</v>
      </c>
      <c r="C1097" s="49" t="s">
        <v>257</v>
      </c>
      <c r="D1097" s="49" t="s">
        <v>153</v>
      </c>
      <c r="E1097" s="49" t="s">
        <v>245</v>
      </c>
      <c r="F1097" s="50">
        <v>43046.0</v>
      </c>
      <c r="G1097" s="50">
        <v>43046.0</v>
      </c>
      <c r="H1097" s="51">
        <v>43046.73402777778</v>
      </c>
      <c r="I1097" s="52">
        <v>1.0</v>
      </c>
      <c r="J1097" s="53"/>
      <c r="K1097" s="53"/>
    </row>
    <row r="1098">
      <c r="A1098" s="48" t="s">
        <v>4037</v>
      </c>
      <c r="B1098" s="49" t="s">
        <v>4039</v>
      </c>
      <c r="C1098" s="49" t="s">
        <v>221</v>
      </c>
      <c r="D1098" s="49" t="s">
        <v>153</v>
      </c>
      <c r="E1098" s="49" t="s">
        <v>245</v>
      </c>
      <c r="F1098" s="50">
        <v>43046.0</v>
      </c>
      <c r="G1098" s="50">
        <v>43046.0</v>
      </c>
      <c r="H1098" s="51">
        <v>43046.73541666667</v>
      </c>
      <c r="I1098" s="52">
        <v>1.0</v>
      </c>
      <c r="J1098" s="53"/>
      <c r="K1098" s="53"/>
    </row>
    <row r="1099">
      <c r="A1099" s="48" t="s">
        <v>4043</v>
      </c>
      <c r="B1099" s="49" t="s">
        <v>4045</v>
      </c>
      <c r="C1099" s="49" t="s">
        <v>203</v>
      </c>
      <c r="D1099" s="49" t="s">
        <v>310</v>
      </c>
      <c r="E1099" s="49" t="s">
        <v>245</v>
      </c>
      <c r="F1099" s="50">
        <v>43045.0</v>
      </c>
      <c r="G1099" s="50">
        <v>43049.0</v>
      </c>
      <c r="H1099" s="51">
        <v>43077.67569444444</v>
      </c>
      <c r="I1099" s="52">
        <v>1.0</v>
      </c>
      <c r="J1099" s="53"/>
      <c r="K1099" s="53"/>
    </row>
    <row r="1100">
      <c r="A1100" s="48" t="s">
        <v>4046</v>
      </c>
      <c r="B1100" s="49" t="s">
        <v>4048</v>
      </c>
      <c r="C1100" s="49" t="s">
        <v>379</v>
      </c>
      <c r="D1100" s="49" t="s">
        <v>148</v>
      </c>
      <c r="E1100" s="49" t="s">
        <v>245</v>
      </c>
      <c r="F1100" s="50">
        <v>43045.0</v>
      </c>
      <c r="G1100" s="50">
        <v>43046.0</v>
      </c>
      <c r="H1100" s="51">
        <v>43047.42916666667</v>
      </c>
      <c r="I1100" s="52">
        <v>1.0</v>
      </c>
      <c r="J1100" s="53"/>
      <c r="K1100" s="53"/>
    </row>
    <row r="1101">
      <c r="A1101" s="48" t="s">
        <v>4051</v>
      </c>
      <c r="B1101" s="49" t="s">
        <v>4053</v>
      </c>
      <c r="C1101" s="49" t="s">
        <v>257</v>
      </c>
      <c r="D1101" s="49" t="s">
        <v>153</v>
      </c>
      <c r="E1101" s="49" t="s">
        <v>245</v>
      </c>
      <c r="F1101" s="50">
        <v>43045.0</v>
      </c>
      <c r="G1101" s="50">
        <v>43045.0</v>
      </c>
      <c r="H1101" s="51">
        <v>43046.48125</v>
      </c>
      <c r="I1101" s="52">
        <v>1.0</v>
      </c>
      <c r="J1101" s="53"/>
      <c r="K1101" s="53"/>
    </row>
    <row r="1102">
      <c r="A1102" s="48" t="s">
        <v>4057</v>
      </c>
      <c r="B1102" s="49" t="s">
        <v>4059</v>
      </c>
      <c r="C1102" s="49" t="s">
        <v>379</v>
      </c>
      <c r="D1102" s="49" t="s">
        <v>153</v>
      </c>
      <c r="E1102" s="49" t="s">
        <v>245</v>
      </c>
      <c r="F1102" s="50">
        <v>43045.0</v>
      </c>
      <c r="G1102" s="50">
        <v>43045.0</v>
      </c>
      <c r="H1102" s="51">
        <v>43087.46875</v>
      </c>
      <c r="I1102" s="52">
        <v>1.0</v>
      </c>
      <c r="J1102" s="53"/>
      <c r="K1102" s="53"/>
    </row>
    <row r="1103">
      <c r="A1103" s="48" t="s">
        <v>4062</v>
      </c>
      <c r="B1103" s="49" t="s">
        <v>4063</v>
      </c>
      <c r="C1103" s="49" t="s">
        <v>243</v>
      </c>
      <c r="D1103" s="49" t="s">
        <v>148</v>
      </c>
      <c r="E1103" s="49" t="s">
        <v>245</v>
      </c>
      <c r="F1103" s="50">
        <v>43045.0</v>
      </c>
      <c r="G1103" s="50">
        <v>43045.0</v>
      </c>
      <c r="H1103" s="51">
        <v>43045.48125</v>
      </c>
      <c r="I1103" s="52">
        <v>1.0</v>
      </c>
      <c r="J1103" s="53"/>
      <c r="K1103" s="53"/>
    </row>
    <row r="1104">
      <c r="A1104" s="48" t="s">
        <v>4066</v>
      </c>
      <c r="B1104" s="49" t="s">
        <v>4067</v>
      </c>
      <c r="C1104" s="49" t="s">
        <v>243</v>
      </c>
      <c r="D1104" s="49" t="s">
        <v>153</v>
      </c>
      <c r="E1104" s="49" t="s">
        <v>245</v>
      </c>
      <c r="F1104" s="50">
        <v>43045.0</v>
      </c>
      <c r="G1104" s="50">
        <v>43045.0</v>
      </c>
      <c r="H1104" s="51">
        <v>43047.42916666667</v>
      </c>
      <c r="I1104" s="52">
        <v>1.0</v>
      </c>
      <c r="J1104" s="53"/>
      <c r="K1104" s="53"/>
    </row>
    <row r="1105">
      <c r="A1105" s="48" t="s">
        <v>4070</v>
      </c>
      <c r="B1105" s="49" t="s">
        <v>4072</v>
      </c>
      <c r="C1105" s="49" t="s">
        <v>243</v>
      </c>
      <c r="D1105" s="49" t="s">
        <v>153</v>
      </c>
      <c r="E1105" s="49" t="s">
        <v>245</v>
      </c>
      <c r="F1105" s="50">
        <v>43045.0</v>
      </c>
      <c r="G1105" s="50">
        <v>43045.0</v>
      </c>
      <c r="H1105" s="51">
        <v>43047.41875</v>
      </c>
      <c r="I1105" s="52">
        <v>1.0</v>
      </c>
      <c r="J1105" s="53"/>
      <c r="K1105" s="53"/>
    </row>
    <row r="1106">
      <c r="A1106" s="48" t="s">
        <v>4074</v>
      </c>
      <c r="B1106" s="49" t="s">
        <v>4076</v>
      </c>
      <c r="C1106" s="49" t="s">
        <v>243</v>
      </c>
      <c r="D1106" s="49" t="s">
        <v>148</v>
      </c>
      <c r="E1106" s="49" t="s">
        <v>245</v>
      </c>
      <c r="F1106" s="50">
        <v>43045.0</v>
      </c>
      <c r="G1106" s="50">
        <v>43045.0</v>
      </c>
      <c r="H1106" s="51">
        <v>43045.46666666667</v>
      </c>
      <c r="I1106" s="52">
        <v>1.0</v>
      </c>
      <c r="J1106" s="53"/>
      <c r="K1106" s="53"/>
    </row>
    <row r="1107">
      <c r="A1107" s="48" t="s">
        <v>4078</v>
      </c>
      <c r="B1107" s="49" t="s">
        <v>4080</v>
      </c>
      <c r="C1107" s="49" t="s">
        <v>379</v>
      </c>
      <c r="D1107" s="49" t="s">
        <v>148</v>
      </c>
      <c r="E1107" s="49" t="s">
        <v>245</v>
      </c>
      <c r="F1107" s="50">
        <v>43045.0</v>
      </c>
      <c r="G1107" s="50">
        <v>43045.0</v>
      </c>
      <c r="H1107" s="51">
        <v>43056.82361111111</v>
      </c>
      <c r="I1107" s="52">
        <v>1.0</v>
      </c>
      <c r="J1107" s="53"/>
      <c r="K1107" s="53"/>
    </row>
    <row r="1108">
      <c r="A1108" s="48" t="s">
        <v>4083</v>
      </c>
      <c r="B1108" s="49" t="s">
        <v>4084</v>
      </c>
      <c r="C1108" s="49" t="s">
        <v>257</v>
      </c>
      <c r="D1108" s="49" t="s">
        <v>153</v>
      </c>
      <c r="E1108" s="49" t="s">
        <v>245</v>
      </c>
      <c r="F1108" s="50">
        <v>43045.0</v>
      </c>
      <c r="G1108" s="50">
        <v>43045.0</v>
      </c>
      <c r="H1108" s="51">
        <v>43046.47986111111</v>
      </c>
      <c r="I1108" s="52">
        <v>1.0</v>
      </c>
      <c r="J1108" s="53"/>
      <c r="K1108" s="53"/>
    </row>
    <row r="1109">
      <c r="A1109" s="48" t="s">
        <v>4088</v>
      </c>
      <c r="B1109" s="49" t="s">
        <v>4089</v>
      </c>
      <c r="C1109" s="49" t="s">
        <v>257</v>
      </c>
      <c r="D1109" s="49" t="s">
        <v>153</v>
      </c>
      <c r="E1109" s="49" t="s">
        <v>245</v>
      </c>
      <c r="F1109" s="50">
        <v>43045.0</v>
      </c>
      <c r="G1109" s="50">
        <v>43045.0</v>
      </c>
      <c r="H1109" s="51">
        <v>43046.48055555556</v>
      </c>
      <c r="I1109" s="52">
        <v>1.0</v>
      </c>
      <c r="J1109" s="53"/>
      <c r="K1109" s="53"/>
    </row>
    <row r="1110">
      <c r="A1110" s="48" t="s">
        <v>4092</v>
      </c>
      <c r="B1110" s="49" t="s">
        <v>4093</v>
      </c>
      <c r="C1110" s="49" t="s">
        <v>221</v>
      </c>
      <c r="D1110" s="49" t="s">
        <v>153</v>
      </c>
      <c r="E1110" s="49" t="s">
        <v>245</v>
      </c>
      <c r="F1110" s="50">
        <v>43045.0</v>
      </c>
      <c r="G1110" s="50">
        <v>43045.0</v>
      </c>
      <c r="H1110" s="51">
        <v>43046.48125</v>
      </c>
      <c r="I1110" s="52">
        <v>1.0</v>
      </c>
      <c r="J1110" s="53"/>
      <c r="K1110" s="53"/>
    </row>
    <row r="1111">
      <c r="A1111" s="48" t="s">
        <v>4097</v>
      </c>
      <c r="B1111" s="49" t="s">
        <v>4098</v>
      </c>
      <c r="C1111" s="49" t="s">
        <v>221</v>
      </c>
      <c r="D1111" s="49" t="s">
        <v>153</v>
      </c>
      <c r="E1111" s="49" t="s">
        <v>245</v>
      </c>
      <c r="F1111" s="50">
        <v>43045.0</v>
      </c>
      <c r="G1111" s="50">
        <v>43045.0</v>
      </c>
      <c r="H1111" s="51">
        <v>43046.481944444444</v>
      </c>
      <c r="I1111" s="52">
        <v>1.0</v>
      </c>
      <c r="J1111" s="53"/>
      <c r="K1111" s="53"/>
    </row>
    <row r="1112">
      <c r="A1112" s="48" t="s">
        <v>4101</v>
      </c>
      <c r="B1112" s="49" t="s">
        <v>4102</v>
      </c>
      <c r="C1112" s="49" t="s">
        <v>257</v>
      </c>
      <c r="D1112" s="49" t="s">
        <v>153</v>
      </c>
      <c r="E1112" s="49" t="s">
        <v>245</v>
      </c>
      <c r="F1112" s="50">
        <v>43045.0</v>
      </c>
      <c r="G1112" s="50">
        <v>43045.0</v>
      </c>
      <c r="H1112" s="51">
        <v>43046.48125</v>
      </c>
      <c r="I1112" s="52">
        <v>1.0</v>
      </c>
      <c r="J1112" s="53"/>
      <c r="K1112" s="53"/>
    </row>
    <row r="1113">
      <c r="A1113" s="48" t="s">
        <v>4105</v>
      </c>
      <c r="B1113" s="49" t="s">
        <v>4106</v>
      </c>
      <c r="C1113" s="49" t="s">
        <v>243</v>
      </c>
      <c r="D1113" s="49" t="s">
        <v>148</v>
      </c>
      <c r="E1113" s="49" t="s">
        <v>245</v>
      </c>
      <c r="F1113" s="50">
        <v>43042.0</v>
      </c>
      <c r="G1113" s="50">
        <v>43049.0</v>
      </c>
      <c r="H1113" s="51">
        <v>43067.68472222222</v>
      </c>
      <c r="I1113" s="52">
        <v>1.0</v>
      </c>
      <c r="J1113" s="53"/>
      <c r="K1113" s="53"/>
    </row>
    <row r="1114">
      <c r="A1114" s="48" t="s">
        <v>4109</v>
      </c>
      <c r="B1114" s="49" t="s">
        <v>4110</v>
      </c>
      <c r="C1114" s="49" t="s">
        <v>243</v>
      </c>
      <c r="D1114" s="49" t="s">
        <v>148</v>
      </c>
      <c r="E1114" s="49" t="s">
        <v>245</v>
      </c>
      <c r="F1114" s="50">
        <v>43042.0</v>
      </c>
      <c r="G1114" s="50">
        <v>43049.0</v>
      </c>
      <c r="H1114" s="51">
        <v>43042.78888888889</v>
      </c>
      <c r="I1114" s="52">
        <v>1.0</v>
      </c>
      <c r="J1114" s="53"/>
      <c r="K1114" s="53"/>
    </row>
    <row r="1115">
      <c r="A1115" s="48" t="s">
        <v>4114</v>
      </c>
      <c r="B1115" s="49" t="s">
        <v>4115</v>
      </c>
      <c r="C1115" s="49" t="s">
        <v>203</v>
      </c>
      <c r="D1115" s="49" t="s">
        <v>148</v>
      </c>
      <c r="E1115" s="49" t="s">
        <v>245</v>
      </c>
      <c r="F1115" s="50">
        <v>43042.0</v>
      </c>
      <c r="G1115" s="50">
        <v>43049.0</v>
      </c>
      <c r="H1115" s="51">
        <v>43047.42986111111</v>
      </c>
      <c r="I1115" s="52">
        <v>1.0</v>
      </c>
      <c r="J1115" s="53"/>
      <c r="K1115" s="53"/>
    </row>
    <row r="1116">
      <c r="A1116" s="48" t="s">
        <v>4118</v>
      </c>
      <c r="B1116" s="49" t="s">
        <v>4119</v>
      </c>
      <c r="C1116" s="49" t="s">
        <v>243</v>
      </c>
      <c r="D1116" s="49" t="s">
        <v>148</v>
      </c>
      <c r="E1116" s="49" t="s">
        <v>245</v>
      </c>
      <c r="F1116" s="50">
        <v>43042.0</v>
      </c>
      <c r="G1116" s="50">
        <v>43042.0</v>
      </c>
      <c r="H1116" s="51">
        <v>43042.68263888889</v>
      </c>
      <c r="I1116" s="52">
        <v>1.0</v>
      </c>
      <c r="J1116" s="53"/>
      <c r="K1116" s="53"/>
    </row>
    <row r="1117">
      <c r="A1117" s="48" t="s">
        <v>4122</v>
      </c>
      <c r="B1117" s="49" t="s">
        <v>4123</v>
      </c>
      <c r="C1117" s="49" t="s">
        <v>257</v>
      </c>
      <c r="D1117" s="49" t="s">
        <v>153</v>
      </c>
      <c r="E1117" s="49" t="s">
        <v>245</v>
      </c>
      <c r="F1117" s="50">
        <v>43041.0</v>
      </c>
      <c r="G1117" s="50">
        <v>43041.0</v>
      </c>
      <c r="H1117" s="51">
        <v>43041.819444444445</v>
      </c>
      <c r="I1117" s="52">
        <v>1.0</v>
      </c>
      <c r="J1117" s="53"/>
      <c r="K1117" s="53"/>
    </row>
    <row r="1118">
      <c r="A1118" s="48" t="s">
        <v>4126</v>
      </c>
      <c r="B1118" s="49" t="s">
        <v>4127</v>
      </c>
      <c r="C1118" s="49" t="s">
        <v>221</v>
      </c>
      <c r="D1118" s="49" t="s">
        <v>153</v>
      </c>
      <c r="E1118" s="49" t="s">
        <v>245</v>
      </c>
      <c r="F1118" s="50">
        <v>43041.0</v>
      </c>
      <c r="G1118" s="50">
        <v>43041.0</v>
      </c>
      <c r="H1118" s="51">
        <v>43041.819444444445</v>
      </c>
      <c r="I1118" s="52">
        <v>1.0</v>
      </c>
      <c r="J1118" s="53"/>
      <c r="K1118" s="53"/>
    </row>
    <row r="1119">
      <c r="A1119" s="48" t="s">
        <v>4130</v>
      </c>
      <c r="B1119" s="49" t="s">
        <v>4131</v>
      </c>
      <c r="C1119" s="49" t="s">
        <v>221</v>
      </c>
      <c r="D1119" s="49" t="s">
        <v>153</v>
      </c>
      <c r="E1119" s="49" t="s">
        <v>245</v>
      </c>
      <c r="F1119" s="50">
        <v>43041.0</v>
      </c>
      <c r="G1119" s="50">
        <v>43041.0</v>
      </c>
      <c r="H1119" s="51">
        <v>43041.82013888889</v>
      </c>
      <c r="I1119" s="52">
        <v>1.0</v>
      </c>
      <c r="J1119" s="53"/>
      <c r="K1119" s="53"/>
    </row>
    <row r="1120">
      <c r="A1120" s="48" t="s">
        <v>4134</v>
      </c>
      <c r="B1120" s="49" t="s">
        <v>4135</v>
      </c>
      <c r="C1120" s="49" t="s">
        <v>257</v>
      </c>
      <c r="D1120" s="49" t="s">
        <v>153</v>
      </c>
      <c r="E1120" s="49" t="s">
        <v>245</v>
      </c>
      <c r="F1120" s="50">
        <v>43041.0</v>
      </c>
      <c r="G1120" s="50">
        <v>43041.0</v>
      </c>
      <c r="H1120" s="51">
        <v>43041.82013888889</v>
      </c>
      <c r="I1120" s="52">
        <v>1.0</v>
      </c>
      <c r="J1120" s="53"/>
      <c r="K1120" s="53"/>
    </row>
    <row r="1121">
      <c r="A1121" s="48" t="s">
        <v>4139</v>
      </c>
      <c r="B1121" s="49" t="s">
        <v>4140</v>
      </c>
      <c r="C1121" s="49" t="s">
        <v>243</v>
      </c>
      <c r="D1121" s="49" t="s">
        <v>148</v>
      </c>
      <c r="E1121" s="49" t="s">
        <v>245</v>
      </c>
      <c r="F1121" s="50">
        <v>43040.0</v>
      </c>
      <c r="G1121" s="50">
        <v>43047.0</v>
      </c>
      <c r="H1121" s="51">
        <v>43040.65625</v>
      </c>
      <c r="I1121" s="52">
        <v>1.0</v>
      </c>
      <c r="J1121" s="53"/>
      <c r="K1121" s="53"/>
    </row>
    <row r="1122">
      <c r="A1122" s="48" t="s">
        <v>4144</v>
      </c>
      <c r="B1122" s="49" t="s">
        <v>4146</v>
      </c>
      <c r="C1122" s="49" t="s">
        <v>203</v>
      </c>
      <c r="D1122" s="49" t="s">
        <v>148</v>
      </c>
      <c r="E1122" s="49" t="s">
        <v>245</v>
      </c>
      <c r="F1122" s="50">
        <v>43040.0</v>
      </c>
      <c r="G1122" s="50">
        <v>43042.0</v>
      </c>
      <c r="H1122" s="51">
        <v>43042.66458333333</v>
      </c>
      <c r="I1122" s="52">
        <v>1.0</v>
      </c>
      <c r="J1122" s="53"/>
      <c r="K1122" s="53"/>
    </row>
    <row r="1123">
      <c r="A1123" s="48" t="s">
        <v>4148</v>
      </c>
      <c r="B1123" s="49" t="s">
        <v>4150</v>
      </c>
      <c r="C1123" s="49" t="s">
        <v>203</v>
      </c>
      <c r="D1123" s="49" t="s">
        <v>148</v>
      </c>
      <c r="E1123" s="49" t="s">
        <v>245</v>
      </c>
      <c r="F1123" s="50">
        <v>43040.0</v>
      </c>
      <c r="G1123" s="50">
        <v>43042.0</v>
      </c>
      <c r="H1123" s="51">
        <v>43042.66458333333</v>
      </c>
      <c r="I1123" s="52">
        <v>1.0</v>
      </c>
      <c r="J1123" s="53"/>
      <c r="K1123" s="53"/>
    </row>
    <row r="1124">
      <c r="A1124" s="48" t="s">
        <v>4153</v>
      </c>
      <c r="B1124" s="49" t="s">
        <v>4154</v>
      </c>
      <c r="C1124" s="49" t="s">
        <v>203</v>
      </c>
      <c r="D1124" s="49" t="s">
        <v>148</v>
      </c>
      <c r="E1124" s="49" t="s">
        <v>245</v>
      </c>
      <c r="F1124" s="50">
        <v>43040.0</v>
      </c>
      <c r="G1124" s="50">
        <v>43042.0</v>
      </c>
      <c r="H1124" s="51">
        <v>43042.66458333333</v>
      </c>
      <c r="I1124" s="52">
        <v>1.0</v>
      </c>
      <c r="J1124" s="53"/>
      <c r="K1124" s="53"/>
    </row>
    <row r="1125">
      <c r="A1125" s="48" t="s">
        <v>4157</v>
      </c>
      <c r="B1125" s="49" t="s">
        <v>4158</v>
      </c>
      <c r="C1125" s="49" t="s">
        <v>203</v>
      </c>
      <c r="D1125" s="49" t="s">
        <v>148</v>
      </c>
      <c r="E1125" s="49" t="s">
        <v>245</v>
      </c>
      <c r="F1125" s="50">
        <v>43040.0</v>
      </c>
      <c r="G1125" s="50">
        <v>43042.0</v>
      </c>
      <c r="H1125" s="51">
        <v>43042.66458333333</v>
      </c>
      <c r="I1125" s="52">
        <v>1.0</v>
      </c>
      <c r="J1125" s="53"/>
      <c r="K1125" s="53"/>
    </row>
    <row r="1126">
      <c r="A1126" s="48" t="s">
        <v>4163</v>
      </c>
      <c r="B1126" s="49" t="s">
        <v>4164</v>
      </c>
      <c r="C1126" s="49" t="s">
        <v>203</v>
      </c>
      <c r="D1126" s="49" t="s">
        <v>148</v>
      </c>
      <c r="E1126" s="49" t="s">
        <v>245</v>
      </c>
      <c r="F1126" s="50">
        <v>43040.0</v>
      </c>
      <c r="G1126" s="50">
        <v>43042.0</v>
      </c>
      <c r="H1126" s="51">
        <v>43042.67986111111</v>
      </c>
      <c r="I1126" s="52">
        <v>1.0</v>
      </c>
      <c r="J1126" s="53"/>
      <c r="K1126" s="53"/>
    </row>
    <row r="1127">
      <c r="A1127" s="48" t="s">
        <v>4169</v>
      </c>
      <c r="B1127" s="49" t="s">
        <v>4170</v>
      </c>
      <c r="C1127" s="49" t="s">
        <v>203</v>
      </c>
      <c r="D1127" s="49" t="s">
        <v>148</v>
      </c>
      <c r="E1127" s="49" t="s">
        <v>245</v>
      </c>
      <c r="F1127" s="50">
        <v>43040.0</v>
      </c>
      <c r="G1127" s="50">
        <v>43042.0</v>
      </c>
      <c r="H1127" s="51">
        <v>43063.80486111111</v>
      </c>
      <c r="I1127" s="52">
        <v>1.0</v>
      </c>
      <c r="J1127" s="53"/>
      <c r="K1127" s="53"/>
    </row>
    <row r="1128">
      <c r="A1128" s="48" t="s">
        <v>4173</v>
      </c>
      <c r="B1128" s="49" t="s">
        <v>4174</v>
      </c>
      <c r="C1128" s="49" t="s">
        <v>257</v>
      </c>
      <c r="D1128" s="49" t="s">
        <v>153</v>
      </c>
      <c r="E1128" s="49" t="s">
        <v>245</v>
      </c>
      <c r="F1128" s="50">
        <v>43040.0</v>
      </c>
      <c r="G1128" s="50">
        <v>43040.0</v>
      </c>
      <c r="H1128" s="51">
        <v>43040.69305555556</v>
      </c>
      <c r="I1128" s="52">
        <v>1.0</v>
      </c>
      <c r="J1128" s="53"/>
      <c r="K1128" s="53"/>
    </row>
    <row r="1129">
      <c r="A1129" s="48" t="s">
        <v>4177</v>
      </c>
      <c r="B1129" s="49" t="s">
        <v>4178</v>
      </c>
      <c r="C1129" s="49" t="s">
        <v>257</v>
      </c>
      <c r="D1129" s="49" t="s">
        <v>153</v>
      </c>
      <c r="E1129" s="49" t="s">
        <v>245</v>
      </c>
      <c r="F1129" s="50">
        <v>43040.0</v>
      </c>
      <c r="G1129" s="50">
        <v>43040.0</v>
      </c>
      <c r="H1129" s="51">
        <v>43040.69305555556</v>
      </c>
      <c r="I1129" s="52">
        <v>1.0</v>
      </c>
      <c r="J1129" s="53"/>
      <c r="K1129" s="53"/>
    </row>
    <row r="1130">
      <c r="A1130" s="48" t="s">
        <v>4181</v>
      </c>
      <c r="B1130" s="49" t="s">
        <v>4182</v>
      </c>
      <c r="C1130" s="49" t="s">
        <v>221</v>
      </c>
      <c r="D1130" s="49" t="s">
        <v>153</v>
      </c>
      <c r="E1130" s="49" t="s">
        <v>245</v>
      </c>
      <c r="F1130" s="50">
        <v>43040.0</v>
      </c>
      <c r="G1130" s="50">
        <v>43040.0</v>
      </c>
      <c r="H1130" s="51">
        <v>43040.69375</v>
      </c>
      <c r="I1130" s="52">
        <v>1.0</v>
      </c>
      <c r="J1130" s="53"/>
      <c r="K1130" s="53"/>
    </row>
    <row r="1131">
      <c r="A1131" s="48" t="s">
        <v>4185</v>
      </c>
      <c r="B1131" s="49" t="s">
        <v>4186</v>
      </c>
      <c r="C1131" s="49" t="s">
        <v>221</v>
      </c>
      <c r="D1131" s="49" t="s">
        <v>153</v>
      </c>
      <c r="E1131" s="49" t="s">
        <v>245</v>
      </c>
      <c r="F1131" s="50">
        <v>43040.0</v>
      </c>
      <c r="G1131" s="50">
        <v>43040.0</v>
      </c>
      <c r="H1131" s="51">
        <v>43040.69375</v>
      </c>
      <c r="I1131" s="52">
        <v>1.0</v>
      </c>
      <c r="J1131" s="53"/>
      <c r="K1131" s="53"/>
    </row>
    <row r="1132">
      <c r="A1132" s="48" t="s">
        <v>4189</v>
      </c>
      <c r="B1132" s="49" t="s">
        <v>4190</v>
      </c>
      <c r="C1132" s="49" t="s">
        <v>257</v>
      </c>
      <c r="D1132" s="49" t="s">
        <v>153</v>
      </c>
      <c r="E1132" s="49" t="s">
        <v>245</v>
      </c>
      <c r="F1132" s="50">
        <v>43040.0</v>
      </c>
      <c r="G1132" s="50">
        <v>43040.0</v>
      </c>
      <c r="H1132" s="51">
        <v>43040.69305555556</v>
      </c>
      <c r="I1132" s="52">
        <v>1.0</v>
      </c>
      <c r="J1132" s="53"/>
      <c r="K1132" s="53"/>
    </row>
    <row r="1133">
      <c r="A1133" s="48" t="s">
        <v>4193</v>
      </c>
      <c r="B1133" s="49" t="s">
        <v>4194</v>
      </c>
      <c r="C1133" s="49" t="s">
        <v>221</v>
      </c>
      <c r="D1133" s="49" t="s">
        <v>153</v>
      </c>
      <c r="E1133" s="49" t="s">
        <v>245</v>
      </c>
      <c r="F1133" s="50">
        <v>43040.0</v>
      </c>
      <c r="G1133" s="50">
        <v>43040.0</v>
      </c>
      <c r="H1133" s="51">
        <v>43040.69375</v>
      </c>
      <c r="I1133" s="52">
        <v>1.0</v>
      </c>
      <c r="J1133" s="53"/>
      <c r="K1133" s="53"/>
    </row>
    <row r="1134">
      <c r="A1134" s="48" t="s">
        <v>4197</v>
      </c>
      <c r="B1134" s="49" t="s">
        <v>4198</v>
      </c>
      <c r="C1134" s="49" t="s">
        <v>243</v>
      </c>
      <c r="D1134" s="49" t="s">
        <v>148</v>
      </c>
      <c r="E1134" s="49" t="s">
        <v>245</v>
      </c>
      <c r="F1134" s="50">
        <v>43040.0</v>
      </c>
      <c r="G1134" s="50">
        <v>43040.0</v>
      </c>
      <c r="H1134" s="51">
        <v>43040.82638888889</v>
      </c>
      <c r="I1134" s="52">
        <v>1.0</v>
      </c>
      <c r="J1134" s="53"/>
      <c r="K1134" s="53"/>
    </row>
    <row r="1135">
      <c r="A1135" s="48" t="s">
        <v>4202</v>
      </c>
      <c r="B1135" s="49" t="s">
        <v>4203</v>
      </c>
      <c r="C1135" s="49" t="s">
        <v>243</v>
      </c>
      <c r="D1135" s="49" t="s">
        <v>148</v>
      </c>
      <c r="E1135" s="49" t="s">
        <v>245</v>
      </c>
      <c r="F1135" s="50">
        <v>43039.0</v>
      </c>
      <c r="G1135" s="50">
        <v>43046.0</v>
      </c>
      <c r="H1135" s="51">
        <v>43042.790972222225</v>
      </c>
      <c r="I1135" s="52">
        <v>1.0</v>
      </c>
      <c r="J1135" s="53"/>
      <c r="K1135" s="53"/>
    </row>
    <row r="1136">
      <c r="A1136" s="48" t="s">
        <v>4205</v>
      </c>
      <c r="B1136" s="49" t="s">
        <v>4206</v>
      </c>
      <c r="C1136" s="49" t="s">
        <v>243</v>
      </c>
      <c r="D1136" s="49" t="s">
        <v>148</v>
      </c>
      <c r="E1136" s="49" t="s">
        <v>245</v>
      </c>
      <c r="F1136" s="50">
        <v>43039.0</v>
      </c>
      <c r="G1136" s="50">
        <v>43046.0</v>
      </c>
      <c r="H1136" s="51">
        <v>43042.790972222225</v>
      </c>
      <c r="I1136" s="52">
        <v>1.0</v>
      </c>
      <c r="J1136" s="53"/>
      <c r="K1136" s="53"/>
    </row>
    <row r="1137">
      <c r="A1137" s="48" t="s">
        <v>4209</v>
      </c>
      <c r="B1137" s="49" t="s">
        <v>4210</v>
      </c>
      <c r="C1137" s="49" t="s">
        <v>243</v>
      </c>
      <c r="D1137" s="49" t="s">
        <v>148</v>
      </c>
      <c r="E1137" s="49" t="s">
        <v>245</v>
      </c>
      <c r="F1137" s="50">
        <v>43039.0</v>
      </c>
      <c r="G1137" s="50">
        <v>43046.0</v>
      </c>
      <c r="H1137" s="51">
        <v>43039.62708333333</v>
      </c>
      <c r="I1137" s="52">
        <v>1.0</v>
      </c>
      <c r="J1137" s="53"/>
      <c r="K1137" s="53"/>
    </row>
    <row r="1138">
      <c r="A1138" s="48" t="s">
        <v>4213</v>
      </c>
      <c r="B1138" s="49" t="s">
        <v>4215</v>
      </c>
      <c r="C1138" s="49" t="s">
        <v>243</v>
      </c>
      <c r="D1138" s="49" t="s">
        <v>148</v>
      </c>
      <c r="E1138" s="49" t="s">
        <v>245</v>
      </c>
      <c r="F1138" s="50">
        <v>43039.0</v>
      </c>
      <c r="G1138" s="50">
        <v>43046.0</v>
      </c>
      <c r="H1138" s="51">
        <v>43039.631944444445</v>
      </c>
      <c r="I1138" s="52">
        <v>1.0</v>
      </c>
      <c r="J1138" s="53"/>
      <c r="K1138" s="53"/>
    </row>
    <row r="1139">
      <c r="A1139" s="48" t="s">
        <v>4218</v>
      </c>
      <c r="B1139" s="49" t="s">
        <v>4219</v>
      </c>
      <c r="C1139" s="49" t="s">
        <v>243</v>
      </c>
      <c r="D1139" s="49" t="s">
        <v>148</v>
      </c>
      <c r="E1139" s="49" t="s">
        <v>245</v>
      </c>
      <c r="F1139" s="50">
        <v>43039.0</v>
      </c>
      <c r="G1139" s="50">
        <v>43046.0</v>
      </c>
      <c r="H1139" s="51">
        <v>43039.63263888889</v>
      </c>
      <c r="I1139" s="52">
        <v>1.0</v>
      </c>
      <c r="J1139" s="53"/>
      <c r="K1139" s="53"/>
    </row>
    <row r="1140">
      <c r="A1140" s="48" t="s">
        <v>4222</v>
      </c>
      <c r="B1140" s="49" t="s">
        <v>4223</v>
      </c>
      <c r="C1140" s="49" t="s">
        <v>243</v>
      </c>
      <c r="D1140" s="49" t="s">
        <v>148</v>
      </c>
      <c r="E1140" s="49" t="s">
        <v>245</v>
      </c>
      <c r="F1140" s="50">
        <v>43039.0</v>
      </c>
      <c r="G1140" s="50">
        <v>43040.0</v>
      </c>
      <c r="H1140" s="51">
        <v>43039.62222222222</v>
      </c>
      <c r="I1140" s="52">
        <v>1.0</v>
      </c>
      <c r="J1140" s="53"/>
      <c r="K1140" s="53"/>
    </row>
    <row r="1141">
      <c r="A1141" s="48" t="s">
        <v>4226</v>
      </c>
      <c r="B1141" s="49" t="s">
        <v>4227</v>
      </c>
      <c r="C1141" s="49" t="s">
        <v>243</v>
      </c>
      <c r="D1141" s="49" t="s">
        <v>148</v>
      </c>
      <c r="E1141" s="49" t="s">
        <v>245</v>
      </c>
      <c r="F1141" s="50">
        <v>43039.0</v>
      </c>
      <c r="G1141" s="50">
        <v>43039.0</v>
      </c>
      <c r="H1141" s="51">
        <v>43039.60277777778</v>
      </c>
      <c r="I1141" s="52">
        <v>1.0</v>
      </c>
      <c r="J1141" s="53"/>
      <c r="K1141" s="53"/>
    </row>
    <row r="1142">
      <c r="A1142" s="48" t="s">
        <v>4230</v>
      </c>
      <c r="B1142" s="49" t="s">
        <v>4231</v>
      </c>
      <c r="C1142" s="49" t="s">
        <v>257</v>
      </c>
      <c r="D1142" s="49" t="s">
        <v>153</v>
      </c>
      <c r="E1142" s="49" t="s">
        <v>245</v>
      </c>
      <c r="F1142" s="50">
        <v>43039.0</v>
      </c>
      <c r="G1142" s="50">
        <v>43039.0</v>
      </c>
      <c r="H1142" s="51">
        <v>43039.6875</v>
      </c>
      <c r="I1142" s="52">
        <v>1.0</v>
      </c>
      <c r="J1142" s="53"/>
      <c r="K1142" s="53"/>
    </row>
    <row r="1143">
      <c r="A1143" s="48" t="s">
        <v>4234</v>
      </c>
      <c r="B1143" s="49" t="s">
        <v>4235</v>
      </c>
      <c r="C1143" s="49" t="s">
        <v>221</v>
      </c>
      <c r="D1143" s="49" t="s">
        <v>153</v>
      </c>
      <c r="E1143" s="49" t="s">
        <v>245</v>
      </c>
      <c r="F1143" s="50">
        <v>43039.0</v>
      </c>
      <c r="G1143" s="50">
        <v>43039.0</v>
      </c>
      <c r="H1143" s="51">
        <v>43039.68819444445</v>
      </c>
      <c r="I1143" s="52">
        <v>1.0</v>
      </c>
      <c r="J1143" s="53"/>
      <c r="K1143" s="53"/>
    </row>
    <row r="1144">
      <c r="A1144" s="48" t="s">
        <v>4238</v>
      </c>
      <c r="B1144" s="49" t="s">
        <v>4239</v>
      </c>
      <c r="C1144" s="49" t="s">
        <v>203</v>
      </c>
      <c r="D1144" s="49" t="s">
        <v>148</v>
      </c>
      <c r="E1144" s="49" t="s">
        <v>245</v>
      </c>
      <c r="F1144" s="50">
        <v>43038.0</v>
      </c>
      <c r="G1144" s="50">
        <v>43042.0</v>
      </c>
      <c r="H1144" s="51">
        <v>43063.805555555555</v>
      </c>
      <c r="I1144" s="52">
        <v>1.0</v>
      </c>
      <c r="J1144" s="53"/>
      <c r="K1144" s="53"/>
    </row>
    <row r="1145">
      <c r="A1145" s="48" t="s">
        <v>4242</v>
      </c>
      <c r="B1145" s="49" t="s">
        <v>4243</v>
      </c>
      <c r="C1145" s="49" t="s">
        <v>203</v>
      </c>
      <c r="D1145" s="49" t="s">
        <v>148</v>
      </c>
      <c r="E1145" s="49" t="s">
        <v>245</v>
      </c>
      <c r="F1145" s="50">
        <v>43038.0</v>
      </c>
      <c r="G1145" s="50">
        <v>43042.0</v>
      </c>
      <c r="H1145" s="51">
        <v>43040.83194444444</v>
      </c>
      <c r="I1145" s="52">
        <v>1.0</v>
      </c>
      <c r="J1145" s="53"/>
      <c r="K1145" s="53"/>
    </row>
    <row r="1146">
      <c r="A1146" s="48" t="s">
        <v>4246</v>
      </c>
      <c r="B1146" s="49" t="s">
        <v>4247</v>
      </c>
      <c r="C1146" s="49" t="s">
        <v>203</v>
      </c>
      <c r="D1146" s="49" t="s">
        <v>148</v>
      </c>
      <c r="E1146" s="49" t="s">
        <v>245</v>
      </c>
      <c r="F1146" s="50">
        <v>43038.0</v>
      </c>
      <c r="G1146" s="50">
        <v>43042.0</v>
      </c>
      <c r="H1146" s="51">
        <v>43040.83194444444</v>
      </c>
      <c r="I1146" s="52">
        <v>1.0</v>
      </c>
      <c r="J1146" s="53"/>
      <c r="K1146" s="53"/>
    </row>
    <row r="1147">
      <c r="A1147" s="48" t="s">
        <v>4251</v>
      </c>
      <c r="B1147" s="49" t="s">
        <v>4252</v>
      </c>
      <c r="C1147" s="49" t="s">
        <v>243</v>
      </c>
      <c r="D1147" s="49" t="s">
        <v>148</v>
      </c>
      <c r="E1147" s="49" t="s">
        <v>245</v>
      </c>
      <c r="F1147" s="50">
        <v>43038.0</v>
      </c>
      <c r="G1147" s="50">
        <v>43041.0</v>
      </c>
      <c r="H1147" s="51">
        <v>43038.42986111111</v>
      </c>
      <c r="I1147" s="52">
        <v>1.0</v>
      </c>
      <c r="J1147" s="53"/>
      <c r="K1147" s="53"/>
    </row>
    <row r="1148">
      <c r="A1148" s="48" t="s">
        <v>4255</v>
      </c>
      <c r="B1148" s="49" t="s">
        <v>4257</v>
      </c>
      <c r="C1148" s="49" t="s">
        <v>243</v>
      </c>
      <c r="D1148" s="49" t="s">
        <v>148</v>
      </c>
      <c r="E1148" s="49" t="s">
        <v>245</v>
      </c>
      <c r="F1148" s="50">
        <v>43038.0</v>
      </c>
      <c r="G1148" s="50">
        <v>43039.0</v>
      </c>
      <c r="H1148" s="51">
        <v>43038.44236111111</v>
      </c>
      <c r="I1148" s="52">
        <v>1.0</v>
      </c>
      <c r="J1148" s="53"/>
      <c r="K1148" s="53"/>
    </row>
    <row r="1149">
      <c r="A1149" s="48" t="s">
        <v>4260</v>
      </c>
      <c r="B1149" s="49" t="s">
        <v>4262</v>
      </c>
      <c r="C1149" s="49" t="s">
        <v>257</v>
      </c>
      <c r="D1149" s="49" t="s">
        <v>153</v>
      </c>
      <c r="E1149" s="49" t="s">
        <v>245</v>
      </c>
      <c r="F1149" s="50">
        <v>43038.0</v>
      </c>
      <c r="G1149" s="50">
        <v>43038.0</v>
      </c>
      <c r="H1149" s="51">
        <v>43039.43958333333</v>
      </c>
      <c r="I1149" s="52">
        <v>1.0</v>
      </c>
      <c r="J1149" s="53"/>
      <c r="K1149" s="53"/>
    </row>
    <row r="1150">
      <c r="A1150" s="48" t="s">
        <v>4265</v>
      </c>
      <c r="B1150" s="49" t="s">
        <v>4267</v>
      </c>
      <c r="C1150" s="49" t="s">
        <v>221</v>
      </c>
      <c r="D1150" s="49" t="s">
        <v>153</v>
      </c>
      <c r="E1150" s="49" t="s">
        <v>245</v>
      </c>
      <c r="F1150" s="50">
        <v>43038.0</v>
      </c>
      <c r="G1150" s="50">
        <v>43038.0</v>
      </c>
      <c r="H1150" s="51">
        <v>43039.44027777778</v>
      </c>
      <c r="I1150" s="52">
        <v>1.0</v>
      </c>
      <c r="J1150" s="53"/>
      <c r="K1150" s="53"/>
    </row>
    <row r="1151">
      <c r="A1151" s="48" t="s">
        <v>4271</v>
      </c>
      <c r="B1151" s="49" t="s">
        <v>4272</v>
      </c>
      <c r="C1151" s="49" t="s">
        <v>257</v>
      </c>
      <c r="D1151" s="49" t="s">
        <v>153</v>
      </c>
      <c r="E1151" s="49" t="s">
        <v>245</v>
      </c>
      <c r="F1151" s="50">
        <v>43038.0</v>
      </c>
      <c r="G1151" s="50">
        <v>43038.0</v>
      </c>
      <c r="H1151" s="51">
        <v>43039.44027777778</v>
      </c>
      <c r="I1151" s="52">
        <v>1.0</v>
      </c>
      <c r="J1151" s="53"/>
      <c r="K1151" s="53"/>
    </row>
    <row r="1152">
      <c r="A1152" s="48" t="s">
        <v>4275</v>
      </c>
      <c r="B1152" s="49" t="s">
        <v>4276</v>
      </c>
      <c r="C1152" s="49" t="s">
        <v>257</v>
      </c>
      <c r="D1152" s="49" t="s">
        <v>153</v>
      </c>
      <c r="E1152" s="49" t="s">
        <v>245</v>
      </c>
      <c r="F1152" s="50">
        <v>43038.0</v>
      </c>
      <c r="G1152" s="50">
        <v>43038.0</v>
      </c>
      <c r="H1152" s="51">
        <v>43039.438888888886</v>
      </c>
      <c r="I1152" s="52">
        <v>1.0</v>
      </c>
      <c r="J1152" s="53"/>
      <c r="K1152" s="53"/>
    </row>
    <row r="1153">
      <c r="A1153" s="48" t="s">
        <v>4279</v>
      </c>
      <c r="B1153" s="49" t="s">
        <v>4280</v>
      </c>
      <c r="C1153" s="49" t="s">
        <v>221</v>
      </c>
      <c r="D1153" s="49" t="s">
        <v>153</v>
      </c>
      <c r="E1153" s="49" t="s">
        <v>245</v>
      </c>
      <c r="F1153" s="50">
        <v>43038.0</v>
      </c>
      <c r="G1153" s="50">
        <v>43038.0</v>
      </c>
      <c r="H1153" s="51">
        <v>43039.43958333333</v>
      </c>
      <c r="I1153" s="52">
        <v>1.0</v>
      </c>
      <c r="J1153" s="53"/>
      <c r="K1153" s="53"/>
    </row>
    <row r="1154">
      <c r="A1154" s="48" t="s">
        <v>4283</v>
      </c>
      <c r="B1154" s="49" t="s">
        <v>4284</v>
      </c>
      <c r="C1154" s="49" t="s">
        <v>221</v>
      </c>
      <c r="D1154" s="49" t="s">
        <v>153</v>
      </c>
      <c r="E1154" s="49" t="s">
        <v>245</v>
      </c>
      <c r="F1154" s="50">
        <v>43038.0</v>
      </c>
      <c r="G1154" s="50">
        <v>43038.0</v>
      </c>
      <c r="H1154" s="51">
        <v>43039.44097222222</v>
      </c>
      <c r="I1154" s="52">
        <v>1.0</v>
      </c>
      <c r="J1154" s="53"/>
      <c r="K1154" s="53"/>
    </row>
    <row r="1155">
      <c r="A1155" s="48" t="s">
        <v>4287</v>
      </c>
      <c r="B1155" s="49" t="s">
        <v>4288</v>
      </c>
      <c r="C1155" s="49" t="s">
        <v>257</v>
      </c>
      <c r="D1155" s="49" t="s">
        <v>153</v>
      </c>
      <c r="E1155" s="49" t="s">
        <v>245</v>
      </c>
      <c r="F1155" s="50">
        <v>43038.0</v>
      </c>
      <c r="G1155" s="50">
        <v>43038.0</v>
      </c>
      <c r="H1155" s="51">
        <v>43039.44027777778</v>
      </c>
      <c r="I1155" s="52">
        <v>1.0</v>
      </c>
      <c r="J1155" s="53"/>
      <c r="K1155" s="53"/>
    </row>
    <row r="1156">
      <c r="A1156" s="48" t="s">
        <v>4290</v>
      </c>
      <c r="B1156" s="49" t="s">
        <v>4276</v>
      </c>
      <c r="C1156" s="49" t="s">
        <v>257</v>
      </c>
      <c r="D1156" s="49" t="s">
        <v>153</v>
      </c>
      <c r="E1156" s="49" t="s">
        <v>245</v>
      </c>
      <c r="F1156" s="50">
        <v>43038.0</v>
      </c>
      <c r="G1156" s="50">
        <v>43038.0</v>
      </c>
      <c r="H1156" s="51">
        <v>43038.475</v>
      </c>
      <c r="I1156" s="52">
        <v>1.0</v>
      </c>
      <c r="J1156" s="53"/>
      <c r="K1156" s="53"/>
    </row>
    <row r="1157">
      <c r="A1157" s="48" t="s">
        <v>4295</v>
      </c>
      <c r="B1157" s="49" t="s">
        <v>4296</v>
      </c>
      <c r="C1157" s="49" t="s">
        <v>243</v>
      </c>
      <c r="D1157" s="49" t="s">
        <v>148</v>
      </c>
      <c r="E1157" s="49" t="s">
        <v>245</v>
      </c>
      <c r="F1157" s="50">
        <v>43035.0</v>
      </c>
      <c r="G1157" s="50">
        <v>43042.0</v>
      </c>
      <c r="H1157" s="51">
        <v>43035.65972222222</v>
      </c>
      <c r="I1157" s="52">
        <v>1.0</v>
      </c>
      <c r="J1157" s="53"/>
      <c r="K1157" s="53"/>
    </row>
    <row r="1158">
      <c r="A1158" s="48" t="s">
        <v>4301</v>
      </c>
      <c r="B1158" s="49" t="s">
        <v>4302</v>
      </c>
      <c r="C1158" s="49" t="s">
        <v>243</v>
      </c>
      <c r="D1158" s="49" t="s">
        <v>148</v>
      </c>
      <c r="E1158" s="49" t="s">
        <v>245</v>
      </c>
      <c r="F1158" s="50">
        <v>43035.0</v>
      </c>
      <c r="G1158" s="50">
        <v>43042.0</v>
      </c>
      <c r="H1158" s="51">
        <v>43035.819444444445</v>
      </c>
      <c r="I1158" s="52">
        <v>1.0</v>
      </c>
      <c r="J1158" s="53"/>
      <c r="K1158" s="53"/>
    </row>
    <row r="1159">
      <c r="A1159" s="48" t="s">
        <v>4305</v>
      </c>
      <c r="B1159" s="49" t="s">
        <v>4306</v>
      </c>
      <c r="C1159" s="49" t="s">
        <v>243</v>
      </c>
      <c r="D1159" s="49" t="s">
        <v>148</v>
      </c>
      <c r="E1159" s="49" t="s">
        <v>245</v>
      </c>
      <c r="F1159" s="50">
        <v>43035.0</v>
      </c>
      <c r="G1159" s="50">
        <v>43042.0</v>
      </c>
      <c r="H1159" s="51">
        <v>43035.82013888889</v>
      </c>
      <c r="I1159" s="52">
        <v>1.0</v>
      </c>
      <c r="J1159" s="53"/>
      <c r="K1159" s="53"/>
    </row>
    <row r="1160">
      <c r="A1160" s="48" t="s">
        <v>4309</v>
      </c>
      <c r="B1160" s="49" t="s">
        <v>4310</v>
      </c>
      <c r="C1160" s="49" t="s">
        <v>243</v>
      </c>
      <c r="D1160" s="49" t="s">
        <v>148</v>
      </c>
      <c r="E1160" s="49" t="s">
        <v>245</v>
      </c>
      <c r="F1160" s="50">
        <v>43035.0</v>
      </c>
      <c r="G1160" s="50">
        <v>43035.0</v>
      </c>
      <c r="H1160" s="51">
        <v>43035.6125</v>
      </c>
      <c r="I1160" s="52">
        <v>1.0</v>
      </c>
      <c r="J1160" s="53"/>
      <c r="K1160" s="53"/>
    </row>
    <row r="1161">
      <c r="A1161" s="48" t="s">
        <v>4314</v>
      </c>
      <c r="B1161" s="49" t="s">
        <v>4315</v>
      </c>
      <c r="C1161" s="49" t="s">
        <v>257</v>
      </c>
      <c r="D1161" s="49" t="s">
        <v>153</v>
      </c>
      <c r="E1161" s="49" t="s">
        <v>245</v>
      </c>
      <c r="F1161" s="50">
        <v>43035.0</v>
      </c>
      <c r="G1161" s="50">
        <v>43035.0</v>
      </c>
      <c r="H1161" s="51">
        <v>43035.74722222222</v>
      </c>
      <c r="I1161" s="52">
        <v>1.0</v>
      </c>
      <c r="J1161" s="53"/>
      <c r="K1161" s="53"/>
    </row>
    <row r="1162">
      <c r="A1162" s="48" t="s">
        <v>4318</v>
      </c>
      <c r="B1162" s="49" t="s">
        <v>4319</v>
      </c>
      <c r="C1162" s="49" t="s">
        <v>221</v>
      </c>
      <c r="D1162" s="49" t="s">
        <v>153</v>
      </c>
      <c r="E1162" s="49" t="s">
        <v>245</v>
      </c>
      <c r="F1162" s="50">
        <v>43035.0</v>
      </c>
      <c r="G1162" s="50">
        <v>43035.0</v>
      </c>
      <c r="H1162" s="51">
        <v>43035.74791666667</v>
      </c>
      <c r="I1162" s="52">
        <v>1.0</v>
      </c>
      <c r="J1162" s="53"/>
      <c r="K1162" s="53"/>
    </row>
    <row r="1163">
      <c r="A1163" s="48" t="s">
        <v>4322</v>
      </c>
      <c r="B1163" s="49" t="s">
        <v>4323</v>
      </c>
      <c r="C1163" s="49" t="s">
        <v>243</v>
      </c>
      <c r="D1163" s="49" t="s">
        <v>148</v>
      </c>
      <c r="E1163" s="49" t="s">
        <v>245</v>
      </c>
      <c r="F1163" s="50">
        <v>43035.0</v>
      </c>
      <c r="G1163" s="50">
        <v>43035.0</v>
      </c>
      <c r="H1163" s="51">
        <v>43035.82013888889</v>
      </c>
      <c r="I1163" s="52">
        <v>1.0</v>
      </c>
      <c r="J1163" s="53"/>
      <c r="K1163" s="53"/>
    </row>
    <row r="1164">
      <c r="A1164" s="48" t="s">
        <v>4327</v>
      </c>
      <c r="B1164" s="49" t="s">
        <v>4328</v>
      </c>
      <c r="C1164" s="49" t="s">
        <v>243</v>
      </c>
      <c r="D1164" s="49" t="s">
        <v>148</v>
      </c>
      <c r="E1164" s="49" t="s">
        <v>245</v>
      </c>
      <c r="F1164" s="50">
        <v>43035.0</v>
      </c>
      <c r="G1164" s="50">
        <v>43035.0</v>
      </c>
      <c r="H1164" s="51">
        <v>43035.819444444445</v>
      </c>
      <c r="I1164" s="52">
        <v>1.0</v>
      </c>
      <c r="J1164" s="53"/>
      <c r="K1164" s="53"/>
    </row>
    <row r="1165">
      <c r="A1165" s="48" t="s">
        <v>4332</v>
      </c>
      <c r="B1165" s="49" t="s">
        <v>4333</v>
      </c>
      <c r="C1165" s="49" t="s">
        <v>243</v>
      </c>
      <c r="D1165" s="49" t="s">
        <v>148</v>
      </c>
      <c r="E1165" s="49" t="s">
        <v>245</v>
      </c>
      <c r="F1165" s="50">
        <v>43035.0</v>
      </c>
      <c r="G1165" s="50">
        <v>43035.0</v>
      </c>
      <c r="H1165" s="51">
        <v>43035.819444444445</v>
      </c>
      <c r="I1165" s="52">
        <v>1.0</v>
      </c>
      <c r="J1165" s="53"/>
      <c r="K1165" s="53"/>
    </row>
    <row r="1166">
      <c r="A1166" s="48" t="s">
        <v>4337</v>
      </c>
      <c r="B1166" s="49" t="s">
        <v>4235</v>
      </c>
      <c r="C1166" s="49" t="s">
        <v>221</v>
      </c>
      <c r="D1166" s="49" t="s">
        <v>153</v>
      </c>
      <c r="E1166" s="49" t="s">
        <v>245</v>
      </c>
      <c r="F1166" s="50">
        <v>43035.0</v>
      </c>
      <c r="G1166" s="50">
        <v>43035.0</v>
      </c>
      <c r="H1166" s="51">
        <v>43035.74722222222</v>
      </c>
      <c r="I1166" s="52">
        <v>1.0</v>
      </c>
      <c r="J1166" s="53"/>
      <c r="K1166" s="53"/>
    </row>
    <row r="1167">
      <c r="A1167" s="48" t="s">
        <v>4340</v>
      </c>
      <c r="B1167" s="49" t="s">
        <v>4341</v>
      </c>
      <c r="C1167" s="49" t="s">
        <v>243</v>
      </c>
      <c r="D1167" s="49" t="s">
        <v>148</v>
      </c>
      <c r="E1167" s="49" t="s">
        <v>204</v>
      </c>
      <c r="F1167" s="50">
        <v>43034.0</v>
      </c>
      <c r="G1167" s="50">
        <v>43041.0</v>
      </c>
      <c r="H1167" s="51">
        <v>43034.57986111111</v>
      </c>
      <c r="I1167" s="52">
        <v>0.0</v>
      </c>
      <c r="J1167" s="53"/>
      <c r="K1167" s="53"/>
    </row>
    <row r="1168">
      <c r="A1168" s="48" t="s">
        <v>4344</v>
      </c>
      <c r="B1168" s="49" t="s">
        <v>4345</v>
      </c>
      <c r="C1168" s="49" t="s">
        <v>243</v>
      </c>
      <c r="D1168" s="49" t="s">
        <v>148</v>
      </c>
      <c r="E1168" s="49" t="s">
        <v>245</v>
      </c>
      <c r="F1168" s="50">
        <v>43034.0</v>
      </c>
      <c r="G1168" s="50">
        <v>43042.0</v>
      </c>
      <c r="H1168" s="51">
        <v>43040.83194444444</v>
      </c>
      <c r="I1168" s="52">
        <v>1.0</v>
      </c>
      <c r="J1168" s="53"/>
      <c r="K1168" s="53"/>
    </row>
    <row r="1169">
      <c r="A1169" s="48" t="s">
        <v>4348</v>
      </c>
      <c r="B1169" s="49" t="s">
        <v>4349</v>
      </c>
      <c r="C1169" s="49" t="s">
        <v>257</v>
      </c>
      <c r="D1169" s="49" t="s">
        <v>153</v>
      </c>
      <c r="E1169" s="49" t="s">
        <v>245</v>
      </c>
      <c r="F1169" s="50">
        <v>43034.0</v>
      </c>
      <c r="G1169" s="50">
        <v>43034.0</v>
      </c>
      <c r="H1169" s="51">
        <v>43035.745833333334</v>
      </c>
      <c r="I1169" s="52">
        <v>1.0</v>
      </c>
      <c r="J1169" s="53"/>
      <c r="K1169" s="53"/>
    </row>
    <row r="1170">
      <c r="A1170" s="48" t="s">
        <v>4352</v>
      </c>
      <c r="B1170" s="49" t="s">
        <v>4353</v>
      </c>
      <c r="C1170" s="49" t="s">
        <v>221</v>
      </c>
      <c r="D1170" s="49" t="s">
        <v>153</v>
      </c>
      <c r="E1170" s="49" t="s">
        <v>245</v>
      </c>
      <c r="F1170" s="50">
        <v>43034.0</v>
      </c>
      <c r="G1170" s="50">
        <v>43034.0</v>
      </c>
      <c r="H1170" s="51">
        <v>43035.74652777778</v>
      </c>
      <c r="I1170" s="52">
        <v>1.0</v>
      </c>
      <c r="J1170" s="53"/>
      <c r="K1170" s="53"/>
    </row>
    <row r="1171">
      <c r="A1171" s="48" t="s">
        <v>4355</v>
      </c>
      <c r="B1171" s="49" t="s">
        <v>4356</v>
      </c>
      <c r="C1171" s="49" t="s">
        <v>243</v>
      </c>
      <c r="D1171" s="49" t="s">
        <v>148</v>
      </c>
      <c r="E1171" s="49" t="s">
        <v>245</v>
      </c>
      <c r="F1171" s="50">
        <v>43033.0</v>
      </c>
      <c r="G1171" s="50">
        <v>43040.0</v>
      </c>
      <c r="H1171" s="51">
        <v>43033.50555555556</v>
      </c>
      <c r="I1171" s="52">
        <v>1.0</v>
      </c>
      <c r="J1171" s="53"/>
      <c r="K1171" s="53"/>
    </row>
    <row r="1172">
      <c r="A1172" s="48" t="s">
        <v>4358</v>
      </c>
      <c r="B1172" s="49" t="s">
        <v>4359</v>
      </c>
      <c r="C1172" s="49" t="s">
        <v>257</v>
      </c>
      <c r="D1172" s="49" t="s">
        <v>153</v>
      </c>
      <c r="E1172" s="49" t="s">
        <v>245</v>
      </c>
      <c r="F1172" s="50">
        <v>43033.0</v>
      </c>
      <c r="G1172" s="50">
        <v>43033.0</v>
      </c>
      <c r="H1172" s="51">
        <v>43035.754166666666</v>
      </c>
      <c r="I1172" s="52">
        <v>1.0</v>
      </c>
      <c r="J1172" s="53"/>
      <c r="K1172" s="53"/>
    </row>
    <row r="1173">
      <c r="A1173" s="48" t="s">
        <v>4362</v>
      </c>
      <c r="B1173" s="49" t="s">
        <v>4363</v>
      </c>
      <c r="C1173" s="49" t="s">
        <v>221</v>
      </c>
      <c r="D1173" s="49" t="s">
        <v>153</v>
      </c>
      <c r="E1173" s="49" t="s">
        <v>245</v>
      </c>
      <c r="F1173" s="50">
        <v>43033.0</v>
      </c>
      <c r="G1173" s="50">
        <v>43033.0</v>
      </c>
      <c r="H1173" s="51">
        <v>43035.75486111111</v>
      </c>
      <c r="I1173" s="52">
        <v>1.0</v>
      </c>
      <c r="J1173" s="53"/>
      <c r="K1173" s="53"/>
    </row>
    <row r="1174">
      <c r="A1174" s="48" t="s">
        <v>4367</v>
      </c>
      <c r="B1174" s="49" t="s">
        <v>4368</v>
      </c>
      <c r="C1174" s="49" t="s">
        <v>257</v>
      </c>
      <c r="D1174" s="49" t="s">
        <v>153</v>
      </c>
      <c r="E1174" s="49" t="s">
        <v>245</v>
      </c>
      <c r="F1174" s="50">
        <v>43033.0</v>
      </c>
      <c r="G1174" s="50">
        <v>43033.0</v>
      </c>
      <c r="H1174" s="51">
        <v>43033.73402777778</v>
      </c>
      <c r="I1174" s="52">
        <v>1.0</v>
      </c>
      <c r="J1174" s="53"/>
      <c r="K1174" s="53"/>
    </row>
    <row r="1175">
      <c r="A1175" s="48" t="s">
        <v>4371</v>
      </c>
      <c r="B1175" s="49" t="s">
        <v>4372</v>
      </c>
      <c r="C1175" s="49" t="s">
        <v>221</v>
      </c>
      <c r="D1175" s="49" t="s">
        <v>153</v>
      </c>
      <c r="E1175" s="49" t="s">
        <v>245</v>
      </c>
      <c r="F1175" s="50">
        <v>43033.0</v>
      </c>
      <c r="G1175" s="50">
        <v>43033.0</v>
      </c>
      <c r="H1175" s="51">
        <v>43033.73402777778</v>
      </c>
      <c r="I1175" s="52">
        <v>1.0</v>
      </c>
      <c r="J1175" s="53"/>
      <c r="K1175" s="53"/>
    </row>
    <row r="1176">
      <c r="A1176" s="48" t="s">
        <v>4376</v>
      </c>
      <c r="B1176" s="49" t="s">
        <v>4377</v>
      </c>
      <c r="C1176" s="49" t="s">
        <v>221</v>
      </c>
      <c r="D1176" s="49" t="s">
        <v>153</v>
      </c>
      <c r="E1176" s="49" t="s">
        <v>245</v>
      </c>
      <c r="F1176" s="50">
        <v>43033.0</v>
      </c>
      <c r="G1176" s="50">
        <v>43033.0</v>
      </c>
      <c r="H1176" s="51">
        <v>43033.73472222222</v>
      </c>
      <c r="I1176" s="52">
        <v>1.0</v>
      </c>
      <c r="J1176" s="53"/>
      <c r="K1176" s="53"/>
    </row>
    <row r="1177">
      <c r="A1177" s="48" t="s">
        <v>4380</v>
      </c>
      <c r="B1177" s="49" t="s">
        <v>4381</v>
      </c>
      <c r="C1177" s="49" t="s">
        <v>257</v>
      </c>
      <c r="D1177" s="49" t="s">
        <v>153</v>
      </c>
      <c r="E1177" s="49" t="s">
        <v>245</v>
      </c>
      <c r="F1177" s="50">
        <v>43033.0</v>
      </c>
      <c r="G1177" s="50">
        <v>43033.0</v>
      </c>
      <c r="H1177" s="51">
        <v>43033.73402777778</v>
      </c>
      <c r="I1177" s="52">
        <v>1.0</v>
      </c>
      <c r="J1177" s="53"/>
      <c r="K1177" s="53"/>
    </row>
    <row r="1178">
      <c r="A1178" s="48" t="s">
        <v>4384</v>
      </c>
      <c r="B1178" s="49" t="s">
        <v>4385</v>
      </c>
      <c r="C1178" s="49" t="s">
        <v>243</v>
      </c>
      <c r="D1178" s="49" t="s">
        <v>148</v>
      </c>
      <c r="E1178" s="49" t="s">
        <v>245</v>
      </c>
      <c r="F1178" s="50">
        <v>43032.0</v>
      </c>
      <c r="G1178" s="50">
        <v>43036.0</v>
      </c>
      <c r="H1178" s="51">
        <v>43032.64722222222</v>
      </c>
      <c r="I1178" s="52">
        <v>1.0</v>
      </c>
      <c r="J1178" s="53"/>
      <c r="K1178" s="53"/>
    </row>
    <row r="1179">
      <c r="A1179" s="48" t="s">
        <v>4388</v>
      </c>
      <c r="B1179" s="49" t="s">
        <v>4389</v>
      </c>
      <c r="C1179" s="49" t="s">
        <v>243</v>
      </c>
      <c r="D1179" s="49" t="s">
        <v>148</v>
      </c>
      <c r="E1179" s="49" t="s">
        <v>245</v>
      </c>
      <c r="F1179" s="50">
        <v>43032.0</v>
      </c>
      <c r="G1179" s="50">
        <v>43032.0</v>
      </c>
      <c r="H1179" s="51">
        <v>43032.64444444444</v>
      </c>
      <c r="I1179" s="52">
        <v>1.0</v>
      </c>
      <c r="J1179" s="53"/>
      <c r="K1179" s="53"/>
    </row>
    <row r="1180">
      <c r="A1180" s="48" t="s">
        <v>4392</v>
      </c>
      <c r="B1180" s="49" t="s">
        <v>4393</v>
      </c>
      <c r="C1180" s="49" t="s">
        <v>243</v>
      </c>
      <c r="D1180" s="49" t="s">
        <v>148</v>
      </c>
      <c r="E1180" s="49" t="s">
        <v>245</v>
      </c>
      <c r="F1180" s="50">
        <v>43032.0</v>
      </c>
      <c r="G1180" s="50">
        <v>43032.0</v>
      </c>
      <c r="H1180" s="51">
        <v>43032.64722222222</v>
      </c>
      <c r="I1180" s="52">
        <v>1.0</v>
      </c>
      <c r="J1180" s="53"/>
      <c r="K1180" s="53"/>
    </row>
    <row r="1181">
      <c r="A1181" s="48" t="s">
        <v>4396</v>
      </c>
      <c r="B1181" s="49" t="s">
        <v>4397</v>
      </c>
      <c r="C1181" s="49" t="s">
        <v>257</v>
      </c>
      <c r="D1181" s="49" t="s">
        <v>153</v>
      </c>
      <c r="E1181" s="49" t="s">
        <v>245</v>
      </c>
      <c r="F1181" s="50">
        <v>43032.0</v>
      </c>
      <c r="G1181" s="50">
        <v>43032.0</v>
      </c>
      <c r="H1181" s="51">
        <v>43032.59583333333</v>
      </c>
      <c r="I1181" s="52">
        <v>1.0</v>
      </c>
      <c r="J1181" s="53"/>
      <c r="K1181" s="53"/>
    </row>
    <row r="1182">
      <c r="A1182" s="48" t="s">
        <v>4401</v>
      </c>
      <c r="B1182" s="49" t="s">
        <v>4402</v>
      </c>
      <c r="C1182" s="49" t="s">
        <v>221</v>
      </c>
      <c r="D1182" s="49" t="s">
        <v>153</v>
      </c>
      <c r="E1182" s="49" t="s">
        <v>245</v>
      </c>
      <c r="F1182" s="50">
        <v>43032.0</v>
      </c>
      <c r="G1182" s="50">
        <v>43032.0</v>
      </c>
      <c r="H1182" s="51">
        <v>43032.59652777778</v>
      </c>
      <c r="I1182" s="52">
        <v>1.0</v>
      </c>
      <c r="J1182" s="53"/>
      <c r="K1182" s="53"/>
    </row>
    <row r="1183">
      <c r="A1183" s="48" t="s">
        <v>4405</v>
      </c>
      <c r="B1183" s="49" t="s">
        <v>4363</v>
      </c>
      <c r="C1183" s="49" t="s">
        <v>221</v>
      </c>
      <c r="D1183" s="49" t="s">
        <v>153</v>
      </c>
      <c r="E1183" s="49" t="s">
        <v>245</v>
      </c>
      <c r="F1183" s="50">
        <v>43032.0</v>
      </c>
      <c r="G1183" s="50">
        <v>43032.0</v>
      </c>
      <c r="H1183" s="51">
        <v>43032.85277777778</v>
      </c>
      <c r="I1183" s="52">
        <v>1.0</v>
      </c>
      <c r="J1183" s="53"/>
      <c r="K1183" s="53"/>
    </row>
    <row r="1184">
      <c r="A1184" s="48" t="s">
        <v>4408</v>
      </c>
      <c r="B1184" s="49" t="s">
        <v>4359</v>
      </c>
      <c r="C1184" s="49" t="s">
        <v>257</v>
      </c>
      <c r="D1184" s="49" t="s">
        <v>153</v>
      </c>
      <c r="E1184" s="49" t="s">
        <v>245</v>
      </c>
      <c r="F1184" s="50">
        <v>43032.0</v>
      </c>
      <c r="G1184" s="50">
        <v>43032.0</v>
      </c>
      <c r="H1184" s="51">
        <v>43032.85208333333</v>
      </c>
      <c r="I1184" s="52">
        <v>1.0</v>
      </c>
      <c r="J1184" s="53"/>
      <c r="K1184" s="53"/>
    </row>
    <row r="1185">
      <c r="A1185" s="48" t="s">
        <v>4413</v>
      </c>
      <c r="B1185" s="49" t="s">
        <v>4414</v>
      </c>
      <c r="C1185" s="49" t="s">
        <v>243</v>
      </c>
      <c r="D1185" s="49" t="s">
        <v>148</v>
      </c>
      <c r="E1185" s="49" t="s">
        <v>245</v>
      </c>
      <c r="F1185" s="50">
        <v>43031.0</v>
      </c>
      <c r="G1185" s="50">
        <v>43041.0</v>
      </c>
      <c r="H1185" s="51">
        <v>43031.675</v>
      </c>
      <c r="I1185" s="52">
        <v>1.0</v>
      </c>
      <c r="J1185" s="53"/>
      <c r="K1185" s="53"/>
    </row>
    <row r="1186">
      <c r="A1186" s="48" t="s">
        <v>4416</v>
      </c>
      <c r="B1186" s="49" t="s">
        <v>4417</v>
      </c>
      <c r="C1186" s="49" t="s">
        <v>203</v>
      </c>
      <c r="D1186" s="49" t="s">
        <v>148</v>
      </c>
      <c r="E1186" s="49" t="s">
        <v>245</v>
      </c>
      <c r="F1186" s="50">
        <v>43031.0</v>
      </c>
      <c r="G1186" s="50">
        <v>43035.0</v>
      </c>
      <c r="H1186" s="51">
        <v>43040.83194444444</v>
      </c>
      <c r="I1186" s="52">
        <v>1.0</v>
      </c>
      <c r="J1186" s="53"/>
      <c r="K1186" s="53"/>
    </row>
    <row r="1187">
      <c r="A1187" s="48" t="s">
        <v>4421</v>
      </c>
      <c r="B1187" s="49" t="s">
        <v>4422</v>
      </c>
      <c r="C1187" s="49" t="s">
        <v>257</v>
      </c>
      <c r="D1187" s="49" t="s">
        <v>153</v>
      </c>
      <c r="E1187" s="49" t="s">
        <v>245</v>
      </c>
      <c r="F1187" s="50">
        <v>43031.0</v>
      </c>
      <c r="G1187" s="50">
        <v>43031.0</v>
      </c>
      <c r="H1187" s="51">
        <v>43031.69652777778</v>
      </c>
      <c r="I1187" s="52">
        <v>1.0</v>
      </c>
      <c r="J1187" s="53"/>
      <c r="K1187" s="53"/>
    </row>
    <row r="1188">
      <c r="A1188" s="48" t="s">
        <v>4425</v>
      </c>
      <c r="B1188" s="49" t="s">
        <v>4427</v>
      </c>
      <c r="C1188" s="49" t="s">
        <v>257</v>
      </c>
      <c r="D1188" s="49" t="s">
        <v>153</v>
      </c>
      <c r="E1188" s="49" t="s">
        <v>245</v>
      </c>
      <c r="F1188" s="50">
        <v>43031.0</v>
      </c>
      <c r="G1188" s="50">
        <v>43031.0</v>
      </c>
      <c r="H1188" s="51">
        <v>43031.620833333334</v>
      </c>
      <c r="I1188" s="52">
        <v>1.0</v>
      </c>
      <c r="J1188" s="53"/>
      <c r="K1188" s="53"/>
    </row>
    <row r="1189">
      <c r="A1189" s="48" t="s">
        <v>4429</v>
      </c>
      <c r="B1189" s="49" t="s">
        <v>4431</v>
      </c>
      <c r="C1189" s="49" t="s">
        <v>257</v>
      </c>
      <c r="D1189" s="49" t="s">
        <v>153</v>
      </c>
      <c r="E1189" s="49" t="s">
        <v>245</v>
      </c>
      <c r="F1189" s="50">
        <v>43031.0</v>
      </c>
      <c r="G1189" s="50">
        <v>43031.0</v>
      </c>
      <c r="H1189" s="51">
        <v>43031.620833333334</v>
      </c>
      <c r="I1189" s="52">
        <v>1.0</v>
      </c>
      <c r="J1189" s="53"/>
      <c r="K1189" s="53"/>
    </row>
    <row r="1190">
      <c r="A1190" s="48" t="s">
        <v>4434</v>
      </c>
      <c r="B1190" s="49" t="s">
        <v>4435</v>
      </c>
      <c r="C1190" s="49" t="s">
        <v>257</v>
      </c>
      <c r="D1190" s="49" t="s">
        <v>153</v>
      </c>
      <c r="E1190" s="49" t="s">
        <v>245</v>
      </c>
      <c r="F1190" s="50">
        <v>43031.0</v>
      </c>
      <c r="G1190" s="50">
        <v>43031.0</v>
      </c>
      <c r="H1190" s="51">
        <v>43032.52222222222</v>
      </c>
      <c r="I1190" s="52">
        <v>1.0</v>
      </c>
      <c r="J1190" s="53"/>
      <c r="K1190" s="53"/>
    </row>
    <row r="1191">
      <c r="A1191" s="48" t="s">
        <v>4439</v>
      </c>
      <c r="B1191" s="49" t="s">
        <v>4441</v>
      </c>
      <c r="C1191" s="49" t="s">
        <v>257</v>
      </c>
      <c r="D1191" s="49" t="s">
        <v>153</v>
      </c>
      <c r="E1191" s="49" t="s">
        <v>245</v>
      </c>
      <c r="F1191" s="50">
        <v>43031.0</v>
      </c>
      <c r="G1191" s="50">
        <v>43031.0</v>
      </c>
      <c r="H1191" s="51">
        <v>43032.52222222222</v>
      </c>
      <c r="I1191" s="52">
        <v>1.0</v>
      </c>
      <c r="J1191" s="53"/>
      <c r="K1191" s="53"/>
    </row>
    <row r="1192">
      <c r="A1192" s="48" t="s">
        <v>4444</v>
      </c>
      <c r="B1192" s="49" t="s">
        <v>4445</v>
      </c>
      <c r="C1192" s="49" t="s">
        <v>221</v>
      </c>
      <c r="D1192" s="49" t="s">
        <v>153</v>
      </c>
      <c r="E1192" s="49" t="s">
        <v>245</v>
      </c>
      <c r="F1192" s="50">
        <v>43031.0</v>
      </c>
      <c r="G1192" s="50">
        <v>43031.0</v>
      </c>
      <c r="H1192" s="51">
        <v>43031.62222222222</v>
      </c>
      <c r="I1192" s="52">
        <v>1.0</v>
      </c>
      <c r="J1192" s="53"/>
      <c r="K1192" s="53"/>
    </row>
    <row r="1193">
      <c r="A1193" s="48" t="s">
        <v>4450</v>
      </c>
      <c r="B1193" s="49" t="s">
        <v>4451</v>
      </c>
      <c r="C1193" s="49" t="s">
        <v>221</v>
      </c>
      <c r="D1193" s="49" t="s">
        <v>153</v>
      </c>
      <c r="E1193" s="49" t="s">
        <v>245</v>
      </c>
      <c r="F1193" s="50">
        <v>43031.0</v>
      </c>
      <c r="G1193" s="50">
        <v>43031.0</v>
      </c>
      <c r="H1193" s="51">
        <v>43317.17361111111</v>
      </c>
      <c r="I1193" s="52">
        <v>1.0</v>
      </c>
      <c r="J1193" s="53"/>
      <c r="K1193" s="53"/>
    </row>
    <row r="1194">
      <c r="A1194" s="48" t="s">
        <v>4454</v>
      </c>
      <c r="B1194" s="49" t="s">
        <v>4455</v>
      </c>
      <c r="C1194" s="49" t="s">
        <v>221</v>
      </c>
      <c r="D1194" s="49" t="s">
        <v>153</v>
      </c>
      <c r="E1194" s="49" t="s">
        <v>245</v>
      </c>
      <c r="F1194" s="50">
        <v>43031.0</v>
      </c>
      <c r="G1194" s="50">
        <v>43031.0</v>
      </c>
      <c r="H1194" s="51">
        <v>43031.69583333333</v>
      </c>
      <c r="I1194" s="52">
        <v>1.0</v>
      </c>
      <c r="J1194" s="53"/>
      <c r="K1194" s="53"/>
    </row>
    <row r="1195">
      <c r="A1195" s="48" t="s">
        <v>4458</v>
      </c>
      <c r="B1195" s="49" t="s">
        <v>4459</v>
      </c>
      <c r="C1195" s="49" t="s">
        <v>221</v>
      </c>
      <c r="D1195" s="49" t="s">
        <v>153</v>
      </c>
      <c r="E1195" s="49" t="s">
        <v>245</v>
      </c>
      <c r="F1195" s="50">
        <v>43031.0</v>
      </c>
      <c r="G1195" s="50">
        <v>43031.0</v>
      </c>
      <c r="H1195" s="51">
        <v>43032.52222222222</v>
      </c>
      <c r="I1195" s="52">
        <v>1.0</v>
      </c>
      <c r="J1195" s="53"/>
      <c r="K1195" s="53"/>
    </row>
    <row r="1196">
      <c r="A1196" s="48" t="s">
        <v>4463</v>
      </c>
      <c r="B1196" s="49" t="s">
        <v>4464</v>
      </c>
      <c r="C1196" s="49" t="s">
        <v>221</v>
      </c>
      <c r="D1196" s="49" t="s">
        <v>153</v>
      </c>
      <c r="E1196" s="49" t="s">
        <v>245</v>
      </c>
      <c r="F1196" s="50">
        <v>43031.0</v>
      </c>
      <c r="G1196" s="50">
        <v>43031.0</v>
      </c>
      <c r="H1196" s="51">
        <v>43032.52222222222</v>
      </c>
      <c r="I1196" s="52">
        <v>1.0</v>
      </c>
      <c r="J1196" s="53"/>
      <c r="K1196" s="53"/>
    </row>
    <row r="1197">
      <c r="A1197" s="48" t="s">
        <v>4468</v>
      </c>
      <c r="B1197" s="49" t="s">
        <v>4469</v>
      </c>
      <c r="C1197" s="49" t="s">
        <v>243</v>
      </c>
      <c r="D1197" s="49" t="s">
        <v>148</v>
      </c>
      <c r="E1197" s="49" t="s">
        <v>204</v>
      </c>
      <c r="F1197" s="50">
        <v>43028.0</v>
      </c>
      <c r="G1197" s="50">
        <v>43032.0</v>
      </c>
      <c r="H1197" s="51">
        <v>43028.697916666664</v>
      </c>
      <c r="I1197" s="52">
        <v>0.0</v>
      </c>
      <c r="J1197" s="53"/>
      <c r="K1197" s="53"/>
    </row>
    <row r="1198">
      <c r="A1198" s="48" t="s">
        <v>4473</v>
      </c>
      <c r="B1198" s="49" t="s">
        <v>4474</v>
      </c>
      <c r="C1198" s="49" t="s">
        <v>379</v>
      </c>
      <c r="D1198" s="49" t="s">
        <v>148</v>
      </c>
      <c r="E1198" s="49" t="s">
        <v>245</v>
      </c>
      <c r="F1198" s="50">
        <v>43028.0</v>
      </c>
      <c r="G1198" s="50">
        <v>43028.0</v>
      </c>
      <c r="H1198" s="51">
        <v>43028.81041666667</v>
      </c>
      <c r="I1198" s="52">
        <v>1.0</v>
      </c>
      <c r="J1198" s="53"/>
      <c r="K1198" s="53"/>
    </row>
    <row r="1199">
      <c r="A1199" s="48" t="s">
        <v>4477</v>
      </c>
      <c r="B1199" s="49" t="s">
        <v>4478</v>
      </c>
      <c r="C1199" s="49" t="s">
        <v>203</v>
      </c>
      <c r="D1199" s="49" t="s">
        <v>148</v>
      </c>
      <c r="E1199" s="49" t="s">
        <v>245</v>
      </c>
      <c r="F1199" s="50">
        <v>43028.0</v>
      </c>
      <c r="G1199" s="50">
        <v>43028.0</v>
      </c>
      <c r="H1199" s="51">
        <v>43028.81458333333</v>
      </c>
      <c r="I1199" s="52">
        <v>1.0</v>
      </c>
      <c r="J1199" s="53"/>
      <c r="K1199" s="53"/>
    </row>
    <row r="1200">
      <c r="A1200" s="48" t="s">
        <v>4481</v>
      </c>
      <c r="B1200" s="49" t="s">
        <v>4483</v>
      </c>
      <c r="C1200" s="49" t="s">
        <v>238</v>
      </c>
      <c r="D1200" s="49" t="s">
        <v>148</v>
      </c>
      <c r="E1200" s="49" t="s">
        <v>245</v>
      </c>
      <c r="F1200" s="50">
        <v>43027.0</v>
      </c>
      <c r="G1200" s="50">
        <v>43027.0</v>
      </c>
      <c r="H1200" s="51">
        <v>43028.81458333333</v>
      </c>
      <c r="I1200" s="52">
        <v>1.0</v>
      </c>
      <c r="J1200" s="53"/>
      <c r="K1200" s="53"/>
    </row>
    <row r="1201">
      <c r="A1201" s="48" t="s">
        <v>4486</v>
      </c>
      <c r="B1201" s="49" t="s">
        <v>4488</v>
      </c>
      <c r="C1201" s="49" t="s">
        <v>257</v>
      </c>
      <c r="D1201" s="49" t="s">
        <v>153</v>
      </c>
      <c r="E1201" s="49" t="s">
        <v>245</v>
      </c>
      <c r="F1201" s="50">
        <v>43027.0</v>
      </c>
      <c r="G1201" s="50">
        <v>43027.0</v>
      </c>
      <c r="H1201" s="51">
        <v>43027.73888888889</v>
      </c>
      <c r="I1201" s="52">
        <v>1.0</v>
      </c>
      <c r="J1201" s="53"/>
      <c r="K1201" s="53"/>
    </row>
    <row r="1202">
      <c r="A1202" s="48" t="s">
        <v>4491</v>
      </c>
      <c r="B1202" s="49" t="s">
        <v>4492</v>
      </c>
      <c r="C1202" s="49" t="s">
        <v>221</v>
      </c>
      <c r="D1202" s="49" t="s">
        <v>153</v>
      </c>
      <c r="E1202" s="49" t="s">
        <v>245</v>
      </c>
      <c r="F1202" s="50">
        <v>43027.0</v>
      </c>
      <c r="G1202" s="50">
        <v>43027.0</v>
      </c>
      <c r="H1202" s="51">
        <v>43027.73888888889</v>
      </c>
      <c r="I1202" s="52">
        <v>1.0</v>
      </c>
      <c r="J1202" s="53"/>
      <c r="K1202" s="53"/>
    </row>
    <row r="1203">
      <c r="A1203" s="48" t="s">
        <v>4495</v>
      </c>
      <c r="B1203" s="49" t="s">
        <v>4496</v>
      </c>
      <c r="C1203" s="49" t="s">
        <v>257</v>
      </c>
      <c r="D1203" s="49" t="s">
        <v>153</v>
      </c>
      <c r="E1203" s="49" t="s">
        <v>245</v>
      </c>
      <c r="F1203" s="50">
        <v>43027.0</v>
      </c>
      <c r="G1203" s="50">
        <v>43027.0</v>
      </c>
      <c r="H1203" s="51">
        <v>43027.82430555556</v>
      </c>
      <c r="I1203" s="52">
        <v>1.0</v>
      </c>
      <c r="J1203" s="53"/>
      <c r="K1203" s="53"/>
    </row>
    <row r="1204">
      <c r="A1204" s="48" t="s">
        <v>4501</v>
      </c>
      <c r="B1204" s="49" t="s">
        <v>4502</v>
      </c>
      <c r="C1204" s="49" t="s">
        <v>221</v>
      </c>
      <c r="D1204" s="49" t="s">
        <v>153</v>
      </c>
      <c r="E1204" s="49" t="s">
        <v>245</v>
      </c>
      <c r="F1204" s="50">
        <v>43027.0</v>
      </c>
      <c r="G1204" s="50">
        <v>43027.0</v>
      </c>
      <c r="H1204" s="51">
        <v>43027.825</v>
      </c>
      <c r="I1204" s="52">
        <v>1.0</v>
      </c>
      <c r="J1204" s="53"/>
      <c r="K1204" s="53"/>
    </row>
    <row r="1205">
      <c r="A1205" s="48" t="s">
        <v>4507</v>
      </c>
      <c r="B1205" s="49" t="s">
        <v>4508</v>
      </c>
      <c r="C1205" s="49" t="s">
        <v>203</v>
      </c>
      <c r="D1205" s="49" t="s">
        <v>148</v>
      </c>
      <c r="E1205" s="49" t="s">
        <v>245</v>
      </c>
      <c r="F1205" s="50">
        <v>43027.0</v>
      </c>
      <c r="G1205" s="50">
        <v>43027.0</v>
      </c>
      <c r="H1205" s="51">
        <v>43028.81180555555</v>
      </c>
      <c r="I1205" s="52">
        <v>1.0</v>
      </c>
      <c r="J1205" s="53"/>
      <c r="K1205" s="53"/>
    </row>
    <row r="1206">
      <c r="A1206" s="48" t="s">
        <v>4512</v>
      </c>
      <c r="B1206" s="49" t="s">
        <v>4514</v>
      </c>
      <c r="C1206" s="49" t="s">
        <v>243</v>
      </c>
      <c r="D1206" s="49" t="s">
        <v>148</v>
      </c>
      <c r="E1206" s="49" t="s">
        <v>245</v>
      </c>
      <c r="F1206" s="50">
        <v>43026.0</v>
      </c>
      <c r="G1206" s="50">
        <v>43036.0</v>
      </c>
      <c r="H1206" s="51">
        <v>43026.57916666667</v>
      </c>
      <c r="I1206" s="52">
        <v>1.0</v>
      </c>
      <c r="J1206" s="53"/>
      <c r="K1206" s="53"/>
    </row>
    <row r="1207">
      <c r="A1207" s="48" t="s">
        <v>4516</v>
      </c>
      <c r="B1207" s="49" t="s">
        <v>4517</v>
      </c>
      <c r="C1207" s="49" t="s">
        <v>243</v>
      </c>
      <c r="D1207" s="49" t="s">
        <v>148</v>
      </c>
      <c r="E1207" s="49" t="s">
        <v>245</v>
      </c>
      <c r="F1207" s="50">
        <v>43026.0</v>
      </c>
      <c r="G1207" s="50">
        <v>43033.0</v>
      </c>
      <c r="H1207" s="51">
        <v>43026.46944444445</v>
      </c>
      <c r="I1207" s="52">
        <v>1.0</v>
      </c>
      <c r="J1207" s="53"/>
      <c r="K1207" s="53"/>
    </row>
    <row r="1208">
      <c r="A1208" s="48" t="s">
        <v>4520</v>
      </c>
      <c r="B1208" s="49" t="s">
        <v>4521</v>
      </c>
      <c r="C1208" s="49" t="s">
        <v>243</v>
      </c>
      <c r="D1208" s="49" t="s">
        <v>148</v>
      </c>
      <c r="E1208" s="49" t="s">
        <v>245</v>
      </c>
      <c r="F1208" s="50">
        <v>43026.0</v>
      </c>
      <c r="G1208" s="50">
        <v>43029.0</v>
      </c>
      <c r="H1208" s="51">
        <v>43026.42152777778</v>
      </c>
      <c r="I1208" s="52">
        <v>1.0</v>
      </c>
      <c r="J1208" s="53"/>
      <c r="K1208" s="53"/>
    </row>
    <row r="1209">
      <c r="A1209" s="48" t="s">
        <v>4523</v>
      </c>
      <c r="B1209" s="49" t="s">
        <v>4525</v>
      </c>
      <c r="C1209" s="49" t="s">
        <v>243</v>
      </c>
      <c r="D1209" s="49" t="s">
        <v>148</v>
      </c>
      <c r="E1209" s="49" t="s">
        <v>245</v>
      </c>
      <c r="F1209" s="50">
        <v>43026.0</v>
      </c>
      <c r="G1209" s="50">
        <v>43028.0</v>
      </c>
      <c r="H1209" s="51">
        <v>43042.79652777778</v>
      </c>
      <c r="I1209" s="52">
        <v>1.0</v>
      </c>
      <c r="J1209" s="53"/>
      <c r="K1209" s="53"/>
    </row>
    <row r="1210">
      <c r="A1210" s="48" t="s">
        <v>4528</v>
      </c>
      <c r="B1210" s="49" t="s">
        <v>4529</v>
      </c>
      <c r="C1210" s="49" t="s">
        <v>243</v>
      </c>
      <c r="D1210" s="49" t="s">
        <v>148</v>
      </c>
      <c r="E1210" s="49" t="s">
        <v>245</v>
      </c>
      <c r="F1210" s="50">
        <v>43026.0</v>
      </c>
      <c r="G1210" s="50">
        <v>43026.0</v>
      </c>
      <c r="H1210" s="51">
        <v>43026.42638888889</v>
      </c>
      <c r="I1210" s="52">
        <v>1.0</v>
      </c>
      <c r="J1210" s="53"/>
      <c r="K1210" s="53"/>
    </row>
    <row r="1211">
      <c r="A1211" s="48" t="s">
        <v>4532</v>
      </c>
      <c r="B1211" s="49" t="s">
        <v>4533</v>
      </c>
      <c r="C1211" s="49" t="s">
        <v>257</v>
      </c>
      <c r="D1211" s="49" t="s">
        <v>153</v>
      </c>
      <c r="E1211" s="49" t="s">
        <v>245</v>
      </c>
      <c r="F1211" s="50">
        <v>43026.0</v>
      </c>
      <c r="G1211" s="50">
        <v>43026.0</v>
      </c>
      <c r="H1211" s="51">
        <v>43026.6875</v>
      </c>
      <c r="I1211" s="52">
        <v>1.0</v>
      </c>
      <c r="J1211" s="53"/>
      <c r="K1211" s="53"/>
    </row>
    <row r="1212">
      <c r="A1212" s="48" t="s">
        <v>4536</v>
      </c>
      <c r="B1212" s="49" t="s">
        <v>4537</v>
      </c>
      <c r="C1212" s="49" t="s">
        <v>221</v>
      </c>
      <c r="D1212" s="49" t="s">
        <v>153</v>
      </c>
      <c r="E1212" s="49" t="s">
        <v>245</v>
      </c>
      <c r="F1212" s="50">
        <v>43026.0</v>
      </c>
      <c r="G1212" s="50">
        <v>43026.0</v>
      </c>
      <c r="H1212" s="51">
        <v>43026.68819444445</v>
      </c>
      <c r="I1212" s="52">
        <v>1.0</v>
      </c>
      <c r="J1212" s="53"/>
      <c r="K1212" s="53"/>
    </row>
    <row r="1213">
      <c r="A1213" s="48" t="s">
        <v>4540</v>
      </c>
      <c r="B1213" s="49" t="s">
        <v>4541</v>
      </c>
      <c r="C1213" s="49" t="s">
        <v>243</v>
      </c>
      <c r="D1213" s="49" t="s">
        <v>148</v>
      </c>
      <c r="E1213" s="49" t="s">
        <v>204</v>
      </c>
      <c r="F1213" s="50">
        <v>43025.0</v>
      </c>
      <c r="G1213" s="50">
        <v>43029.0</v>
      </c>
      <c r="H1213" s="51">
        <v>43025.65902777778</v>
      </c>
      <c r="I1213" s="52">
        <v>0.0</v>
      </c>
      <c r="J1213" s="53"/>
      <c r="K1213" s="53"/>
    </row>
    <row r="1214">
      <c r="A1214" s="48" t="s">
        <v>4544</v>
      </c>
      <c r="B1214" s="49" t="s">
        <v>4545</v>
      </c>
      <c r="C1214" s="49" t="s">
        <v>243</v>
      </c>
      <c r="D1214" s="49" t="s">
        <v>148</v>
      </c>
      <c r="E1214" s="49" t="s">
        <v>245</v>
      </c>
      <c r="F1214" s="50">
        <v>43025.0</v>
      </c>
      <c r="G1214" s="50">
        <v>43034.0</v>
      </c>
      <c r="H1214" s="51">
        <v>43025.728472222225</v>
      </c>
      <c r="I1214" s="52">
        <v>1.0</v>
      </c>
      <c r="J1214" s="53"/>
      <c r="K1214" s="53"/>
    </row>
    <row r="1215">
      <c r="A1215" s="48" t="s">
        <v>4548</v>
      </c>
      <c r="B1215" s="49" t="s">
        <v>4549</v>
      </c>
      <c r="C1215" s="49" t="s">
        <v>243</v>
      </c>
      <c r="D1215" s="49" t="s">
        <v>148</v>
      </c>
      <c r="E1215" s="49" t="s">
        <v>245</v>
      </c>
      <c r="F1215" s="50">
        <v>43025.0</v>
      </c>
      <c r="G1215" s="50">
        <v>43033.0</v>
      </c>
      <c r="H1215" s="51">
        <v>43025.72986111111</v>
      </c>
      <c r="I1215" s="52">
        <v>1.0</v>
      </c>
      <c r="J1215" s="53"/>
      <c r="K1215" s="53"/>
    </row>
    <row r="1216">
      <c r="A1216" s="48" t="s">
        <v>4552</v>
      </c>
      <c r="B1216" s="49" t="s">
        <v>4553</v>
      </c>
      <c r="C1216" s="49" t="s">
        <v>243</v>
      </c>
      <c r="D1216" s="49" t="s">
        <v>148</v>
      </c>
      <c r="E1216" s="49" t="s">
        <v>245</v>
      </c>
      <c r="F1216" s="50">
        <v>43025.0</v>
      </c>
      <c r="G1216" s="50">
        <v>43028.0</v>
      </c>
      <c r="H1216" s="51">
        <v>43025.66388888889</v>
      </c>
      <c r="I1216" s="52">
        <v>1.0</v>
      </c>
      <c r="J1216" s="53"/>
      <c r="K1216" s="53"/>
    </row>
    <row r="1217">
      <c r="A1217" s="48" t="s">
        <v>4555</v>
      </c>
      <c r="B1217" s="49" t="s">
        <v>4557</v>
      </c>
      <c r="C1217" s="49" t="s">
        <v>243</v>
      </c>
      <c r="D1217" s="49" t="s">
        <v>148</v>
      </c>
      <c r="E1217" s="49" t="s">
        <v>245</v>
      </c>
      <c r="F1217" s="50">
        <v>43025.0</v>
      </c>
      <c r="G1217" s="50">
        <v>43026.0</v>
      </c>
      <c r="H1217" s="51">
        <v>43025.729166666664</v>
      </c>
      <c r="I1217" s="52">
        <v>1.0</v>
      </c>
      <c r="J1217" s="53"/>
      <c r="K1217" s="53"/>
    </row>
    <row r="1218">
      <c r="A1218" s="48" t="s">
        <v>4561</v>
      </c>
      <c r="B1218" s="49" t="s">
        <v>4563</v>
      </c>
      <c r="C1218" s="49" t="s">
        <v>243</v>
      </c>
      <c r="D1218" s="49" t="s">
        <v>148</v>
      </c>
      <c r="E1218" s="49" t="s">
        <v>245</v>
      </c>
      <c r="F1218" s="50">
        <v>43025.0</v>
      </c>
      <c r="G1218" s="50">
        <v>43025.0</v>
      </c>
      <c r="H1218" s="51">
        <v>43025.42916666667</v>
      </c>
      <c r="I1218" s="52">
        <v>1.0</v>
      </c>
      <c r="J1218" s="53"/>
      <c r="K1218" s="53"/>
    </row>
    <row r="1219">
      <c r="A1219" s="48" t="s">
        <v>4566</v>
      </c>
      <c r="B1219" s="49" t="s">
        <v>4568</v>
      </c>
      <c r="C1219" s="49" t="s">
        <v>257</v>
      </c>
      <c r="D1219" s="49" t="s">
        <v>153</v>
      </c>
      <c r="E1219" s="49" t="s">
        <v>245</v>
      </c>
      <c r="F1219" s="50">
        <v>43025.0</v>
      </c>
      <c r="G1219" s="50">
        <v>43025.0</v>
      </c>
      <c r="H1219" s="51">
        <v>43025.6375</v>
      </c>
      <c r="I1219" s="52">
        <v>1.0</v>
      </c>
      <c r="J1219" s="53"/>
      <c r="K1219" s="53"/>
    </row>
    <row r="1220">
      <c r="A1220" s="48" t="s">
        <v>4571</v>
      </c>
      <c r="B1220" s="49" t="s">
        <v>4573</v>
      </c>
      <c r="C1220" s="49" t="s">
        <v>221</v>
      </c>
      <c r="D1220" s="49" t="s">
        <v>153</v>
      </c>
      <c r="E1220" s="49" t="s">
        <v>245</v>
      </c>
      <c r="F1220" s="50">
        <v>43025.0</v>
      </c>
      <c r="G1220" s="50">
        <v>43025.0</v>
      </c>
      <c r="H1220" s="51">
        <v>43025.63611111111</v>
      </c>
      <c r="I1220" s="52">
        <v>1.0</v>
      </c>
      <c r="J1220" s="53"/>
      <c r="K1220" s="53"/>
    </row>
    <row r="1221">
      <c r="A1221" s="48" t="s">
        <v>4576</v>
      </c>
      <c r="B1221" s="49" t="s">
        <v>4577</v>
      </c>
      <c r="C1221" s="49" t="s">
        <v>203</v>
      </c>
      <c r="D1221" s="49" t="s">
        <v>153</v>
      </c>
      <c r="E1221" s="49" t="s">
        <v>245</v>
      </c>
      <c r="F1221" s="50">
        <v>43025.0</v>
      </c>
      <c r="G1221" s="50">
        <v>43025.0</v>
      </c>
      <c r="H1221" s="51">
        <v>43025.6375</v>
      </c>
      <c r="I1221" s="52">
        <v>1.0</v>
      </c>
      <c r="J1221" s="53"/>
      <c r="K1221" s="53"/>
    </row>
    <row r="1222">
      <c r="A1222" s="48" t="s">
        <v>4580</v>
      </c>
      <c r="B1222" s="49" t="s">
        <v>4581</v>
      </c>
      <c r="C1222" s="49" t="s">
        <v>243</v>
      </c>
      <c r="D1222" s="49" t="s">
        <v>148</v>
      </c>
      <c r="E1222" s="49" t="s">
        <v>245</v>
      </c>
      <c r="F1222" s="50">
        <v>43025.0</v>
      </c>
      <c r="G1222" s="50">
        <v>43025.0</v>
      </c>
      <c r="H1222" s="51">
        <v>43025.67916666667</v>
      </c>
      <c r="I1222" s="52">
        <v>1.0</v>
      </c>
      <c r="J1222" s="53"/>
      <c r="K1222" s="53"/>
    </row>
    <row r="1223">
      <c r="A1223" s="48" t="s">
        <v>4584</v>
      </c>
      <c r="B1223" s="49" t="s">
        <v>4586</v>
      </c>
      <c r="C1223" s="49" t="s">
        <v>379</v>
      </c>
      <c r="D1223" s="49" t="s">
        <v>148</v>
      </c>
      <c r="E1223" s="49" t="s">
        <v>245</v>
      </c>
      <c r="F1223" s="50">
        <v>43024.0</v>
      </c>
      <c r="G1223" s="50">
        <v>43028.0</v>
      </c>
      <c r="H1223" s="51">
        <v>43074.629166666666</v>
      </c>
      <c r="I1223" s="52">
        <v>1.0</v>
      </c>
      <c r="J1223" s="53"/>
      <c r="K1223" s="53"/>
    </row>
    <row r="1224">
      <c r="A1224" s="48" t="s">
        <v>4589</v>
      </c>
      <c r="B1224" s="49" t="s">
        <v>4590</v>
      </c>
      <c r="C1224" s="49" t="s">
        <v>243</v>
      </c>
      <c r="D1224" s="49" t="s">
        <v>148</v>
      </c>
      <c r="E1224" s="49" t="s">
        <v>245</v>
      </c>
      <c r="F1224" s="50">
        <v>43024.0</v>
      </c>
      <c r="G1224" s="50">
        <v>43024.0</v>
      </c>
      <c r="H1224" s="51">
        <v>43025.57361111111</v>
      </c>
      <c r="I1224" s="52">
        <v>1.0</v>
      </c>
      <c r="J1224" s="53"/>
      <c r="K1224" s="53"/>
    </row>
    <row r="1225">
      <c r="A1225" s="48" t="s">
        <v>4594</v>
      </c>
      <c r="B1225" s="49" t="s">
        <v>4596</v>
      </c>
      <c r="C1225" s="49" t="s">
        <v>485</v>
      </c>
      <c r="D1225" s="49" t="s">
        <v>153</v>
      </c>
      <c r="E1225" s="49" t="s">
        <v>245</v>
      </c>
      <c r="F1225" s="50">
        <v>43024.0</v>
      </c>
      <c r="G1225" s="50">
        <v>43024.0</v>
      </c>
      <c r="H1225" s="51">
        <v>43024.657638888886</v>
      </c>
      <c r="I1225" s="52">
        <v>1.0</v>
      </c>
      <c r="J1225" s="53"/>
      <c r="K1225" s="53"/>
    </row>
    <row r="1226">
      <c r="A1226" s="48" t="s">
        <v>4600</v>
      </c>
      <c r="B1226" s="49" t="s">
        <v>4601</v>
      </c>
      <c r="C1226" s="49" t="s">
        <v>257</v>
      </c>
      <c r="D1226" s="49" t="s">
        <v>153</v>
      </c>
      <c r="E1226" s="49" t="s">
        <v>245</v>
      </c>
      <c r="F1226" s="50">
        <v>43024.0</v>
      </c>
      <c r="G1226" s="50">
        <v>43024.0</v>
      </c>
      <c r="H1226" s="51">
        <v>43024.657638888886</v>
      </c>
      <c r="I1226" s="52">
        <v>1.0</v>
      </c>
      <c r="J1226" s="53"/>
      <c r="K1226" s="53"/>
    </row>
    <row r="1227">
      <c r="A1227" s="48" t="s">
        <v>4605</v>
      </c>
      <c r="B1227" s="49" t="s">
        <v>4607</v>
      </c>
      <c r="C1227" s="49" t="s">
        <v>221</v>
      </c>
      <c r="D1227" s="49" t="s">
        <v>153</v>
      </c>
      <c r="E1227" s="49" t="s">
        <v>245</v>
      </c>
      <c r="F1227" s="50">
        <v>43024.0</v>
      </c>
      <c r="G1227" s="50">
        <v>43024.0</v>
      </c>
      <c r="H1227" s="51">
        <v>43024.65972222222</v>
      </c>
      <c r="I1227" s="52">
        <v>1.0</v>
      </c>
      <c r="J1227" s="53"/>
      <c r="K1227" s="53"/>
    </row>
    <row r="1228">
      <c r="A1228" s="48" t="s">
        <v>4610</v>
      </c>
      <c r="B1228" s="49" t="s">
        <v>4611</v>
      </c>
      <c r="C1228" s="49" t="s">
        <v>257</v>
      </c>
      <c r="D1228" s="49" t="s">
        <v>153</v>
      </c>
      <c r="E1228" s="49" t="s">
        <v>245</v>
      </c>
      <c r="F1228" s="50">
        <v>43024.0</v>
      </c>
      <c r="G1228" s="50">
        <v>43024.0</v>
      </c>
      <c r="H1228" s="51">
        <v>43067.68472222222</v>
      </c>
      <c r="I1228" s="52">
        <v>1.0</v>
      </c>
      <c r="J1228" s="53"/>
      <c r="K1228" s="53"/>
    </row>
    <row r="1229">
      <c r="A1229" s="48" t="s">
        <v>4615</v>
      </c>
      <c r="B1229" s="49" t="s">
        <v>4616</v>
      </c>
      <c r="C1229" s="49" t="s">
        <v>221</v>
      </c>
      <c r="D1229" s="49" t="s">
        <v>153</v>
      </c>
      <c r="E1229" s="49" t="s">
        <v>245</v>
      </c>
      <c r="F1229" s="50">
        <v>43024.0</v>
      </c>
      <c r="G1229" s="50">
        <v>43024.0</v>
      </c>
      <c r="H1229" s="51">
        <v>43067.68472222222</v>
      </c>
      <c r="I1229" s="52">
        <v>1.0</v>
      </c>
      <c r="J1229" s="53"/>
      <c r="K1229" s="53"/>
    </row>
    <row r="1230">
      <c r="A1230" s="48" t="s">
        <v>4620</v>
      </c>
      <c r="B1230" s="49" t="s">
        <v>4621</v>
      </c>
      <c r="C1230" s="49" t="s">
        <v>243</v>
      </c>
      <c r="D1230" s="49" t="s">
        <v>148</v>
      </c>
      <c r="E1230" s="49" t="s">
        <v>245</v>
      </c>
      <c r="F1230" s="50">
        <v>43024.0</v>
      </c>
      <c r="G1230" s="50">
        <v>43024.0</v>
      </c>
      <c r="H1230" s="51">
        <v>43025.42916666667</v>
      </c>
      <c r="I1230" s="52">
        <v>1.0</v>
      </c>
      <c r="J1230" s="53"/>
      <c r="K1230" s="53"/>
    </row>
    <row r="1231">
      <c r="A1231" s="48" t="s">
        <v>4624</v>
      </c>
      <c r="B1231" s="49" t="s">
        <v>4625</v>
      </c>
      <c r="C1231" s="49" t="s">
        <v>257</v>
      </c>
      <c r="D1231" s="49" t="s">
        <v>153</v>
      </c>
      <c r="E1231" s="49" t="s">
        <v>245</v>
      </c>
      <c r="F1231" s="50">
        <v>43021.0</v>
      </c>
      <c r="G1231" s="50">
        <v>43021.0</v>
      </c>
      <c r="H1231" s="51">
        <v>43021.665972222225</v>
      </c>
      <c r="I1231" s="52">
        <v>1.0</v>
      </c>
      <c r="J1231" s="53"/>
      <c r="K1231" s="53"/>
    </row>
    <row r="1232">
      <c r="A1232" s="48" t="s">
        <v>4628</v>
      </c>
      <c r="B1232" s="49" t="s">
        <v>4630</v>
      </c>
      <c r="C1232" s="49" t="s">
        <v>221</v>
      </c>
      <c r="D1232" s="49" t="s">
        <v>153</v>
      </c>
      <c r="E1232" s="49" t="s">
        <v>245</v>
      </c>
      <c r="F1232" s="50">
        <v>43021.0</v>
      </c>
      <c r="G1232" s="50">
        <v>43021.0</v>
      </c>
      <c r="H1232" s="51">
        <v>43021.666666666664</v>
      </c>
      <c r="I1232" s="52">
        <v>1.0</v>
      </c>
      <c r="J1232" s="53"/>
      <c r="K1232" s="53"/>
    </row>
    <row r="1233">
      <c r="A1233" s="48" t="s">
        <v>4635</v>
      </c>
      <c r="B1233" s="49" t="s">
        <v>4637</v>
      </c>
      <c r="C1233" s="49" t="s">
        <v>243</v>
      </c>
      <c r="D1233" s="49" t="s">
        <v>148</v>
      </c>
      <c r="E1233" s="49" t="s">
        <v>245</v>
      </c>
      <c r="F1233" s="50">
        <v>43021.0</v>
      </c>
      <c r="G1233" s="50">
        <v>43021.0</v>
      </c>
      <c r="H1233" s="51">
        <v>43021.47708333333</v>
      </c>
      <c r="I1233" s="52">
        <v>1.0</v>
      </c>
      <c r="J1233" s="53"/>
      <c r="K1233" s="53"/>
    </row>
    <row r="1234">
      <c r="A1234" s="48" t="s">
        <v>4641</v>
      </c>
      <c r="B1234" s="49" t="s">
        <v>4644</v>
      </c>
      <c r="C1234" s="49" t="s">
        <v>243</v>
      </c>
      <c r="D1234" s="49" t="s">
        <v>148</v>
      </c>
      <c r="E1234" s="49" t="s">
        <v>245</v>
      </c>
      <c r="F1234" s="50">
        <v>43021.0</v>
      </c>
      <c r="G1234" s="50">
        <v>43021.0</v>
      </c>
      <c r="H1234" s="51">
        <v>43021.78611111111</v>
      </c>
      <c r="I1234" s="52">
        <v>1.0</v>
      </c>
      <c r="J1234" s="53"/>
      <c r="K1234" s="53"/>
    </row>
    <row r="1235">
      <c r="A1235" s="48" t="s">
        <v>4648</v>
      </c>
      <c r="B1235" s="49" t="s">
        <v>4649</v>
      </c>
      <c r="C1235" s="49" t="s">
        <v>243</v>
      </c>
      <c r="D1235" s="49" t="s">
        <v>148</v>
      </c>
      <c r="E1235" s="49" t="s">
        <v>245</v>
      </c>
      <c r="F1235" s="50">
        <v>43021.0</v>
      </c>
      <c r="G1235" s="50">
        <v>43021.0</v>
      </c>
      <c r="H1235" s="51">
        <v>43067.68541666667</v>
      </c>
      <c r="I1235" s="52">
        <v>1.0</v>
      </c>
      <c r="J1235" s="53"/>
      <c r="K1235" s="53"/>
    </row>
    <row r="1236">
      <c r="A1236" s="48" t="s">
        <v>4654</v>
      </c>
      <c r="B1236" s="49" t="s">
        <v>4655</v>
      </c>
      <c r="C1236" s="49" t="s">
        <v>243</v>
      </c>
      <c r="D1236" s="49" t="s">
        <v>148</v>
      </c>
      <c r="E1236" s="49" t="s">
        <v>245</v>
      </c>
      <c r="F1236" s="50">
        <v>43020.0</v>
      </c>
      <c r="G1236" s="50">
        <v>43021.0</v>
      </c>
      <c r="H1236" s="51">
        <v>43020.87430555555</v>
      </c>
      <c r="I1236" s="52">
        <v>1.0</v>
      </c>
      <c r="J1236" s="53"/>
      <c r="K1236" s="53"/>
    </row>
    <row r="1237">
      <c r="A1237" s="48" t="s">
        <v>4659</v>
      </c>
      <c r="B1237" s="49" t="s">
        <v>4660</v>
      </c>
      <c r="C1237" s="49" t="s">
        <v>243</v>
      </c>
      <c r="D1237" s="49" t="s">
        <v>148</v>
      </c>
      <c r="E1237" s="49" t="s">
        <v>245</v>
      </c>
      <c r="F1237" s="50">
        <v>43020.0</v>
      </c>
      <c r="G1237" s="50">
        <v>43021.0</v>
      </c>
      <c r="H1237" s="51">
        <v>43020.69930555556</v>
      </c>
      <c r="I1237" s="52">
        <v>1.0</v>
      </c>
      <c r="J1237" s="53"/>
      <c r="K1237" s="53"/>
    </row>
    <row r="1238">
      <c r="A1238" s="48" t="s">
        <v>4665</v>
      </c>
      <c r="B1238" s="49" t="s">
        <v>4666</v>
      </c>
      <c r="C1238" s="49" t="s">
        <v>243</v>
      </c>
      <c r="D1238" s="49" t="s">
        <v>148</v>
      </c>
      <c r="E1238" s="49" t="s">
        <v>245</v>
      </c>
      <c r="F1238" s="50">
        <v>43020.0</v>
      </c>
      <c r="G1238" s="50">
        <v>43021.0</v>
      </c>
      <c r="H1238" s="51">
        <v>43020.854166666664</v>
      </c>
      <c r="I1238" s="52">
        <v>1.0</v>
      </c>
      <c r="J1238" s="53"/>
      <c r="K1238" s="53"/>
    </row>
    <row r="1239">
      <c r="A1239" s="48" t="s">
        <v>4670</v>
      </c>
      <c r="B1239" s="49" t="s">
        <v>4672</v>
      </c>
      <c r="C1239" s="49" t="s">
        <v>203</v>
      </c>
      <c r="D1239" s="49" t="s">
        <v>4673</v>
      </c>
      <c r="E1239" s="49" t="s">
        <v>245</v>
      </c>
      <c r="F1239" s="50">
        <v>43020.0</v>
      </c>
      <c r="G1239" s="50">
        <v>43020.0</v>
      </c>
      <c r="H1239" s="51">
        <v>43074.71111111111</v>
      </c>
      <c r="I1239" s="52">
        <v>1.0</v>
      </c>
      <c r="J1239" s="53"/>
      <c r="K1239" s="53"/>
    </row>
    <row r="1240">
      <c r="A1240" s="48" t="s">
        <v>4677</v>
      </c>
      <c r="B1240" s="49" t="s">
        <v>4678</v>
      </c>
      <c r="C1240" s="49" t="s">
        <v>4679</v>
      </c>
      <c r="D1240" s="49" t="s">
        <v>140</v>
      </c>
      <c r="E1240" s="49" t="s">
        <v>245</v>
      </c>
      <c r="F1240" s="50">
        <v>43020.0</v>
      </c>
      <c r="G1240" s="50">
        <v>43020.0</v>
      </c>
      <c r="H1240" s="51">
        <v>43020.47152777778</v>
      </c>
      <c r="I1240" s="52">
        <v>1.0</v>
      </c>
      <c r="J1240" s="53"/>
      <c r="K1240" s="53"/>
    </row>
    <row r="1241">
      <c r="A1241" s="48" t="s">
        <v>4683</v>
      </c>
      <c r="B1241" s="49" t="s">
        <v>4684</v>
      </c>
      <c r="C1241" s="49" t="s">
        <v>4685</v>
      </c>
      <c r="D1241" s="49" t="s">
        <v>140</v>
      </c>
      <c r="E1241" s="49" t="s">
        <v>245</v>
      </c>
      <c r="F1241" s="50">
        <v>43020.0</v>
      </c>
      <c r="G1241" s="50">
        <v>43020.0</v>
      </c>
      <c r="H1241" s="51">
        <v>43020.47222222222</v>
      </c>
      <c r="I1241" s="52">
        <v>1.0</v>
      </c>
      <c r="J1241" s="53"/>
      <c r="K1241" s="53"/>
    </row>
    <row r="1242">
      <c r="A1242" s="48" t="s">
        <v>4689</v>
      </c>
      <c r="B1242" s="49" t="s">
        <v>4691</v>
      </c>
      <c r="C1242" s="49" t="s">
        <v>203</v>
      </c>
      <c r="D1242" s="49" t="s">
        <v>140</v>
      </c>
      <c r="E1242" s="49" t="s">
        <v>245</v>
      </c>
      <c r="F1242" s="50">
        <v>43020.0</v>
      </c>
      <c r="G1242" s="50">
        <v>43020.0</v>
      </c>
      <c r="H1242" s="51">
        <v>43074.7125</v>
      </c>
      <c r="I1242" s="52">
        <v>1.0</v>
      </c>
      <c r="J1242" s="53"/>
      <c r="K1242" s="53"/>
    </row>
    <row r="1243">
      <c r="A1243" s="48" t="s">
        <v>4695</v>
      </c>
      <c r="B1243" s="49" t="s">
        <v>4696</v>
      </c>
      <c r="C1243" s="49" t="s">
        <v>243</v>
      </c>
      <c r="D1243" s="49" t="s">
        <v>148</v>
      </c>
      <c r="E1243" s="49" t="s">
        <v>245</v>
      </c>
      <c r="F1243" s="50">
        <v>43020.0</v>
      </c>
      <c r="G1243" s="50">
        <v>43020.0</v>
      </c>
      <c r="H1243" s="51">
        <v>43020.69930555556</v>
      </c>
      <c r="I1243" s="52">
        <v>1.0</v>
      </c>
      <c r="J1243" s="53"/>
      <c r="K1243" s="53"/>
    </row>
    <row r="1244">
      <c r="A1244" s="48" t="s">
        <v>4699</v>
      </c>
      <c r="B1244" s="49" t="s">
        <v>4701</v>
      </c>
      <c r="C1244" s="49" t="s">
        <v>243</v>
      </c>
      <c r="D1244" s="49" t="s">
        <v>148</v>
      </c>
      <c r="E1244" s="49" t="s">
        <v>245</v>
      </c>
      <c r="F1244" s="50">
        <v>43019.0</v>
      </c>
      <c r="G1244" s="50">
        <v>43021.0</v>
      </c>
      <c r="H1244" s="51">
        <v>43020.873611111114</v>
      </c>
      <c r="I1244" s="52">
        <v>1.0</v>
      </c>
      <c r="J1244" s="53"/>
      <c r="K1244" s="53"/>
    </row>
    <row r="1245">
      <c r="A1245" s="48" t="s">
        <v>4704</v>
      </c>
      <c r="B1245" s="49" t="s">
        <v>4706</v>
      </c>
      <c r="C1245" s="49" t="s">
        <v>203</v>
      </c>
      <c r="D1245" s="49" t="s">
        <v>4673</v>
      </c>
      <c r="E1245" s="49" t="s">
        <v>245</v>
      </c>
      <c r="F1245" s="50">
        <v>43019.0</v>
      </c>
      <c r="G1245" s="50">
        <v>43020.0</v>
      </c>
      <c r="H1245" s="51">
        <v>43021.856944444444</v>
      </c>
      <c r="I1245" s="52">
        <v>1.0</v>
      </c>
      <c r="J1245" s="53"/>
      <c r="K1245" s="53"/>
    </row>
    <row r="1246">
      <c r="A1246" s="48" t="s">
        <v>4708</v>
      </c>
      <c r="B1246" s="49" t="s">
        <v>4709</v>
      </c>
      <c r="C1246" s="49" t="s">
        <v>243</v>
      </c>
      <c r="D1246" s="49" t="s">
        <v>148</v>
      </c>
      <c r="E1246" s="49" t="s">
        <v>245</v>
      </c>
      <c r="F1246" s="50">
        <v>43019.0</v>
      </c>
      <c r="G1246" s="50">
        <v>43019.0</v>
      </c>
      <c r="H1246" s="51">
        <v>43020.69930555556</v>
      </c>
      <c r="I1246" s="52">
        <v>1.0</v>
      </c>
      <c r="J1246" s="53"/>
      <c r="K1246" s="53"/>
    </row>
    <row r="1247">
      <c r="A1247" s="48" t="s">
        <v>4714</v>
      </c>
      <c r="B1247" s="49" t="s">
        <v>4716</v>
      </c>
      <c r="C1247" s="49" t="s">
        <v>221</v>
      </c>
      <c r="D1247" s="49" t="s">
        <v>153</v>
      </c>
      <c r="E1247" s="49" t="s">
        <v>245</v>
      </c>
      <c r="F1247" s="50">
        <v>43019.0</v>
      </c>
      <c r="G1247" s="50">
        <v>43019.0</v>
      </c>
      <c r="H1247" s="51">
        <v>43067.68541666667</v>
      </c>
      <c r="I1247" s="52">
        <v>1.0</v>
      </c>
      <c r="J1247" s="53"/>
      <c r="K1247" s="53"/>
    </row>
    <row r="1248">
      <c r="A1248" s="48" t="s">
        <v>4721</v>
      </c>
      <c r="B1248" s="49" t="s">
        <v>4053</v>
      </c>
      <c r="C1248" s="49" t="s">
        <v>257</v>
      </c>
      <c r="D1248" s="49" t="s">
        <v>153</v>
      </c>
      <c r="E1248" s="49" t="s">
        <v>245</v>
      </c>
      <c r="F1248" s="50">
        <v>43019.0</v>
      </c>
      <c r="G1248" s="50">
        <v>43019.0</v>
      </c>
      <c r="H1248" s="51">
        <v>43019.78333333333</v>
      </c>
      <c r="I1248" s="52">
        <v>1.0</v>
      </c>
      <c r="J1248" s="53"/>
      <c r="K1248" s="53"/>
    </row>
    <row r="1249">
      <c r="A1249" s="48" t="s">
        <v>4724</v>
      </c>
      <c r="B1249" s="49" t="s">
        <v>4726</v>
      </c>
      <c r="C1249" s="49" t="s">
        <v>379</v>
      </c>
      <c r="D1249" s="49" t="s">
        <v>4673</v>
      </c>
      <c r="E1249" s="49" t="s">
        <v>245</v>
      </c>
      <c r="F1249" s="50">
        <v>43018.0</v>
      </c>
      <c r="G1249" s="50">
        <v>43019.0</v>
      </c>
      <c r="H1249" s="51">
        <v>43019.478472222225</v>
      </c>
      <c r="I1249" s="52">
        <v>1.0</v>
      </c>
      <c r="J1249" s="53"/>
      <c r="K1249" s="53"/>
    </row>
    <row r="1250">
      <c r="A1250" s="48" t="s">
        <v>4730</v>
      </c>
      <c r="B1250" s="49" t="s">
        <v>4731</v>
      </c>
      <c r="C1250" s="49" t="s">
        <v>243</v>
      </c>
      <c r="D1250" s="49" t="s">
        <v>148</v>
      </c>
      <c r="E1250" s="49" t="s">
        <v>245</v>
      </c>
      <c r="F1250" s="50">
        <v>43018.0</v>
      </c>
      <c r="G1250" s="50">
        <v>43018.0</v>
      </c>
      <c r="H1250" s="51">
        <v>43042.79583333333</v>
      </c>
      <c r="I1250" s="52">
        <v>1.0</v>
      </c>
      <c r="J1250" s="53"/>
      <c r="K1250" s="53"/>
    </row>
    <row r="1251">
      <c r="A1251" s="48" t="s">
        <v>4734</v>
      </c>
      <c r="B1251" s="49" t="s">
        <v>4735</v>
      </c>
      <c r="C1251" s="49" t="s">
        <v>379</v>
      </c>
      <c r="D1251" s="49" t="s">
        <v>4673</v>
      </c>
      <c r="E1251" s="49" t="s">
        <v>245</v>
      </c>
      <c r="F1251" s="50">
        <v>43018.0</v>
      </c>
      <c r="G1251" s="50">
        <v>43018.0</v>
      </c>
      <c r="H1251" s="51">
        <v>43021.856944444444</v>
      </c>
      <c r="I1251" s="52">
        <v>1.0</v>
      </c>
      <c r="J1251" s="53"/>
      <c r="K1251" s="53"/>
    </row>
    <row r="1252">
      <c r="A1252" s="48" t="s">
        <v>4741</v>
      </c>
      <c r="B1252" s="49" t="s">
        <v>4742</v>
      </c>
      <c r="C1252" s="49" t="s">
        <v>221</v>
      </c>
      <c r="D1252" s="49" t="s">
        <v>153</v>
      </c>
      <c r="E1252" s="49" t="s">
        <v>245</v>
      </c>
      <c r="F1252" s="50">
        <v>43018.0</v>
      </c>
      <c r="G1252" s="50">
        <v>43018.0</v>
      </c>
      <c r="H1252" s="51">
        <v>43019.73125</v>
      </c>
      <c r="I1252" s="52">
        <v>1.0</v>
      </c>
      <c r="J1252" s="53"/>
      <c r="K1252" s="53"/>
    </row>
    <row r="1253">
      <c r="A1253" s="48" t="s">
        <v>4743</v>
      </c>
      <c r="B1253" s="49" t="s">
        <v>4744</v>
      </c>
      <c r="C1253" s="49" t="s">
        <v>257</v>
      </c>
      <c r="D1253" s="49" t="s">
        <v>153</v>
      </c>
      <c r="E1253" s="49" t="s">
        <v>245</v>
      </c>
      <c r="F1253" s="50">
        <v>43018.0</v>
      </c>
      <c r="G1253" s="50">
        <v>43018.0</v>
      </c>
      <c r="H1253" s="51">
        <v>43019.73055555556</v>
      </c>
      <c r="I1253" s="52">
        <v>1.0</v>
      </c>
      <c r="J1253" s="53"/>
      <c r="K1253" s="53"/>
    </row>
    <row r="1254">
      <c r="A1254" s="48" t="s">
        <v>4745</v>
      </c>
      <c r="B1254" s="49" t="s">
        <v>4747</v>
      </c>
      <c r="C1254" s="49" t="s">
        <v>221</v>
      </c>
      <c r="D1254" s="49" t="s">
        <v>153</v>
      </c>
      <c r="E1254" s="49" t="s">
        <v>245</v>
      </c>
      <c r="F1254" s="50">
        <v>43018.0</v>
      </c>
      <c r="G1254" s="50">
        <v>43018.0</v>
      </c>
      <c r="H1254" s="51">
        <v>43019.731944444444</v>
      </c>
      <c r="I1254" s="52">
        <v>1.0</v>
      </c>
      <c r="J1254" s="53"/>
      <c r="K1254" s="53"/>
    </row>
    <row r="1255">
      <c r="A1255" s="48" t="s">
        <v>4749</v>
      </c>
      <c r="B1255" s="49" t="s">
        <v>4751</v>
      </c>
      <c r="C1255" s="49" t="s">
        <v>257</v>
      </c>
      <c r="D1255" s="49" t="s">
        <v>153</v>
      </c>
      <c r="E1255" s="49" t="s">
        <v>245</v>
      </c>
      <c r="F1255" s="50">
        <v>43018.0</v>
      </c>
      <c r="G1255" s="50">
        <v>43018.0</v>
      </c>
      <c r="H1255" s="51">
        <v>43019.731944444444</v>
      </c>
      <c r="I1255" s="52">
        <v>1.0</v>
      </c>
      <c r="J1255" s="53"/>
      <c r="K1255" s="53"/>
    </row>
    <row r="1256">
      <c r="A1256" s="48" t="s">
        <v>4754</v>
      </c>
      <c r="B1256" s="49" t="s">
        <v>4755</v>
      </c>
      <c r="C1256" s="49" t="s">
        <v>243</v>
      </c>
      <c r="D1256" s="49" t="s">
        <v>148</v>
      </c>
      <c r="E1256" s="49" t="s">
        <v>245</v>
      </c>
      <c r="F1256" s="50">
        <v>43017.0</v>
      </c>
      <c r="G1256" s="50">
        <v>43018.0</v>
      </c>
      <c r="H1256" s="51">
        <v>43019.464583333334</v>
      </c>
      <c r="I1256" s="52">
        <v>1.0</v>
      </c>
      <c r="J1256" s="53"/>
      <c r="K1256" s="53"/>
    </row>
    <row r="1257">
      <c r="A1257" s="48" t="s">
        <v>4759</v>
      </c>
      <c r="B1257" s="49" t="s">
        <v>4760</v>
      </c>
      <c r="C1257" s="49" t="s">
        <v>243</v>
      </c>
      <c r="D1257" s="49" t="s">
        <v>148</v>
      </c>
      <c r="E1257" s="49" t="s">
        <v>245</v>
      </c>
      <c r="F1257" s="50">
        <v>43017.0</v>
      </c>
      <c r="G1257" s="50">
        <v>43017.0</v>
      </c>
      <c r="H1257" s="51">
        <v>43017.42916666667</v>
      </c>
      <c r="I1257" s="52">
        <v>1.0</v>
      </c>
      <c r="J1257" s="53"/>
      <c r="K1257" s="53"/>
    </row>
    <row r="1258">
      <c r="A1258" s="48" t="s">
        <v>4765</v>
      </c>
      <c r="B1258" s="49" t="s">
        <v>4767</v>
      </c>
      <c r="C1258" s="49" t="s">
        <v>243</v>
      </c>
      <c r="D1258" s="49" t="s">
        <v>148</v>
      </c>
      <c r="E1258" s="49" t="s">
        <v>245</v>
      </c>
      <c r="F1258" s="50">
        <v>43017.0</v>
      </c>
      <c r="G1258" s="50">
        <v>43017.0</v>
      </c>
      <c r="H1258" s="51">
        <v>43017.42916666667</v>
      </c>
      <c r="I1258" s="52">
        <v>1.0</v>
      </c>
      <c r="J1258" s="53"/>
      <c r="K1258" s="53"/>
    </row>
    <row r="1259">
      <c r="A1259" s="48" t="s">
        <v>4772</v>
      </c>
      <c r="B1259" s="49" t="s">
        <v>4773</v>
      </c>
      <c r="C1259" s="49" t="s">
        <v>243</v>
      </c>
      <c r="D1259" s="49" t="s">
        <v>148</v>
      </c>
      <c r="E1259" s="49" t="s">
        <v>245</v>
      </c>
      <c r="F1259" s="50">
        <v>43017.0</v>
      </c>
      <c r="G1259" s="50">
        <v>43017.0</v>
      </c>
      <c r="H1259" s="51">
        <v>43185.50763888889</v>
      </c>
      <c r="I1259" s="52">
        <v>1.0</v>
      </c>
      <c r="J1259" s="53"/>
      <c r="K1259" s="53"/>
    </row>
    <row r="1260">
      <c r="A1260" s="48" t="s">
        <v>4776</v>
      </c>
      <c r="B1260" s="49" t="s">
        <v>4778</v>
      </c>
      <c r="C1260" s="49" t="s">
        <v>243</v>
      </c>
      <c r="D1260" s="49" t="s">
        <v>148</v>
      </c>
      <c r="E1260" s="49" t="s">
        <v>245</v>
      </c>
      <c r="F1260" s="50">
        <v>43017.0</v>
      </c>
      <c r="G1260" s="50">
        <v>43017.0</v>
      </c>
      <c r="H1260" s="51">
        <v>43017.58611111111</v>
      </c>
      <c r="I1260" s="52">
        <v>1.0</v>
      </c>
      <c r="J1260" s="53"/>
      <c r="K1260" s="53"/>
    </row>
    <row r="1261">
      <c r="A1261" s="48" t="s">
        <v>4782</v>
      </c>
      <c r="B1261" s="49" t="s">
        <v>4783</v>
      </c>
      <c r="C1261" s="49" t="s">
        <v>257</v>
      </c>
      <c r="D1261" s="49" t="s">
        <v>153</v>
      </c>
      <c r="E1261" s="49" t="s">
        <v>245</v>
      </c>
      <c r="F1261" s="50">
        <v>43017.0</v>
      </c>
      <c r="G1261" s="50">
        <v>43017.0</v>
      </c>
      <c r="H1261" s="51">
        <v>43018.39513888889</v>
      </c>
      <c r="I1261" s="52">
        <v>1.0</v>
      </c>
      <c r="J1261" s="53"/>
      <c r="K1261" s="53"/>
    </row>
    <row r="1262">
      <c r="A1262" s="48" t="s">
        <v>4784</v>
      </c>
      <c r="B1262" s="49" t="s">
        <v>4786</v>
      </c>
      <c r="C1262" s="49" t="s">
        <v>221</v>
      </c>
      <c r="D1262" s="49" t="s">
        <v>153</v>
      </c>
      <c r="E1262" s="49" t="s">
        <v>245</v>
      </c>
      <c r="F1262" s="50">
        <v>43017.0</v>
      </c>
      <c r="G1262" s="50">
        <v>43017.0</v>
      </c>
      <c r="H1262" s="51">
        <v>43018.395833333336</v>
      </c>
      <c r="I1262" s="52">
        <v>1.0</v>
      </c>
      <c r="J1262" s="53"/>
      <c r="K1262" s="53"/>
    </row>
    <row r="1263">
      <c r="A1263" s="48" t="s">
        <v>4789</v>
      </c>
      <c r="B1263" s="49" t="s">
        <v>4790</v>
      </c>
      <c r="C1263" s="49" t="s">
        <v>257</v>
      </c>
      <c r="D1263" s="49" t="s">
        <v>153</v>
      </c>
      <c r="E1263" s="49" t="s">
        <v>245</v>
      </c>
      <c r="F1263" s="50">
        <v>43017.0</v>
      </c>
      <c r="G1263" s="50">
        <v>43017.0</v>
      </c>
      <c r="H1263" s="51">
        <v>43018.396527777775</v>
      </c>
      <c r="I1263" s="52">
        <v>1.0</v>
      </c>
      <c r="J1263" s="53"/>
      <c r="K1263" s="53"/>
    </row>
    <row r="1264">
      <c r="A1264" s="48" t="s">
        <v>4794</v>
      </c>
      <c r="B1264" s="49" t="s">
        <v>4795</v>
      </c>
      <c r="C1264" s="49" t="s">
        <v>221</v>
      </c>
      <c r="D1264" s="49" t="s">
        <v>153</v>
      </c>
      <c r="E1264" s="49" t="s">
        <v>245</v>
      </c>
      <c r="F1264" s="50">
        <v>43017.0</v>
      </c>
      <c r="G1264" s="50">
        <v>43017.0</v>
      </c>
      <c r="H1264" s="51">
        <v>43018.396527777775</v>
      </c>
      <c r="I1264" s="52">
        <v>1.0</v>
      </c>
      <c r="J1264" s="53"/>
      <c r="K1264" s="53"/>
    </row>
    <row r="1265">
      <c r="A1265" s="48" t="s">
        <v>4798</v>
      </c>
      <c r="B1265" s="49" t="s">
        <v>4799</v>
      </c>
      <c r="C1265" s="49" t="s">
        <v>379</v>
      </c>
      <c r="D1265" s="49" t="s">
        <v>166</v>
      </c>
      <c r="E1265" s="49" t="s">
        <v>245</v>
      </c>
      <c r="F1265" s="50">
        <v>43008.0</v>
      </c>
      <c r="G1265" s="50">
        <v>43008.0</v>
      </c>
      <c r="H1265" s="51">
        <v>43084.50833333333</v>
      </c>
      <c r="I1265" s="52">
        <v>1.0</v>
      </c>
      <c r="J1265" s="53"/>
      <c r="K1265" s="53"/>
    </row>
    <row r="1266">
      <c r="A1266" s="48" t="s">
        <v>4802</v>
      </c>
      <c r="B1266" s="49" t="s">
        <v>4803</v>
      </c>
      <c r="C1266" s="49" t="s">
        <v>203</v>
      </c>
      <c r="D1266" s="49" t="s">
        <v>4673</v>
      </c>
      <c r="E1266" s="49" t="s">
        <v>245</v>
      </c>
      <c r="F1266" s="50">
        <v>43008.0</v>
      </c>
      <c r="G1266" s="50">
        <v>43008.0</v>
      </c>
      <c r="H1266" s="51">
        <v>43018.629166666666</v>
      </c>
      <c r="I1266" s="52">
        <v>1.0</v>
      </c>
      <c r="J1266" s="53"/>
      <c r="K1266" s="53"/>
    </row>
    <row r="1267">
      <c r="A1267" s="48" t="s">
        <v>4806</v>
      </c>
      <c r="B1267" s="49" t="s">
        <v>4808</v>
      </c>
      <c r="C1267" s="49" t="s">
        <v>257</v>
      </c>
      <c r="D1267" s="49" t="s">
        <v>153</v>
      </c>
      <c r="E1267" s="49" t="s">
        <v>245</v>
      </c>
      <c r="F1267" s="50">
        <v>43008.0</v>
      </c>
      <c r="G1267" s="50">
        <v>43008.0</v>
      </c>
      <c r="H1267" s="51">
        <v>43008.67361111111</v>
      </c>
      <c r="I1267" s="52">
        <v>1.0</v>
      </c>
      <c r="J1267" s="53"/>
      <c r="K1267" s="53"/>
    </row>
    <row r="1268">
      <c r="A1268" s="48" t="s">
        <v>4810</v>
      </c>
      <c r="B1268" s="49" t="s">
        <v>4811</v>
      </c>
      <c r="C1268" s="49" t="s">
        <v>221</v>
      </c>
      <c r="D1268" s="49" t="s">
        <v>153</v>
      </c>
      <c r="E1268" s="49" t="s">
        <v>245</v>
      </c>
      <c r="F1268" s="50">
        <v>43008.0</v>
      </c>
      <c r="G1268" s="50">
        <v>43008.0</v>
      </c>
      <c r="H1268" s="51">
        <v>43008.674305555556</v>
      </c>
      <c r="I1268" s="52">
        <v>1.0</v>
      </c>
      <c r="J1268" s="53"/>
      <c r="K1268" s="53"/>
    </row>
    <row r="1269">
      <c r="A1269" s="48" t="s">
        <v>4815</v>
      </c>
      <c r="B1269" s="49" t="s">
        <v>4817</v>
      </c>
      <c r="C1269" s="49" t="s">
        <v>221</v>
      </c>
      <c r="D1269" s="49" t="s">
        <v>153</v>
      </c>
      <c r="E1269" s="49" t="s">
        <v>245</v>
      </c>
      <c r="F1269" s="50">
        <v>43008.0</v>
      </c>
      <c r="G1269" s="50">
        <v>43008.0</v>
      </c>
      <c r="H1269" s="51">
        <v>43008.675</v>
      </c>
      <c r="I1269" s="52">
        <v>1.0</v>
      </c>
      <c r="J1269" s="53"/>
      <c r="K1269" s="53"/>
    </row>
    <row r="1270">
      <c r="A1270" s="48" t="s">
        <v>4821</v>
      </c>
      <c r="B1270" s="49" t="s">
        <v>4823</v>
      </c>
      <c r="C1270" s="49" t="s">
        <v>257</v>
      </c>
      <c r="D1270" s="49" t="s">
        <v>153</v>
      </c>
      <c r="E1270" s="49" t="s">
        <v>245</v>
      </c>
      <c r="F1270" s="50">
        <v>43008.0</v>
      </c>
      <c r="G1270" s="50">
        <v>43008.0</v>
      </c>
      <c r="H1270" s="51">
        <v>43008.67638888889</v>
      </c>
      <c r="I1270" s="52">
        <v>1.0</v>
      </c>
      <c r="J1270" s="53"/>
      <c r="K1270" s="53"/>
    </row>
    <row r="1271">
      <c r="A1271" s="48" t="s">
        <v>4828</v>
      </c>
      <c r="B1271" s="49" t="s">
        <v>4829</v>
      </c>
      <c r="C1271" s="49" t="s">
        <v>221</v>
      </c>
      <c r="D1271" s="49" t="s">
        <v>153</v>
      </c>
      <c r="E1271" s="49" t="s">
        <v>245</v>
      </c>
      <c r="F1271" s="50">
        <v>43008.0</v>
      </c>
      <c r="G1271" s="50">
        <v>43008.0</v>
      </c>
      <c r="H1271" s="51">
        <v>43008.677083333336</v>
      </c>
      <c r="I1271" s="52">
        <v>1.0</v>
      </c>
      <c r="J1271" s="53"/>
      <c r="K1271" s="53"/>
    </row>
    <row r="1272">
      <c r="A1272" s="48" t="s">
        <v>4833</v>
      </c>
      <c r="B1272" s="49" t="s">
        <v>4835</v>
      </c>
      <c r="C1272" s="49" t="s">
        <v>243</v>
      </c>
      <c r="D1272" s="49" t="s">
        <v>148</v>
      </c>
      <c r="E1272" s="49" t="s">
        <v>245</v>
      </c>
      <c r="F1272" s="50">
        <v>43007.0</v>
      </c>
      <c r="G1272" s="50">
        <v>43007.0</v>
      </c>
      <c r="H1272" s="51">
        <v>43007.75763888889</v>
      </c>
      <c r="I1272" s="52">
        <v>1.0</v>
      </c>
      <c r="J1272" s="53"/>
      <c r="K1272" s="53"/>
    </row>
    <row r="1273">
      <c r="A1273" s="48" t="s">
        <v>4840</v>
      </c>
      <c r="B1273" s="49" t="s">
        <v>4841</v>
      </c>
      <c r="C1273" s="49" t="s">
        <v>243</v>
      </c>
      <c r="D1273" s="49" t="s">
        <v>148</v>
      </c>
      <c r="E1273" s="49" t="s">
        <v>245</v>
      </c>
      <c r="F1273" s="50">
        <v>43007.0</v>
      </c>
      <c r="G1273" s="50">
        <v>43007.0</v>
      </c>
      <c r="H1273" s="51">
        <v>43007.779861111114</v>
      </c>
      <c r="I1273" s="52">
        <v>1.0</v>
      </c>
      <c r="J1273" s="53"/>
      <c r="K1273" s="53"/>
    </row>
    <row r="1274">
      <c r="A1274" s="48" t="s">
        <v>4843</v>
      </c>
      <c r="B1274" s="49" t="s">
        <v>4845</v>
      </c>
      <c r="C1274" s="49" t="s">
        <v>243</v>
      </c>
      <c r="D1274" s="49" t="s">
        <v>148</v>
      </c>
      <c r="E1274" s="49" t="s">
        <v>245</v>
      </c>
      <c r="F1274" s="50">
        <v>43007.0</v>
      </c>
      <c r="G1274" s="50">
        <v>43007.0</v>
      </c>
      <c r="H1274" s="51">
        <v>43007.768055555556</v>
      </c>
      <c r="I1274" s="52">
        <v>1.0</v>
      </c>
      <c r="J1274" s="53"/>
      <c r="K1274" s="53"/>
    </row>
    <row r="1275">
      <c r="A1275" s="48" t="s">
        <v>4848</v>
      </c>
      <c r="B1275" s="49" t="s">
        <v>4849</v>
      </c>
      <c r="C1275" s="49" t="s">
        <v>243</v>
      </c>
      <c r="D1275" s="49" t="s">
        <v>148</v>
      </c>
      <c r="E1275" s="49" t="s">
        <v>245</v>
      </c>
      <c r="F1275" s="50">
        <v>43007.0</v>
      </c>
      <c r="G1275" s="50">
        <v>43007.0</v>
      </c>
      <c r="H1275" s="51">
        <v>43007.779861111114</v>
      </c>
      <c r="I1275" s="52">
        <v>1.0</v>
      </c>
      <c r="J1275" s="53"/>
      <c r="K1275" s="53"/>
    </row>
    <row r="1276">
      <c r="A1276" s="48" t="s">
        <v>4852</v>
      </c>
      <c r="B1276" s="49" t="s">
        <v>4853</v>
      </c>
      <c r="C1276" s="49" t="s">
        <v>243</v>
      </c>
      <c r="D1276" s="49" t="s">
        <v>148</v>
      </c>
      <c r="E1276" s="49" t="s">
        <v>245</v>
      </c>
      <c r="F1276" s="50">
        <v>43006.0</v>
      </c>
      <c r="G1276" s="50">
        <v>43008.0</v>
      </c>
      <c r="H1276" s="51">
        <v>43026.47986111111</v>
      </c>
      <c r="I1276" s="52">
        <v>1.0</v>
      </c>
      <c r="J1276" s="53"/>
      <c r="K1276" s="53"/>
    </row>
    <row r="1277">
      <c r="A1277" s="48" t="s">
        <v>4857</v>
      </c>
      <c r="B1277" s="49" t="s">
        <v>4859</v>
      </c>
      <c r="C1277" s="49" t="s">
        <v>243</v>
      </c>
      <c r="D1277" s="49" t="s">
        <v>148</v>
      </c>
      <c r="E1277" s="49" t="s">
        <v>245</v>
      </c>
      <c r="F1277" s="50">
        <v>43006.0</v>
      </c>
      <c r="G1277" s="50">
        <v>43008.0</v>
      </c>
      <c r="H1277" s="51">
        <v>43026.47986111111</v>
      </c>
      <c r="I1277" s="52">
        <v>1.0</v>
      </c>
      <c r="J1277" s="53"/>
      <c r="K1277" s="53"/>
    </row>
    <row r="1278">
      <c r="A1278" s="48" t="s">
        <v>4861</v>
      </c>
      <c r="B1278" s="49" t="s">
        <v>4862</v>
      </c>
      <c r="C1278" s="49" t="s">
        <v>243</v>
      </c>
      <c r="D1278" s="49" t="s">
        <v>148</v>
      </c>
      <c r="E1278" s="49" t="s">
        <v>245</v>
      </c>
      <c r="F1278" s="50">
        <v>43006.0</v>
      </c>
      <c r="G1278" s="50">
        <v>43006.0</v>
      </c>
      <c r="H1278" s="51">
        <v>43026.47986111111</v>
      </c>
      <c r="I1278" s="52">
        <v>1.0</v>
      </c>
      <c r="J1278" s="53"/>
      <c r="K1278" s="53"/>
    </row>
    <row r="1279">
      <c r="A1279" s="48" t="s">
        <v>4865</v>
      </c>
      <c r="B1279" s="49" t="s">
        <v>4866</v>
      </c>
      <c r="C1279" s="49" t="s">
        <v>203</v>
      </c>
      <c r="D1279" s="49" t="s">
        <v>4673</v>
      </c>
      <c r="E1279" s="49" t="s">
        <v>245</v>
      </c>
      <c r="F1279" s="50">
        <v>43006.0</v>
      </c>
      <c r="G1279" s="50">
        <v>43006.0</v>
      </c>
      <c r="H1279" s="51">
        <v>43007.57638888889</v>
      </c>
      <c r="I1279" s="52">
        <v>1.0</v>
      </c>
      <c r="J1279" s="53"/>
      <c r="K1279" s="53"/>
    </row>
    <row r="1280">
      <c r="A1280" s="48" t="s">
        <v>4869</v>
      </c>
      <c r="B1280" s="49" t="s">
        <v>4871</v>
      </c>
      <c r="C1280" s="49" t="s">
        <v>243</v>
      </c>
      <c r="D1280" s="49" t="s">
        <v>148</v>
      </c>
      <c r="E1280" s="49" t="s">
        <v>245</v>
      </c>
      <c r="F1280" s="50">
        <v>43006.0</v>
      </c>
      <c r="G1280" s="50">
        <v>43006.0</v>
      </c>
      <c r="H1280" s="51">
        <v>43008.66736111111</v>
      </c>
      <c r="I1280" s="52">
        <v>1.0</v>
      </c>
      <c r="J1280" s="53"/>
      <c r="K1280" s="53"/>
    </row>
    <row r="1281">
      <c r="A1281" s="48" t="s">
        <v>4878</v>
      </c>
      <c r="B1281" s="49" t="s">
        <v>4879</v>
      </c>
      <c r="C1281" s="49" t="s">
        <v>243</v>
      </c>
      <c r="D1281" s="49" t="s">
        <v>153</v>
      </c>
      <c r="E1281" s="49" t="s">
        <v>245</v>
      </c>
      <c r="F1281" s="50">
        <v>43005.0</v>
      </c>
      <c r="G1281" s="50">
        <v>43008.0</v>
      </c>
      <c r="H1281" s="51">
        <v>43007.64861111111</v>
      </c>
      <c r="I1281" s="52">
        <v>1.0</v>
      </c>
      <c r="J1281" s="53"/>
      <c r="K1281" s="53"/>
    </row>
    <row r="1282">
      <c r="A1282" s="48" t="s">
        <v>4883</v>
      </c>
      <c r="B1282" s="49" t="s">
        <v>4884</v>
      </c>
      <c r="C1282" s="49" t="s">
        <v>243</v>
      </c>
      <c r="D1282" s="49" t="s">
        <v>148</v>
      </c>
      <c r="E1282" s="49" t="s">
        <v>245</v>
      </c>
      <c r="F1282" s="50">
        <v>43005.0</v>
      </c>
      <c r="G1282" s="50">
        <v>43008.0</v>
      </c>
      <c r="H1282" s="51">
        <v>43006.64722222222</v>
      </c>
      <c r="I1282" s="52">
        <v>1.0</v>
      </c>
      <c r="J1282" s="53"/>
      <c r="K1282" s="53"/>
    </row>
    <row r="1283">
      <c r="A1283" s="48" t="s">
        <v>4888</v>
      </c>
      <c r="B1283" s="49" t="s">
        <v>4889</v>
      </c>
      <c r="C1283" s="49" t="s">
        <v>243</v>
      </c>
      <c r="D1283" s="49" t="s">
        <v>148</v>
      </c>
      <c r="E1283" s="49" t="s">
        <v>245</v>
      </c>
      <c r="F1283" s="50">
        <v>43005.0</v>
      </c>
      <c r="G1283" s="50">
        <v>43008.0</v>
      </c>
      <c r="H1283" s="51">
        <v>43018.652083333334</v>
      </c>
      <c r="I1283" s="52">
        <v>1.0</v>
      </c>
      <c r="J1283" s="53"/>
      <c r="K1283" s="53"/>
    </row>
    <row r="1284">
      <c r="A1284" s="48" t="s">
        <v>4892</v>
      </c>
      <c r="B1284" s="49" t="s">
        <v>4894</v>
      </c>
      <c r="C1284" s="49" t="s">
        <v>243</v>
      </c>
      <c r="D1284" s="49" t="s">
        <v>148</v>
      </c>
      <c r="E1284" s="49" t="s">
        <v>245</v>
      </c>
      <c r="F1284" s="50">
        <v>43005.0</v>
      </c>
      <c r="G1284" s="50">
        <v>43008.0</v>
      </c>
      <c r="H1284" s="51">
        <v>43006.57986111111</v>
      </c>
      <c r="I1284" s="52">
        <v>1.0</v>
      </c>
      <c r="J1284" s="53"/>
      <c r="K1284" s="53"/>
    </row>
    <row r="1285">
      <c r="A1285" s="48" t="s">
        <v>4897</v>
      </c>
      <c r="B1285" s="49" t="s">
        <v>4898</v>
      </c>
      <c r="C1285" s="49" t="s">
        <v>243</v>
      </c>
      <c r="D1285" s="49" t="s">
        <v>148</v>
      </c>
      <c r="E1285" s="49" t="s">
        <v>245</v>
      </c>
      <c r="F1285" s="50">
        <v>43005.0</v>
      </c>
      <c r="G1285" s="50">
        <v>43008.0</v>
      </c>
      <c r="H1285" s="51">
        <v>43026.73125</v>
      </c>
      <c r="I1285" s="52">
        <v>1.0</v>
      </c>
      <c r="J1285" s="53"/>
      <c r="K1285" s="53"/>
    </row>
    <row r="1286">
      <c r="A1286" s="48" t="s">
        <v>4901</v>
      </c>
      <c r="B1286" s="49" t="s">
        <v>4902</v>
      </c>
      <c r="C1286" s="49" t="s">
        <v>243</v>
      </c>
      <c r="D1286" s="49" t="s">
        <v>148</v>
      </c>
      <c r="E1286" s="49" t="s">
        <v>245</v>
      </c>
      <c r="F1286" s="50">
        <v>43005.0</v>
      </c>
      <c r="G1286" s="50">
        <v>43006.0</v>
      </c>
      <c r="H1286" s="51">
        <v>43008.66736111111</v>
      </c>
      <c r="I1286" s="52">
        <v>1.0</v>
      </c>
      <c r="J1286" s="53"/>
      <c r="K1286" s="53"/>
    </row>
    <row r="1287">
      <c r="A1287" s="48" t="s">
        <v>4906</v>
      </c>
      <c r="B1287" s="49" t="s">
        <v>4908</v>
      </c>
      <c r="C1287" s="49" t="s">
        <v>257</v>
      </c>
      <c r="D1287" s="49" t="s">
        <v>153</v>
      </c>
      <c r="E1287" s="49" t="s">
        <v>245</v>
      </c>
      <c r="F1287" s="50">
        <v>43005.0</v>
      </c>
      <c r="G1287" s="50">
        <v>43005.0</v>
      </c>
      <c r="H1287" s="51">
        <v>43005.56597222222</v>
      </c>
      <c r="I1287" s="52">
        <v>1.0</v>
      </c>
      <c r="J1287" s="53"/>
      <c r="K1287" s="53"/>
    </row>
    <row r="1288">
      <c r="A1288" s="48" t="s">
        <v>4911</v>
      </c>
      <c r="B1288" s="49" t="s">
        <v>4912</v>
      </c>
      <c r="C1288" s="49" t="s">
        <v>243</v>
      </c>
      <c r="D1288" s="49" t="s">
        <v>148</v>
      </c>
      <c r="E1288" s="49" t="s">
        <v>245</v>
      </c>
      <c r="F1288" s="50">
        <v>43005.0</v>
      </c>
      <c r="G1288" s="50">
        <v>43005.0</v>
      </c>
      <c r="H1288" s="51">
        <v>43005.64722222222</v>
      </c>
      <c r="I1288" s="52">
        <v>1.0</v>
      </c>
      <c r="J1288" s="53"/>
      <c r="K1288" s="53"/>
    </row>
    <row r="1289">
      <c r="A1289" s="48" t="s">
        <v>4915</v>
      </c>
      <c r="B1289" s="49" t="s">
        <v>4917</v>
      </c>
      <c r="C1289" s="49" t="s">
        <v>243</v>
      </c>
      <c r="D1289" s="49" t="s">
        <v>148</v>
      </c>
      <c r="E1289" s="49" t="s">
        <v>245</v>
      </c>
      <c r="F1289" s="50">
        <v>43005.0</v>
      </c>
      <c r="G1289" s="50">
        <v>43005.0</v>
      </c>
      <c r="H1289" s="51">
        <v>43005.62986111111</v>
      </c>
      <c r="I1289" s="52">
        <v>1.0</v>
      </c>
      <c r="J1289" s="53"/>
      <c r="K1289" s="53"/>
    </row>
    <row r="1290">
      <c r="A1290" s="48" t="s">
        <v>4920</v>
      </c>
      <c r="B1290" s="49" t="s">
        <v>4625</v>
      </c>
      <c r="C1290" s="49" t="s">
        <v>257</v>
      </c>
      <c r="D1290" s="49" t="s">
        <v>153</v>
      </c>
      <c r="E1290" s="49" t="s">
        <v>245</v>
      </c>
      <c r="F1290" s="50">
        <v>43005.0</v>
      </c>
      <c r="G1290" s="50">
        <v>43005.0</v>
      </c>
      <c r="H1290" s="51">
        <v>43006.595138888886</v>
      </c>
      <c r="I1290" s="52">
        <v>1.0</v>
      </c>
      <c r="J1290" s="53"/>
      <c r="K1290" s="53"/>
    </row>
    <row r="1291">
      <c r="A1291" s="48" t="s">
        <v>4924</v>
      </c>
      <c r="B1291" s="49" t="s">
        <v>4925</v>
      </c>
      <c r="C1291" s="49" t="s">
        <v>203</v>
      </c>
      <c r="D1291" s="49" t="s">
        <v>4673</v>
      </c>
      <c r="E1291" s="49" t="s">
        <v>245</v>
      </c>
      <c r="F1291" s="50">
        <v>43004.0</v>
      </c>
      <c r="G1291" s="50">
        <v>43021.0</v>
      </c>
      <c r="H1291" s="51">
        <v>43008.68680555555</v>
      </c>
      <c r="I1291" s="52">
        <v>1.0</v>
      </c>
      <c r="J1291" s="53"/>
      <c r="K1291" s="53"/>
    </row>
    <row r="1292">
      <c r="A1292" s="48" t="s">
        <v>4928</v>
      </c>
      <c r="B1292" s="49" t="s">
        <v>4929</v>
      </c>
      <c r="C1292" s="49" t="s">
        <v>243</v>
      </c>
      <c r="D1292" s="49" t="s">
        <v>148</v>
      </c>
      <c r="E1292" s="49" t="s">
        <v>245</v>
      </c>
      <c r="F1292" s="50">
        <v>43004.0</v>
      </c>
      <c r="G1292" s="50">
        <v>43007.0</v>
      </c>
      <c r="H1292" s="51">
        <v>43008.67222222222</v>
      </c>
      <c r="I1292" s="52">
        <v>1.0</v>
      </c>
      <c r="J1292" s="53"/>
      <c r="K1292" s="53"/>
    </row>
    <row r="1293">
      <c r="A1293" s="48" t="s">
        <v>4932</v>
      </c>
      <c r="B1293" s="49" t="s">
        <v>4933</v>
      </c>
      <c r="C1293" s="49" t="s">
        <v>221</v>
      </c>
      <c r="D1293" s="49" t="s">
        <v>153</v>
      </c>
      <c r="E1293" s="49" t="s">
        <v>245</v>
      </c>
      <c r="F1293" s="50">
        <v>43004.0</v>
      </c>
      <c r="G1293" s="50">
        <v>43004.0</v>
      </c>
      <c r="H1293" s="51">
        <v>43004.475</v>
      </c>
      <c r="I1293" s="52">
        <v>1.0</v>
      </c>
      <c r="J1293" s="53"/>
      <c r="K1293" s="53"/>
    </row>
    <row r="1294">
      <c r="A1294" s="48" t="s">
        <v>4936</v>
      </c>
      <c r="B1294" s="49" t="s">
        <v>4938</v>
      </c>
      <c r="C1294" s="49" t="s">
        <v>221</v>
      </c>
      <c r="D1294" s="49" t="s">
        <v>153</v>
      </c>
      <c r="E1294" s="49" t="s">
        <v>245</v>
      </c>
      <c r="F1294" s="50">
        <v>43004.0</v>
      </c>
      <c r="G1294" s="50">
        <v>43004.0</v>
      </c>
      <c r="H1294" s="51">
        <v>43004.475694444445</v>
      </c>
      <c r="I1294" s="52">
        <v>1.0</v>
      </c>
      <c r="J1294" s="53"/>
      <c r="K1294" s="53"/>
    </row>
    <row r="1295">
      <c r="A1295" s="48" t="s">
        <v>4945</v>
      </c>
      <c r="B1295" s="49" t="s">
        <v>4947</v>
      </c>
      <c r="C1295" s="49" t="s">
        <v>203</v>
      </c>
      <c r="D1295" s="49" t="s">
        <v>4673</v>
      </c>
      <c r="E1295" s="49" t="s">
        <v>245</v>
      </c>
      <c r="F1295" s="50">
        <v>43003.0</v>
      </c>
      <c r="G1295" s="50">
        <v>43004.0</v>
      </c>
      <c r="H1295" s="51">
        <v>43003.58472222222</v>
      </c>
      <c r="I1295" s="52">
        <v>1.0</v>
      </c>
      <c r="J1295" s="53"/>
      <c r="K1295" s="53"/>
    </row>
    <row r="1296">
      <c r="A1296" s="48" t="s">
        <v>4950</v>
      </c>
      <c r="B1296" s="49" t="s">
        <v>4951</v>
      </c>
      <c r="C1296" s="49" t="s">
        <v>203</v>
      </c>
      <c r="D1296" s="49" t="s">
        <v>166</v>
      </c>
      <c r="E1296" s="49" t="s">
        <v>245</v>
      </c>
      <c r="F1296" s="50">
        <v>43003.0</v>
      </c>
      <c r="G1296" s="50">
        <v>43003.0</v>
      </c>
      <c r="H1296" s="51">
        <v>43081.61041666667</v>
      </c>
      <c r="I1296" s="52">
        <v>1.0</v>
      </c>
      <c r="J1296" s="53"/>
      <c r="K1296" s="53"/>
    </row>
    <row r="1297">
      <c r="A1297" s="48" t="s">
        <v>4955</v>
      </c>
      <c r="B1297" s="49" t="s">
        <v>4956</v>
      </c>
      <c r="C1297" s="49" t="s">
        <v>243</v>
      </c>
      <c r="D1297" s="49" t="s">
        <v>148</v>
      </c>
      <c r="E1297" s="49" t="s">
        <v>245</v>
      </c>
      <c r="F1297" s="50">
        <v>43003.0</v>
      </c>
      <c r="G1297" s="50">
        <v>43003.0</v>
      </c>
      <c r="H1297" s="51">
        <v>43008.67222222222</v>
      </c>
      <c r="I1297" s="52">
        <v>1.0</v>
      </c>
      <c r="J1297" s="53"/>
      <c r="K1297" s="53"/>
    </row>
    <row r="1298">
      <c r="A1298" s="48" t="s">
        <v>4960</v>
      </c>
      <c r="B1298" s="49" t="s">
        <v>4962</v>
      </c>
      <c r="C1298" s="49" t="s">
        <v>257</v>
      </c>
      <c r="D1298" s="49" t="s">
        <v>153</v>
      </c>
      <c r="E1298" s="49" t="s">
        <v>245</v>
      </c>
      <c r="F1298" s="50">
        <v>43003.0</v>
      </c>
      <c r="G1298" s="50">
        <v>43003.0</v>
      </c>
      <c r="H1298" s="51">
        <v>43008.67847222222</v>
      </c>
      <c r="I1298" s="52">
        <v>1.0</v>
      </c>
      <c r="J1298" s="53"/>
      <c r="K1298" s="53"/>
    </row>
    <row r="1299">
      <c r="A1299" s="48" t="s">
        <v>4965</v>
      </c>
      <c r="B1299" s="49" t="s">
        <v>4966</v>
      </c>
      <c r="C1299" s="49" t="s">
        <v>221</v>
      </c>
      <c r="D1299" s="49" t="s">
        <v>153</v>
      </c>
      <c r="E1299" s="49" t="s">
        <v>245</v>
      </c>
      <c r="F1299" s="50">
        <v>43003.0</v>
      </c>
      <c r="G1299" s="50">
        <v>43003.0</v>
      </c>
      <c r="H1299" s="51">
        <v>43003.501388888886</v>
      </c>
      <c r="I1299" s="52">
        <v>1.0</v>
      </c>
      <c r="J1299" s="53"/>
      <c r="K1299" s="53"/>
    </row>
    <row r="1300">
      <c r="A1300" s="48" t="s">
        <v>4968</v>
      </c>
      <c r="B1300" s="49" t="s">
        <v>4969</v>
      </c>
      <c r="C1300" s="49" t="s">
        <v>257</v>
      </c>
      <c r="D1300" s="49" t="s">
        <v>153</v>
      </c>
      <c r="E1300" s="49" t="s">
        <v>245</v>
      </c>
      <c r="F1300" s="50">
        <v>43003.0</v>
      </c>
      <c r="G1300" s="50">
        <v>43003.0</v>
      </c>
      <c r="H1300" s="51">
        <v>43003.65972222222</v>
      </c>
      <c r="I1300" s="52">
        <v>1.0</v>
      </c>
      <c r="J1300" s="53"/>
      <c r="K1300" s="53"/>
    </row>
    <row r="1301">
      <c r="A1301" s="48" t="s">
        <v>4971</v>
      </c>
      <c r="B1301" s="49" t="s">
        <v>4972</v>
      </c>
      <c r="C1301" s="49" t="s">
        <v>221</v>
      </c>
      <c r="D1301" s="49" t="s">
        <v>153</v>
      </c>
      <c r="E1301" s="49" t="s">
        <v>245</v>
      </c>
      <c r="F1301" s="50">
        <v>43003.0</v>
      </c>
      <c r="G1301" s="50">
        <v>43003.0</v>
      </c>
      <c r="H1301" s="51">
        <v>43008.67152777778</v>
      </c>
      <c r="I1301" s="52">
        <v>1.0</v>
      </c>
      <c r="J1301" s="53"/>
      <c r="K1301" s="53"/>
    </row>
    <row r="1302">
      <c r="A1302" s="48" t="s">
        <v>4975</v>
      </c>
      <c r="B1302" s="49" t="s">
        <v>4976</v>
      </c>
      <c r="C1302" s="49" t="s">
        <v>257</v>
      </c>
      <c r="D1302" s="49" t="s">
        <v>153</v>
      </c>
      <c r="E1302" s="49" t="s">
        <v>245</v>
      </c>
      <c r="F1302" s="50">
        <v>43003.0</v>
      </c>
      <c r="G1302" s="50">
        <v>43003.0</v>
      </c>
      <c r="H1302" s="51">
        <v>43004.40694444445</v>
      </c>
      <c r="I1302" s="52">
        <v>1.0</v>
      </c>
      <c r="J1302" s="53"/>
      <c r="K1302" s="53"/>
    </row>
    <row r="1303">
      <c r="A1303" s="48" t="s">
        <v>4979</v>
      </c>
      <c r="B1303" s="49" t="s">
        <v>4980</v>
      </c>
      <c r="C1303" s="49" t="s">
        <v>257</v>
      </c>
      <c r="D1303" s="49" t="s">
        <v>153</v>
      </c>
      <c r="E1303" s="49" t="s">
        <v>245</v>
      </c>
      <c r="F1303" s="50">
        <v>43003.0</v>
      </c>
      <c r="G1303" s="50">
        <v>43003.0</v>
      </c>
      <c r="H1303" s="51">
        <v>43004.40694444445</v>
      </c>
      <c r="I1303" s="52">
        <v>1.0</v>
      </c>
      <c r="J1303" s="53"/>
      <c r="K1303" s="53"/>
    </row>
    <row r="1304">
      <c r="A1304" s="48" t="s">
        <v>4983</v>
      </c>
      <c r="B1304" s="49" t="s">
        <v>4962</v>
      </c>
      <c r="C1304" s="49" t="s">
        <v>257</v>
      </c>
      <c r="D1304" s="49" t="s">
        <v>153</v>
      </c>
      <c r="E1304" s="49" t="s">
        <v>245</v>
      </c>
      <c r="F1304" s="50">
        <v>43003.0</v>
      </c>
      <c r="G1304" s="50">
        <v>43003.0</v>
      </c>
      <c r="H1304" s="51">
        <v>43003.50069444445</v>
      </c>
      <c r="I1304" s="52">
        <v>1.0</v>
      </c>
      <c r="J1304" s="53"/>
      <c r="K1304" s="53"/>
    </row>
    <row r="1305">
      <c r="A1305" s="48" t="s">
        <v>4986</v>
      </c>
      <c r="B1305" s="49" t="s">
        <v>4988</v>
      </c>
      <c r="C1305" s="49" t="s">
        <v>243</v>
      </c>
      <c r="D1305" s="49" t="s">
        <v>148</v>
      </c>
      <c r="E1305" s="49" t="s">
        <v>245</v>
      </c>
      <c r="F1305" s="50">
        <v>43000.0</v>
      </c>
      <c r="G1305" s="50">
        <v>43002.0</v>
      </c>
      <c r="H1305" s="51">
        <v>43000.575694444444</v>
      </c>
      <c r="I1305" s="52">
        <v>1.0</v>
      </c>
      <c r="J1305" s="53"/>
      <c r="K1305" s="53"/>
    </row>
    <row r="1306">
      <c r="A1306" s="48" t="s">
        <v>4990</v>
      </c>
      <c r="B1306" s="49" t="s">
        <v>4992</v>
      </c>
      <c r="C1306" s="49" t="s">
        <v>257</v>
      </c>
      <c r="D1306" s="49" t="s">
        <v>153</v>
      </c>
      <c r="E1306" s="49" t="s">
        <v>245</v>
      </c>
      <c r="F1306" s="50">
        <v>42999.0</v>
      </c>
      <c r="G1306" s="50">
        <v>42999.0</v>
      </c>
      <c r="H1306" s="51">
        <v>42999.65694444445</v>
      </c>
      <c r="I1306" s="52">
        <v>1.0</v>
      </c>
      <c r="J1306" s="53"/>
      <c r="K1306" s="53"/>
    </row>
    <row r="1307">
      <c r="A1307" s="48" t="s">
        <v>4995</v>
      </c>
      <c r="B1307" s="49" t="s">
        <v>4996</v>
      </c>
      <c r="C1307" s="49" t="s">
        <v>221</v>
      </c>
      <c r="D1307" s="49" t="s">
        <v>153</v>
      </c>
      <c r="E1307" s="49" t="s">
        <v>245</v>
      </c>
      <c r="F1307" s="50">
        <v>42999.0</v>
      </c>
      <c r="G1307" s="50">
        <v>42999.0</v>
      </c>
      <c r="H1307" s="51">
        <v>42999.657638888886</v>
      </c>
      <c r="I1307" s="52">
        <v>1.0</v>
      </c>
      <c r="J1307" s="53"/>
      <c r="K1307" s="53"/>
    </row>
    <row r="1308">
      <c r="A1308" s="48" t="s">
        <v>4999</v>
      </c>
      <c r="B1308" s="49" t="s">
        <v>5001</v>
      </c>
      <c r="C1308" s="49" t="s">
        <v>243</v>
      </c>
      <c r="D1308" s="49" t="s">
        <v>148</v>
      </c>
      <c r="E1308" s="49" t="s">
        <v>245</v>
      </c>
      <c r="F1308" s="50">
        <v>42998.0</v>
      </c>
      <c r="G1308" s="50">
        <v>43007.0</v>
      </c>
      <c r="H1308" s="51">
        <v>43005.73402777778</v>
      </c>
      <c r="I1308" s="52">
        <v>1.0</v>
      </c>
      <c r="J1308" s="53"/>
      <c r="K1308" s="53"/>
    </row>
    <row r="1309">
      <c r="A1309" s="48" t="s">
        <v>5005</v>
      </c>
      <c r="B1309" s="49" t="s">
        <v>5006</v>
      </c>
      <c r="C1309" s="49" t="s">
        <v>243</v>
      </c>
      <c r="D1309" s="49" t="s">
        <v>148</v>
      </c>
      <c r="E1309" s="49" t="s">
        <v>245</v>
      </c>
      <c r="F1309" s="50">
        <v>42998.0</v>
      </c>
      <c r="G1309" s="50">
        <v>43000.0</v>
      </c>
      <c r="H1309" s="51">
        <v>42999.41736111111</v>
      </c>
      <c r="I1309" s="52">
        <v>1.0</v>
      </c>
      <c r="J1309" s="53"/>
      <c r="K1309" s="53"/>
    </row>
    <row r="1310">
      <c r="A1310" s="48" t="s">
        <v>5009</v>
      </c>
      <c r="B1310" s="49" t="s">
        <v>5011</v>
      </c>
      <c r="C1310" s="49" t="s">
        <v>243</v>
      </c>
      <c r="D1310" s="49" t="s">
        <v>148</v>
      </c>
      <c r="E1310" s="49" t="s">
        <v>245</v>
      </c>
      <c r="F1310" s="50">
        <v>42998.0</v>
      </c>
      <c r="G1310" s="50">
        <v>43000.0</v>
      </c>
      <c r="H1310" s="51">
        <v>43035.65972222222</v>
      </c>
      <c r="I1310" s="52">
        <v>1.0</v>
      </c>
      <c r="J1310" s="53"/>
      <c r="K1310" s="53"/>
    </row>
    <row r="1311">
      <c r="A1311" s="48" t="s">
        <v>5015</v>
      </c>
      <c r="B1311" s="49" t="s">
        <v>5016</v>
      </c>
      <c r="C1311" s="49" t="s">
        <v>243</v>
      </c>
      <c r="D1311" s="49" t="s">
        <v>148</v>
      </c>
      <c r="E1311" s="49" t="s">
        <v>245</v>
      </c>
      <c r="F1311" s="50">
        <v>42998.0</v>
      </c>
      <c r="G1311" s="50">
        <v>42999.0</v>
      </c>
      <c r="H1311" s="51">
        <v>43042.79375</v>
      </c>
      <c r="I1311" s="52">
        <v>1.0</v>
      </c>
      <c r="J1311" s="53"/>
      <c r="K1311" s="53"/>
    </row>
    <row r="1312">
      <c r="A1312" s="48" t="s">
        <v>5020</v>
      </c>
      <c r="B1312" s="49" t="s">
        <v>5021</v>
      </c>
      <c r="C1312" s="49" t="s">
        <v>243</v>
      </c>
      <c r="D1312" s="49" t="s">
        <v>148</v>
      </c>
      <c r="E1312" s="49" t="s">
        <v>245</v>
      </c>
      <c r="F1312" s="50">
        <v>42998.0</v>
      </c>
      <c r="G1312" s="50">
        <v>42998.0</v>
      </c>
      <c r="H1312" s="51">
        <v>42999.48402777778</v>
      </c>
      <c r="I1312" s="52">
        <v>1.0</v>
      </c>
      <c r="J1312" s="53"/>
      <c r="K1312" s="53"/>
    </row>
    <row r="1313">
      <c r="A1313" s="48" t="s">
        <v>5026</v>
      </c>
      <c r="B1313" s="49" t="s">
        <v>5027</v>
      </c>
      <c r="C1313" s="49" t="s">
        <v>243</v>
      </c>
      <c r="D1313" s="49" t="s">
        <v>148</v>
      </c>
      <c r="E1313" s="49" t="s">
        <v>245</v>
      </c>
      <c r="F1313" s="50">
        <v>42998.0</v>
      </c>
      <c r="G1313" s="50">
        <v>42998.0</v>
      </c>
      <c r="H1313" s="51">
        <v>42998.72222222222</v>
      </c>
      <c r="I1313" s="52">
        <v>1.0</v>
      </c>
      <c r="J1313" s="53"/>
      <c r="K1313" s="53"/>
    </row>
    <row r="1314">
      <c r="A1314" s="48" t="s">
        <v>5031</v>
      </c>
      <c r="B1314" s="49" t="s">
        <v>5032</v>
      </c>
      <c r="C1314" s="49" t="s">
        <v>243</v>
      </c>
      <c r="D1314" s="49" t="s">
        <v>148</v>
      </c>
      <c r="E1314" s="49" t="s">
        <v>245</v>
      </c>
      <c r="F1314" s="50">
        <v>42997.0</v>
      </c>
      <c r="G1314" s="50">
        <v>43004.0</v>
      </c>
      <c r="H1314" s="51">
        <v>42997.62708333333</v>
      </c>
      <c r="I1314" s="52">
        <v>1.0</v>
      </c>
      <c r="J1314" s="53"/>
      <c r="K1314" s="53"/>
    </row>
    <row r="1315">
      <c r="A1315" s="48" t="s">
        <v>5036</v>
      </c>
      <c r="B1315" s="49" t="s">
        <v>5038</v>
      </c>
      <c r="C1315" s="49" t="s">
        <v>243</v>
      </c>
      <c r="D1315" s="49" t="s">
        <v>140</v>
      </c>
      <c r="E1315" s="49" t="s">
        <v>245</v>
      </c>
      <c r="F1315" s="50">
        <v>42997.0</v>
      </c>
      <c r="G1315" s="50">
        <v>42998.0</v>
      </c>
      <c r="H1315" s="51">
        <v>43020.47083333333</v>
      </c>
      <c r="I1315" s="52">
        <v>1.0</v>
      </c>
      <c r="J1315" s="53"/>
      <c r="K1315" s="53"/>
    </row>
    <row r="1316">
      <c r="A1316" s="48" t="s">
        <v>5041</v>
      </c>
      <c r="B1316" s="49" t="s">
        <v>5042</v>
      </c>
      <c r="C1316" s="49" t="s">
        <v>257</v>
      </c>
      <c r="D1316" s="49" t="s">
        <v>153</v>
      </c>
      <c r="E1316" s="49" t="s">
        <v>245</v>
      </c>
      <c r="F1316" s="50">
        <v>42997.0</v>
      </c>
      <c r="G1316" s="50">
        <v>42997.0</v>
      </c>
      <c r="H1316" s="51">
        <v>42997.77777777778</v>
      </c>
      <c r="I1316" s="52">
        <v>1.0</v>
      </c>
      <c r="J1316" s="53"/>
      <c r="K1316" s="53"/>
    </row>
    <row r="1317">
      <c r="A1317" s="48" t="s">
        <v>5045</v>
      </c>
      <c r="B1317" s="49" t="s">
        <v>5046</v>
      </c>
      <c r="C1317" s="49" t="s">
        <v>221</v>
      </c>
      <c r="D1317" s="49" t="s">
        <v>153</v>
      </c>
      <c r="E1317" s="49" t="s">
        <v>245</v>
      </c>
      <c r="F1317" s="50">
        <v>42997.0</v>
      </c>
      <c r="G1317" s="50">
        <v>42997.0</v>
      </c>
      <c r="H1317" s="51">
        <v>42997.77847222222</v>
      </c>
      <c r="I1317" s="52">
        <v>1.0</v>
      </c>
      <c r="J1317" s="53"/>
      <c r="K1317" s="53"/>
    </row>
    <row r="1318">
      <c r="A1318" s="48" t="s">
        <v>5050</v>
      </c>
      <c r="B1318" s="49" t="s">
        <v>5051</v>
      </c>
      <c r="C1318" s="49" t="s">
        <v>203</v>
      </c>
      <c r="D1318" s="49" t="s">
        <v>4673</v>
      </c>
      <c r="E1318" s="49" t="s">
        <v>245</v>
      </c>
      <c r="F1318" s="50">
        <v>42996.0</v>
      </c>
      <c r="G1318" s="50">
        <v>43000.0</v>
      </c>
      <c r="H1318" s="51">
        <v>43003.55347222222</v>
      </c>
      <c r="I1318" s="52">
        <v>1.0</v>
      </c>
      <c r="J1318" s="53"/>
      <c r="K1318" s="53"/>
    </row>
    <row r="1319">
      <c r="A1319" s="48" t="s">
        <v>5054</v>
      </c>
      <c r="B1319" s="49" t="s">
        <v>5056</v>
      </c>
      <c r="C1319" s="49" t="s">
        <v>203</v>
      </c>
      <c r="D1319" s="49" t="s">
        <v>148</v>
      </c>
      <c r="E1319" s="49" t="s">
        <v>245</v>
      </c>
      <c r="F1319" s="50">
        <v>42996.0</v>
      </c>
      <c r="G1319" s="50">
        <v>42996.0</v>
      </c>
      <c r="H1319" s="51">
        <v>43004.85277777778</v>
      </c>
      <c r="I1319" s="52">
        <v>1.0</v>
      </c>
      <c r="J1319" s="53"/>
      <c r="K1319" s="53"/>
    </row>
    <row r="1320">
      <c r="A1320" s="48" t="s">
        <v>5058</v>
      </c>
      <c r="B1320" s="49" t="s">
        <v>5059</v>
      </c>
      <c r="C1320" s="49" t="s">
        <v>203</v>
      </c>
      <c r="D1320" s="49" t="s">
        <v>148</v>
      </c>
      <c r="E1320" s="49" t="s">
        <v>245</v>
      </c>
      <c r="F1320" s="50">
        <v>42996.0</v>
      </c>
      <c r="G1320" s="50">
        <v>42996.0</v>
      </c>
      <c r="H1320" s="51">
        <v>43004.853472222225</v>
      </c>
      <c r="I1320" s="52">
        <v>1.0</v>
      </c>
      <c r="J1320" s="53"/>
      <c r="K1320" s="53"/>
    </row>
    <row r="1321">
      <c r="A1321" s="48" t="s">
        <v>5064</v>
      </c>
      <c r="B1321" s="49" t="s">
        <v>5065</v>
      </c>
      <c r="C1321" s="49" t="s">
        <v>203</v>
      </c>
      <c r="D1321" s="49" t="s">
        <v>4673</v>
      </c>
      <c r="E1321" s="49" t="s">
        <v>245</v>
      </c>
      <c r="F1321" s="50">
        <v>42992.0</v>
      </c>
      <c r="G1321" s="50">
        <v>43019.0</v>
      </c>
      <c r="H1321" s="51">
        <v>43063.80486111111</v>
      </c>
      <c r="I1321" s="52">
        <v>1.0</v>
      </c>
      <c r="J1321" s="53"/>
      <c r="K1321" s="53"/>
    </row>
    <row r="1322">
      <c r="A1322" s="48" t="s">
        <v>5068</v>
      </c>
      <c r="B1322" s="49" t="s">
        <v>5069</v>
      </c>
      <c r="C1322" s="49" t="s">
        <v>238</v>
      </c>
      <c r="D1322" s="49" t="s">
        <v>148</v>
      </c>
      <c r="E1322" s="49" t="s">
        <v>245</v>
      </c>
      <c r="F1322" s="50">
        <v>42991.0</v>
      </c>
      <c r="G1322" s="50">
        <v>42991.0</v>
      </c>
      <c r="H1322" s="51">
        <v>42992.40416666667</v>
      </c>
      <c r="I1322" s="52">
        <v>1.0</v>
      </c>
      <c r="J1322" s="53"/>
      <c r="K1322" s="53"/>
    </row>
    <row r="1323">
      <c r="A1323" s="48" t="s">
        <v>5076</v>
      </c>
      <c r="B1323" s="49" t="s">
        <v>5077</v>
      </c>
      <c r="C1323" s="49" t="s">
        <v>257</v>
      </c>
      <c r="D1323" s="49" t="s">
        <v>153</v>
      </c>
      <c r="E1323" s="49" t="s">
        <v>245</v>
      </c>
      <c r="F1323" s="50">
        <v>42991.0</v>
      </c>
      <c r="G1323" s="50">
        <v>42991.0</v>
      </c>
      <c r="H1323" s="51">
        <v>42991.67638888889</v>
      </c>
      <c r="I1323" s="52">
        <v>1.0</v>
      </c>
      <c r="J1323" s="53"/>
      <c r="K1323" s="53"/>
    </row>
    <row r="1324">
      <c r="A1324" s="48" t="s">
        <v>5079</v>
      </c>
      <c r="B1324" s="49" t="s">
        <v>5080</v>
      </c>
      <c r="C1324" s="49" t="s">
        <v>221</v>
      </c>
      <c r="D1324" s="49" t="s">
        <v>153</v>
      </c>
      <c r="E1324" s="49" t="s">
        <v>245</v>
      </c>
      <c r="F1324" s="50">
        <v>42991.0</v>
      </c>
      <c r="G1324" s="50">
        <v>42991.0</v>
      </c>
      <c r="H1324" s="51">
        <v>42991.677083333336</v>
      </c>
      <c r="I1324" s="52">
        <v>1.0</v>
      </c>
      <c r="J1324" s="53"/>
      <c r="K1324" s="53"/>
    </row>
    <row r="1325">
      <c r="A1325" s="48" t="s">
        <v>5083</v>
      </c>
      <c r="B1325" s="49" t="s">
        <v>5084</v>
      </c>
      <c r="C1325" s="49" t="s">
        <v>221</v>
      </c>
      <c r="D1325" s="49" t="s">
        <v>153</v>
      </c>
      <c r="E1325" s="49" t="s">
        <v>245</v>
      </c>
      <c r="F1325" s="50">
        <v>42991.0</v>
      </c>
      <c r="G1325" s="50">
        <v>42991.0</v>
      </c>
      <c r="H1325" s="51">
        <v>42991.677083333336</v>
      </c>
      <c r="I1325" s="52">
        <v>1.0</v>
      </c>
      <c r="J1325" s="53"/>
      <c r="K1325" s="53"/>
    </row>
    <row r="1326">
      <c r="A1326" s="48" t="s">
        <v>5088</v>
      </c>
      <c r="B1326" s="49" t="s">
        <v>5089</v>
      </c>
      <c r="C1326" s="49" t="s">
        <v>243</v>
      </c>
      <c r="D1326" s="49" t="s">
        <v>148</v>
      </c>
      <c r="E1326" s="49" t="s">
        <v>245</v>
      </c>
      <c r="F1326" s="50">
        <v>42990.0</v>
      </c>
      <c r="G1326" s="50">
        <v>42993.0</v>
      </c>
      <c r="H1326" s="51">
        <v>43073.85555555556</v>
      </c>
      <c r="I1326" s="52">
        <v>1.0</v>
      </c>
      <c r="J1326" s="53"/>
      <c r="K1326" s="53"/>
    </row>
    <row r="1327">
      <c r="A1327" s="48" t="s">
        <v>5093</v>
      </c>
      <c r="B1327" s="49" t="s">
        <v>5094</v>
      </c>
      <c r="C1327" s="49" t="s">
        <v>243</v>
      </c>
      <c r="D1327" s="49" t="s">
        <v>148</v>
      </c>
      <c r="E1327" s="49" t="s">
        <v>245</v>
      </c>
      <c r="F1327" s="50">
        <v>42990.0</v>
      </c>
      <c r="G1327" s="50">
        <v>42990.0</v>
      </c>
      <c r="H1327" s="51">
        <v>42990.62777777778</v>
      </c>
      <c r="I1327" s="52">
        <v>1.0</v>
      </c>
      <c r="J1327" s="53"/>
      <c r="K1327" s="53"/>
    </row>
    <row r="1328">
      <c r="A1328" s="48" t="s">
        <v>5098</v>
      </c>
      <c r="B1328" s="49" t="s">
        <v>5099</v>
      </c>
      <c r="C1328" s="49" t="s">
        <v>243</v>
      </c>
      <c r="D1328" s="49" t="s">
        <v>148</v>
      </c>
      <c r="E1328" s="49" t="s">
        <v>245</v>
      </c>
      <c r="F1328" s="50">
        <v>42990.0</v>
      </c>
      <c r="G1328" s="50">
        <v>42990.0</v>
      </c>
      <c r="H1328" s="51">
        <v>42990.62777777778</v>
      </c>
      <c r="I1328" s="52">
        <v>1.0</v>
      </c>
      <c r="J1328" s="53"/>
      <c r="K1328" s="53"/>
    </row>
    <row r="1329">
      <c r="A1329" s="48" t="s">
        <v>5105</v>
      </c>
      <c r="B1329" s="49" t="s">
        <v>5107</v>
      </c>
      <c r="C1329" s="49" t="s">
        <v>257</v>
      </c>
      <c r="D1329" s="49" t="s">
        <v>153</v>
      </c>
      <c r="E1329" s="49" t="s">
        <v>245</v>
      </c>
      <c r="F1329" s="50">
        <v>42990.0</v>
      </c>
      <c r="G1329" s="50">
        <v>42990.0</v>
      </c>
      <c r="H1329" s="51">
        <v>42990.51666666667</v>
      </c>
      <c r="I1329" s="52">
        <v>1.0</v>
      </c>
      <c r="J1329" s="53"/>
      <c r="K1329" s="53"/>
    </row>
    <row r="1330">
      <c r="A1330" s="48" t="s">
        <v>5111</v>
      </c>
      <c r="B1330" s="49" t="s">
        <v>5113</v>
      </c>
      <c r="C1330" s="49" t="s">
        <v>221</v>
      </c>
      <c r="D1330" s="49" t="s">
        <v>153</v>
      </c>
      <c r="E1330" s="49" t="s">
        <v>245</v>
      </c>
      <c r="F1330" s="50">
        <v>42990.0</v>
      </c>
      <c r="G1330" s="50">
        <v>42990.0</v>
      </c>
      <c r="H1330" s="51">
        <v>42990.51736111111</v>
      </c>
      <c r="I1330" s="52">
        <v>1.0</v>
      </c>
      <c r="J1330" s="53"/>
      <c r="K1330" s="53"/>
    </row>
    <row r="1331">
      <c r="A1331" s="48" t="s">
        <v>5117</v>
      </c>
      <c r="B1331" s="49" t="s">
        <v>5118</v>
      </c>
      <c r="C1331" s="49" t="s">
        <v>238</v>
      </c>
      <c r="D1331" s="49" t="s">
        <v>148</v>
      </c>
      <c r="E1331" s="49" t="s">
        <v>245</v>
      </c>
      <c r="F1331" s="50">
        <v>42990.0</v>
      </c>
      <c r="G1331" s="50">
        <v>42990.0</v>
      </c>
      <c r="H1331" s="51">
        <v>42991.39791666667</v>
      </c>
      <c r="I1331" s="52">
        <v>1.0</v>
      </c>
      <c r="J1331" s="53"/>
      <c r="K1331" s="53"/>
    </row>
    <row r="1332">
      <c r="A1332" s="48" t="s">
        <v>5122</v>
      </c>
      <c r="B1332" s="49" t="s">
        <v>5123</v>
      </c>
      <c r="C1332" s="49" t="s">
        <v>379</v>
      </c>
      <c r="D1332" s="49" t="s">
        <v>148</v>
      </c>
      <c r="E1332" s="49" t="s">
        <v>245</v>
      </c>
      <c r="F1332" s="50">
        <v>42990.0</v>
      </c>
      <c r="G1332" s="50">
        <v>42990.0</v>
      </c>
      <c r="H1332" s="51">
        <v>42991.39791666667</v>
      </c>
      <c r="I1332" s="52">
        <v>1.0</v>
      </c>
      <c r="J1332" s="53"/>
      <c r="K1332" s="53"/>
    </row>
    <row r="1333">
      <c r="A1333" s="48" t="s">
        <v>5126</v>
      </c>
      <c r="B1333" s="49" t="s">
        <v>5128</v>
      </c>
      <c r="C1333" s="49" t="s">
        <v>221</v>
      </c>
      <c r="D1333" s="49" t="s">
        <v>153</v>
      </c>
      <c r="E1333" s="49" t="s">
        <v>245</v>
      </c>
      <c r="F1333" s="50">
        <v>42990.0</v>
      </c>
      <c r="G1333" s="50">
        <v>42990.0</v>
      </c>
      <c r="H1333" s="51">
        <v>42990.66736111111</v>
      </c>
      <c r="I1333" s="52">
        <v>1.0</v>
      </c>
      <c r="J1333" s="53"/>
      <c r="K1333" s="53"/>
    </row>
    <row r="1334">
      <c r="A1334" s="48" t="s">
        <v>5132</v>
      </c>
      <c r="B1334" s="49" t="s">
        <v>5134</v>
      </c>
      <c r="C1334" s="49" t="s">
        <v>379</v>
      </c>
      <c r="D1334" s="49" t="s">
        <v>148</v>
      </c>
      <c r="E1334" s="49" t="s">
        <v>204</v>
      </c>
      <c r="F1334" s="50">
        <v>42989.0</v>
      </c>
      <c r="G1334" s="50">
        <v>42998.0</v>
      </c>
      <c r="H1334" s="51">
        <v>43091.40902777778</v>
      </c>
      <c r="I1334" s="52">
        <v>0.0</v>
      </c>
      <c r="J1334" s="53"/>
      <c r="K1334" s="53"/>
    </row>
    <row r="1335">
      <c r="A1335" s="48" t="s">
        <v>5138</v>
      </c>
      <c r="B1335" s="49" t="s">
        <v>5139</v>
      </c>
      <c r="C1335" s="49" t="s">
        <v>203</v>
      </c>
      <c r="D1335" s="49" t="s">
        <v>4673</v>
      </c>
      <c r="E1335" s="49" t="s">
        <v>245</v>
      </c>
      <c r="F1335" s="50">
        <v>42989.0</v>
      </c>
      <c r="G1335" s="50">
        <v>42993.0</v>
      </c>
      <c r="H1335" s="51">
        <v>43003.416666666664</v>
      </c>
      <c r="I1335" s="52">
        <v>1.0</v>
      </c>
      <c r="J1335" s="53"/>
      <c r="K1335" s="53"/>
    </row>
    <row r="1336">
      <c r="A1336" s="48" t="s">
        <v>5143</v>
      </c>
      <c r="B1336" s="49" t="s">
        <v>5145</v>
      </c>
      <c r="C1336" s="49" t="s">
        <v>257</v>
      </c>
      <c r="D1336" s="49" t="s">
        <v>153</v>
      </c>
      <c r="E1336" s="49" t="s">
        <v>245</v>
      </c>
      <c r="F1336" s="50">
        <v>42989.0</v>
      </c>
      <c r="G1336" s="50">
        <v>42992.0</v>
      </c>
      <c r="H1336" s="51">
        <v>43007.654861111114</v>
      </c>
      <c r="I1336" s="52">
        <v>1.0</v>
      </c>
      <c r="J1336" s="53"/>
      <c r="K1336" s="53"/>
    </row>
    <row r="1337">
      <c r="A1337" s="48" t="s">
        <v>5150</v>
      </c>
      <c r="B1337" s="49" t="s">
        <v>5151</v>
      </c>
      <c r="C1337" s="49" t="s">
        <v>238</v>
      </c>
      <c r="D1337" s="49" t="s">
        <v>140</v>
      </c>
      <c r="E1337" s="49" t="s">
        <v>245</v>
      </c>
      <c r="F1337" s="50">
        <v>42989.0</v>
      </c>
      <c r="G1337" s="50">
        <v>42989.0</v>
      </c>
      <c r="H1337" s="51">
        <v>43020.47152777778</v>
      </c>
      <c r="I1337" s="52">
        <v>1.0</v>
      </c>
      <c r="J1337" s="53"/>
      <c r="K1337" s="53"/>
    </row>
    <row r="1338">
      <c r="A1338" s="48" t="s">
        <v>5154</v>
      </c>
      <c r="B1338" s="49" t="s">
        <v>5156</v>
      </c>
      <c r="C1338" s="49" t="s">
        <v>243</v>
      </c>
      <c r="D1338" s="49" t="s">
        <v>148</v>
      </c>
      <c r="E1338" s="49" t="s">
        <v>245</v>
      </c>
      <c r="F1338" s="50">
        <v>42986.0</v>
      </c>
      <c r="G1338" s="50">
        <v>42993.0</v>
      </c>
      <c r="H1338" s="51">
        <v>42991.399305555555</v>
      </c>
      <c r="I1338" s="52">
        <v>1.0</v>
      </c>
      <c r="J1338" s="53"/>
      <c r="K1338" s="53"/>
    </row>
    <row r="1339">
      <c r="A1339" s="48" t="s">
        <v>5162</v>
      </c>
      <c r="B1339" s="49" t="s">
        <v>5163</v>
      </c>
      <c r="C1339" s="49" t="s">
        <v>243</v>
      </c>
      <c r="D1339" s="49" t="s">
        <v>148</v>
      </c>
      <c r="E1339" s="49" t="s">
        <v>245</v>
      </c>
      <c r="F1339" s="50">
        <v>42986.0</v>
      </c>
      <c r="G1339" s="50">
        <v>42993.0</v>
      </c>
      <c r="H1339" s="51">
        <v>42991.399305555555</v>
      </c>
      <c r="I1339" s="52">
        <v>1.0</v>
      </c>
      <c r="J1339" s="53"/>
      <c r="K1339" s="53"/>
    </row>
    <row r="1340">
      <c r="A1340" s="48" t="s">
        <v>5167</v>
      </c>
      <c r="B1340" s="49" t="s">
        <v>5168</v>
      </c>
      <c r="C1340" s="49" t="s">
        <v>243</v>
      </c>
      <c r="D1340" s="49" t="s">
        <v>148</v>
      </c>
      <c r="E1340" s="49" t="s">
        <v>245</v>
      </c>
      <c r="F1340" s="50">
        <v>42986.0</v>
      </c>
      <c r="G1340" s="50">
        <v>42986.0</v>
      </c>
      <c r="H1340" s="51">
        <v>42991.39861111111</v>
      </c>
      <c r="I1340" s="52">
        <v>1.0</v>
      </c>
      <c r="J1340" s="53"/>
      <c r="K1340" s="53"/>
    </row>
    <row r="1341">
      <c r="A1341" s="48" t="s">
        <v>5172</v>
      </c>
      <c r="B1341" s="49" t="s">
        <v>5173</v>
      </c>
      <c r="C1341" s="49" t="s">
        <v>257</v>
      </c>
      <c r="D1341" s="49" t="s">
        <v>153</v>
      </c>
      <c r="E1341" s="49" t="s">
        <v>245</v>
      </c>
      <c r="F1341" s="50">
        <v>42986.0</v>
      </c>
      <c r="G1341" s="50">
        <v>42986.0</v>
      </c>
      <c r="H1341" s="51">
        <v>42991.67569444444</v>
      </c>
      <c r="I1341" s="52">
        <v>1.0</v>
      </c>
      <c r="J1341" s="53"/>
      <c r="K1341" s="53"/>
    </row>
    <row r="1342">
      <c r="A1342" s="48" t="s">
        <v>5178</v>
      </c>
      <c r="B1342" s="49" t="s">
        <v>5183</v>
      </c>
      <c r="C1342" s="49" t="s">
        <v>221</v>
      </c>
      <c r="D1342" s="49" t="s">
        <v>153</v>
      </c>
      <c r="E1342" s="49" t="s">
        <v>245</v>
      </c>
      <c r="F1342" s="50">
        <v>42986.0</v>
      </c>
      <c r="G1342" s="50">
        <v>42986.0</v>
      </c>
      <c r="H1342" s="51">
        <v>42991.67569444444</v>
      </c>
      <c r="I1342" s="52">
        <v>1.0</v>
      </c>
      <c r="J1342" s="53"/>
      <c r="K1342" s="53"/>
    </row>
    <row r="1343">
      <c r="A1343" s="48" t="s">
        <v>5186</v>
      </c>
      <c r="B1343" s="49" t="s">
        <v>5187</v>
      </c>
      <c r="C1343" s="49" t="s">
        <v>243</v>
      </c>
      <c r="D1343" s="49" t="s">
        <v>148</v>
      </c>
      <c r="E1343" s="49" t="s">
        <v>245</v>
      </c>
      <c r="F1343" s="50">
        <v>42985.0</v>
      </c>
      <c r="G1343" s="50">
        <v>42986.0</v>
      </c>
      <c r="H1343" s="51">
        <v>43005.57847222222</v>
      </c>
      <c r="I1343" s="52">
        <v>1.0</v>
      </c>
      <c r="J1343" s="53"/>
      <c r="K1343" s="53"/>
    </row>
    <row r="1344">
      <c r="A1344" s="48" t="s">
        <v>5190</v>
      </c>
      <c r="B1344" s="49" t="s">
        <v>5191</v>
      </c>
      <c r="C1344" s="49" t="s">
        <v>243</v>
      </c>
      <c r="D1344" s="49" t="s">
        <v>148</v>
      </c>
      <c r="E1344" s="49" t="s">
        <v>245</v>
      </c>
      <c r="F1344" s="50">
        <v>42985.0</v>
      </c>
      <c r="G1344" s="50">
        <v>42986.0</v>
      </c>
      <c r="H1344" s="51">
        <v>43005.57847222222</v>
      </c>
      <c r="I1344" s="52">
        <v>1.0</v>
      </c>
      <c r="J1344" s="53"/>
      <c r="K1344" s="53"/>
    </row>
    <row r="1345">
      <c r="A1345" s="48" t="s">
        <v>5194</v>
      </c>
      <c r="B1345" s="49" t="s">
        <v>5195</v>
      </c>
      <c r="C1345" s="49" t="s">
        <v>238</v>
      </c>
      <c r="D1345" s="49" t="s">
        <v>148</v>
      </c>
      <c r="E1345" s="49" t="s">
        <v>245</v>
      </c>
      <c r="F1345" s="50">
        <v>42985.0</v>
      </c>
      <c r="G1345" s="50">
        <v>42986.0</v>
      </c>
      <c r="H1345" s="51">
        <v>42990.493055555555</v>
      </c>
      <c r="I1345" s="52">
        <v>1.0</v>
      </c>
      <c r="J1345" s="53"/>
      <c r="K1345" s="53"/>
    </row>
    <row r="1346">
      <c r="A1346" s="48" t="s">
        <v>5198</v>
      </c>
      <c r="B1346" s="49" t="s">
        <v>5201</v>
      </c>
      <c r="C1346" s="49" t="s">
        <v>238</v>
      </c>
      <c r="D1346" s="49" t="s">
        <v>148</v>
      </c>
      <c r="E1346" s="49" t="s">
        <v>245</v>
      </c>
      <c r="F1346" s="50">
        <v>42985.0</v>
      </c>
      <c r="G1346" s="50">
        <v>42986.0</v>
      </c>
      <c r="H1346" s="51">
        <v>42990.493055555555</v>
      </c>
      <c r="I1346" s="52">
        <v>1.0</v>
      </c>
      <c r="J1346" s="53"/>
      <c r="K1346" s="53"/>
    </row>
    <row r="1347">
      <c r="A1347" s="48" t="s">
        <v>5203</v>
      </c>
      <c r="B1347" s="49" t="s">
        <v>5204</v>
      </c>
      <c r="C1347" s="49" t="s">
        <v>238</v>
      </c>
      <c r="D1347" s="49" t="s">
        <v>148</v>
      </c>
      <c r="E1347" s="49" t="s">
        <v>245</v>
      </c>
      <c r="F1347" s="50">
        <v>42985.0</v>
      </c>
      <c r="G1347" s="50">
        <v>42986.0</v>
      </c>
      <c r="H1347" s="51">
        <v>42990.50486111111</v>
      </c>
      <c r="I1347" s="52">
        <v>1.0</v>
      </c>
      <c r="J1347" s="53"/>
      <c r="K1347" s="53"/>
    </row>
    <row r="1348">
      <c r="A1348" s="48" t="s">
        <v>5207</v>
      </c>
      <c r="B1348" s="49" t="s">
        <v>5209</v>
      </c>
      <c r="C1348" s="49" t="s">
        <v>379</v>
      </c>
      <c r="D1348" s="49" t="s">
        <v>974</v>
      </c>
      <c r="E1348" s="49" t="s">
        <v>245</v>
      </c>
      <c r="F1348" s="50">
        <v>42985.0</v>
      </c>
      <c r="G1348" s="50">
        <v>42985.0</v>
      </c>
      <c r="H1348" s="51">
        <v>43020.47152777778</v>
      </c>
      <c r="I1348" s="52">
        <v>1.0</v>
      </c>
      <c r="J1348" s="53"/>
      <c r="K1348" s="53"/>
    </row>
    <row r="1349">
      <c r="A1349" s="48" t="s">
        <v>5212</v>
      </c>
      <c r="B1349" s="49" t="s">
        <v>5213</v>
      </c>
      <c r="C1349" s="49" t="s">
        <v>257</v>
      </c>
      <c r="D1349" s="49" t="s">
        <v>140</v>
      </c>
      <c r="E1349" s="49" t="s">
        <v>245</v>
      </c>
      <c r="F1349" s="50">
        <v>42985.0</v>
      </c>
      <c r="G1349" s="50">
        <v>42985.0</v>
      </c>
      <c r="H1349" s="51">
        <v>42992.46875</v>
      </c>
      <c r="I1349" s="52">
        <v>1.0</v>
      </c>
      <c r="J1349" s="53"/>
      <c r="K1349" s="53"/>
    </row>
    <row r="1350">
      <c r="A1350" s="48" t="s">
        <v>5217</v>
      </c>
      <c r="B1350" s="49" t="s">
        <v>5218</v>
      </c>
      <c r="C1350" s="49" t="s">
        <v>243</v>
      </c>
      <c r="D1350" s="49" t="s">
        <v>148</v>
      </c>
      <c r="E1350" s="49" t="s">
        <v>245</v>
      </c>
      <c r="F1350" s="50">
        <v>42985.0</v>
      </c>
      <c r="G1350" s="50">
        <v>42985.0</v>
      </c>
      <c r="H1350" s="51">
        <v>43005.57847222222</v>
      </c>
      <c r="I1350" s="52">
        <v>1.0</v>
      </c>
      <c r="J1350" s="53"/>
      <c r="K1350" s="53"/>
    </row>
    <row r="1351">
      <c r="A1351" s="48" t="s">
        <v>5222</v>
      </c>
      <c r="B1351" s="49" t="s">
        <v>5223</v>
      </c>
      <c r="C1351" s="49" t="s">
        <v>257</v>
      </c>
      <c r="D1351" s="49" t="s">
        <v>153</v>
      </c>
      <c r="E1351" s="49" t="s">
        <v>245</v>
      </c>
      <c r="F1351" s="50">
        <v>42985.0</v>
      </c>
      <c r="G1351" s="50">
        <v>42985.0</v>
      </c>
      <c r="H1351" s="51">
        <v>42985.720138888886</v>
      </c>
      <c r="I1351" s="52">
        <v>1.0</v>
      </c>
      <c r="J1351" s="53"/>
      <c r="K1351" s="53"/>
    </row>
    <row r="1352">
      <c r="A1352" s="48" t="s">
        <v>5226</v>
      </c>
      <c r="B1352" s="49" t="s">
        <v>5227</v>
      </c>
      <c r="C1352" s="49" t="s">
        <v>238</v>
      </c>
      <c r="D1352" s="49" t="s">
        <v>153</v>
      </c>
      <c r="E1352" s="49" t="s">
        <v>245</v>
      </c>
      <c r="F1352" s="50">
        <v>42985.0</v>
      </c>
      <c r="G1352" s="50">
        <v>42985.0</v>
      </c>
      <c r="H1352" s="51">
        <v>43007.65555555555</v>
      </c>
      <c r="I1352" s="52">
        <v>1.0</v>
      </c>
      <c r="J1352" s="53"/>
      <c r="K1352" s="53"/>
    </row>
    <row r="1353">
      <c r="A1353" s="48" t="s">
        <v>5230</v>
      </c>
      <c r="B1353" s="49" t="s">
        <v>5231</v>
      </c>
      <c r="C1353" s="49" t="s">
        <v>452</v>
      </c>
      <c r="D1353" s="49" t="s">
        <v>140</v>
      </c>
      <c r="E1353" s="49" t="s">
        <v>245</v>
      </c>
      <c r="F1353" s="50">
        <v>42984.0</v>
      </c>
      <c r="G1353" s="50">
        <v>42989.0</v>
      </c>
      <c r="H1353" s="51">
        <v>43020.47152777778</v>
      </c>
      <c r="I1353" s="52">
        <v>1.0</v>
      </c>
      <c r="J1353" s="53"/>
      <c r="K1353" s="53"/>
    </row>
    <row r="1354">
      <c r="A1354" s="48" t="s">
        <v>5234</v>
      </c>
      <c r="B1354" s="49" t="s">
        <v>5235</v>
      </c>
      <c r="C1354" s="49" t="s">
        <v>243</v>
      </c>
      <c r="D1354" s="49" t="s">
        <v>148</v>
      </c>
      <c r="E1354" s="49" t="s">
        <v>245</v>
      </c>
      <c r="F1354" s="50">
        <v>42984.0</v>
      </c>
      <c r="G1354" s="50">
        <v>42986.0</v>
      </c>
      <c r="H1354" s="51">
        <v>42991.40416666667</v>
      </c>
      <c r="I1354" s="52">
        <v>1.0</v>
      </c>
      <c r="J1354" s="53"/>
      <c r="K1354" s="53"/>
    </row>
    <row r="1355">
      <c r="A1355" s="48" t="s">
        <v>5238</v>
      </c>
      <c r="B1355" s="49" t="s">
        <v>5240</v>
      </c>
      <c r="C1355" s="49" t="s">
        <v>243</v>
      </c>
      <c r="D1355" s="49" t="s">
        <v>148</v>
      </c>
      <c r="E1355" s="49" t="s">
        <v>245</v>
      </c>
      <c r="F1355" s="50">
        <v>42984.0</v>
      </c>
      <c r="G1355" s="50">
        <v>42986.0</v>
      </c>
      <c r="H1355" s="51">
        <v>43042.79305555556</v>
      </c>
      <c r="I1355" s="52">
        <v>1.0</v>
      </c>
      <c r="J1355" s="53"/>
      <c r="K1355" s="53"/>
    </row>
    <row r="1356">
      <c r="A1356" s="48" t="s">
        <v>5242</v>
      </c>
      <c r="B1356" s="49" t="s">
        <v>5243</v>
      </c>
      <c r="C1356" s="49" t="s">
        <v>257</v>
      </c>
      <c r="D1356" s="49" t="s">
        <v>140</v>
      </c>
      <c r="E1356" s="49" t="s">
        <v>245</v>
      </c>
      <c r="F1356" s="50">
        <v>42984.0</v>
      </c>
      <c r="G1356" s="50">
        <v>42985.0</v>
      </c>
      <c r="H1356" s="51">
        <v>42991.674305555556</v>
      </c>
      <c r="I1356" s="52">
        <v>1.0</v>
      </c>
      <c r="J1356" s="53"/>
      <c r="K1356" s="53"/>
    </row>
    <row r="1357">
      <c r="A1357" s="48" t="s">
        <v>5245</v>
      </c>
      <c r="B1357" s="49" t="s">
        <v>5246</v>
      </c>
      <c r="C1357" s="49" t="s">
        <v>243</v>
      </c>
      <c r="D1357" s="49" t="s">
        <v>140</v>
      </c>
      <c r="E1357" s="49" t="s">
        <v>245</v>
      </c>
      <c r="F1357" s="50">
        <v>42984.0</v>
      </c>
      <c r="G1357" s="50">
        <v>42984.0</v>
      </c>
      <c r="H1357" s="51">
        <v>43020.47152777778</v>
      </c>
      <c r="I1357" s="52">
        <v>1.0</v>
      </c>
      <c r="J1357" s="53"/>
      <c r="K1357" s="53"/>
    </row>
    <row r="1358">
      <c r="A1358" s="48" t="s">
        <v>5249</v>
      </c>
      <c r="B1358" s="49" t="s">
        <v>5250</v>
      </c>
      <c r="C1358" s="49" t="s">
        <v>257</v>
      </c>
      <c r="D1358" s="49" t="s">
        <v>153</v>
      </c>
      <c r="E1358" s="49" t="s">
        <v>245</v>
      </c>
      <c r="F1358" s="50">
        <v>42984.0</v>
      </c>
      <c r="G1358" s="50">
        <v>42984.0</v>
      </c>
      <c r="H1358" s="51">
        <v>42984.631944444445</v>
      </c>
      <c r="I1358" s="52">
        <v>1.0</v>
      </c>
      <c r="J1358" s="53"/>
      <c r="K1358" s="53"/>
    </row>
    <row r="1359">
      <c r="A1359" s="48" t="s">
        <v>5252</v>
      </c>
      <c r="B1359" s="49" t="s">
        <v>5253</v>
      </c>
      <c r="C1359" s="49" t="s">
        <v>221</v>
      </c>
      <c r="D1359" s="49" t="s">
        <v>153</v>
      </c>
      <c r="E1359" s="49" t="s">
        <v>245</v>
      </c>
      <c r="F1359" s="50">
        <v>42984.0</v>
      </c>
      <c r="G1359" s="50">
        <v>42984.0</v>
      </c>
      <c r="H1359" s="51">
        <v>42984.63333333333</v>
      </c>
      <c r="I1359" s="52">
        <v>1.0</v>
      </c>
      <c r="J1359" s="53"/>
      <c r="K1359" s="53"/>
    </row>
    <row r="1360">
      <c r="A1360" s="48" t="s">
        <v>5256</v>
      </c>
      <c r="B1360" s="49" t="s">
        <v>5257</v>
      </c>
      <c r="C1360" s="49" t="s">
        <v>257</v>
      </c>
      <c r="D1360" s="49" t="s">
        <v>153</v>
      </c>
      <c r="E1360" s="49" t="s">
        <v>245</v>
      </c>
      <c r="F1360" s="50">
        <v>42984.0</v>
      </c>
      <c r="G1360" s="50">
        <v>42984.0</v>
      </c>
      <c r="H1360" s="51">
        <v>42984.63263888889</v>
      </c>
      <c r="I1360" s="52">
        <v>1.0</v>
      </c>
      <c r="J1360" s="53"/>
      <c r="K1360" s="53"/>
    </row>
    <row r="1361">
      <c r="A1361" s="48" t="s">
        <v>5262</v>
      </c>
      <c r="B1361" s="49" t="s">
        <v>5263</v>
      </c>
      <c r="C1361" s="49" t="s">
        <v>243</v>
      </c>
      <c r="D1361" s="49" t="s">
        <v>148</v>
      </c>
      <c r="E1361" s="49" t="s">
        <v>245</v>
      </c>
      <c r="F1361" s="50">
        <v>42984.0</v>
      </c>
      <c r="G1361" s="50">
        <v>42984.0</v>
      </c>
      <c r="H1361" s="51">
        <v>42984.67152777778</v>
      </c>
      <c r="I1361" s="52">
        <v>1.0</v>
      </c>
      <c r="J1361" s="53"/>
      <c r="K1361" s="53"/>
    </row>
    <row r="1362">
      <c r="A1362" s="48" t="s">
        <v>5266</v>
      </c>
      <c r="B1362" s="49" t="s">
        <v>5268</v>
      </c>
      <c r="C1362" s="49" t="s">
        <v>257</v>
      </c>
      <c r="D1362" s="49" t="s">
        <v>153</v>
      </c>
      <c r="E1362" s="49" t="s">
        <v>245</v>
      </c>
      <c r="F1362" s="50">
        <v>42984.0</v>
      </c>
      <c r="G1362" s="50">
        <v>42984.0</v>
      </c>
      <c r="H1362" s="51">
        <v>42985.72083333333</v>
      </c>
      <c r="I1362" s="52">
        <v>1.0</v>
      </c>
      <c r="J1362" s="53"/>
      <c r="K1362" s="53"/>
    </row>
    <row r="1363">
      <c r="A1363" s="48" t="s">
        <v>5271</v>
      </c>
      <c r="B1363" s="49" t="s">
        <v>5272</v>
      </c>
      <c r="C1363" s="49" t="s">
        <v>379</v>
      </c>
      <c r="D1363" s="49" t="s">
        <v>1736</v>
      </c>
      <c r="E1363" s="49" t="s">
        <v>245</v>
      </c>
      <c r="F1363" s="50">
        <v>42983.0</v>
      </c>
      <c r="G1363" s="50">
        <v>42990.0</v>
      </c>
      <c r="H1363" s="51">
        <v>43087.46944444445</v>
      </c>
      <c r="I1363" s="52">
        <v>1.0</v>
      </c>
      <c r="J1363" s="53"/>
      <c r="K1363" s="53"/>
    </row>
    <row r="1364">
      <c r="A1364" s="48" t="s">
        <v>5275</v>
      </c>
      <c r="B1364" s="49" t="s">
        <v>5276</v>
      </c>
      <c r="C1364" s="49" t="s">
        <v>379</v>
      </c>
      <c r="D1364" s="49" t="s">
        <v>5277</v>
      </c>
      <c r="E1364" s="49" t="s">
        <v>245</v>
      </c>
      <c r="F1364" s="50">
        <v>42983.0</v>
      </c>
      <c r="G1364" s="50">
        <v>42986.0</v>
      </c>
      <c r="H1364" s="51">
        <v>42991.711805555555</v>
      </c>
      <c r="I1364" s="52">
        <v>1.0</v>
      </c>
      <c r="J1364" s="53"/>
      <c r="K1364" s="53"/>
    </row>
    <row r="1365">
      <c r="A1365" s="48" t="s">
        <v>5280</v>
      </c>
      <c r="B1365" s="49" t="s">
        <v>5281</v>
      </c>
      <c r="C1365" s="49" t="s">
        <v>257</v>
      </c>
      <c r="D1365" s="49" t="s">
        <v>153</v>
      </c>
      <c r="E1365" s="49" t="s">
        <v>245</v>
      </c>
      <c r="F1365" s="50">
        <v>42983.0</v>
      </c>
      <c r="G1365" s="50">
        <v>42983.0</v>
      </c>
      <c r="H1365" s="51">
        <v>42983.57777777778</v>
      </c>
      <c r="I1365" s="52">
        <v>1.0</v>
      </c>
      <c r="J1365" s="53"/>
      <c r="K1365" s="53"/>
    </row>
    <row r="1366">
      <c r="A1366" s="48" t="s">
        <v>5283</v>
      </c>
      <c r="B1366" s="49" t="s">
        <v>5284</v>
      </c>
      <c r="C1366" s="49" t="s">
        <v>221</v>
      </c>
      <c r="D1366" s="49" t="s">
        <v>153</v>
      </c>
      <c r="E1366" s="49" t="s">
        <v>245</v>
      </c>
      <c r="F1366" s="50">
        <v>42983.0</v>
      </c>
      <c r="G1366" s="50">
        <v>42983.0</v>
      </c>
      <c r="H1366" s="51">
        <v>42983.57777777778</v>
      </c>
      <c r="I1366" s="52">
        <v>1.0</v>
      </c>
      <c r="J1366" s="53"/>
      <c r="K1366" s="53"/>
    </row>
    <row r="1367">
      <c r="A1367" s="48" t="s">
        <v>5287</v>
      </c>
      <c r="B1367" s="49" t="s">
        <v>5288</v>
      </c>
      <c r="C1367" s="49" t="s">
        <v>257</v>
      </c>
      <c r="D1367" s="49" t="s">
        <v>140</v>
      </c>
      <c r="E1367" s="49" t="s">
        <v>245</v>
      </c>
      <c r="F1367" s="50">
        <v>42983.0</v>
      </c>
      <c r="G1367" s="50">
        <v>42983.0</v>
      </c>
      <c r="H1367" s="51">
        <v>42983.441666666666</v>
      </c>
      <c r="I1367" s="52">
        <v>1.0</v>
      </c>
      <c r="J1367" s="53"/>
      <c r="K1367" s="53"/>
    </row>
    <row r="1368">
      <c r="A1368" s="48" t="s">
        <v>5291</v>
      </c>
      <c r="B1368" s="49" t="s">
        <v>5292</v>
      </c>
      <c r="C1368" s="49" t="s">
        <v>257</v>
      </c>
      <c r="D1368" s="49" t="s">
        <v>140</v>
      </c>
      <c r="E1368" s="49" t="s">
        <v>245</v>
      </c>
      <c r="F1368" s="50">
        <v>42983.0</v>
      </c>
      <c r="G1368" s="50">
        <v>42983.0</v>
      </c>
      <c r="H1368" s="51">
        <v>42983.44236111111</v>
      </c>
      <c r="I1368" s="52">
        <v>1.0</v>
      </c>
      <c r="J1368" s="53"/>
      <c r="K1368" s="53"/>
    </row>
    <row r="1369">
      <c r="A1369" s="48" t="s">
        <v>5294</v>
      </c>
      <c r="B1369" s="49" t="s">
        <v>5296</v>
      </c>
      <c r="C1369" s="49" t="s">
        <v>452</v>
      </c>
      <c r="D1369" s="49" t="s">
        <v>140</v>
      </c>
      <c r="E1369" s="49" t="s">
        <v>245</v>
      </c>
      <c r="F1369" s="50">
        <v>42983.0</v>
      </c>
      <c r="G1369" s="50">
        <v>42983.0</v>
      </c>
      <c r="H1369" s="51">
        <v>42983.44305555556</v>
      </c>
      <c r="I1369" s="52">
        <v>1.0</v>
      </c>
      <c r="J1369" s="53"/>
      <c r="K1369" s="53"/>
    </row>
    <row r="1370">
      <c r="A1370" s="48" t="s">
        <v>5300</v>
      </c>
      <c r="B1370" s="49" t="s">
        <v>5301</v>
      </c>
      <c r="C1370" s="49" t="s">
        <v>257</v>
      </c>
      <c r="D1370" s="49" t="s">
        <v>153</v>
      </c>
      <c r="E1370" s="49" t="s">
        <v>245</v>
      </c>
      <c r="F1370" s="50">
        <v>42983.0</v>
      </c>
      <c r="G1370" s="50">
        <v>42983.0</v>
      </c>
      <c r="H1370" s="51">
        <v>42983.70416666667</v>
      </c>
      <c r="I1370" s="52">
        <v>1.0</v>
      </c>
      <c r="J1370" s="53"/>
      <c r="K1370" s="53"/>
    </row>
    <row r="1371">
      <c r="A1371" s="48" t="s">
        <v>5304</v>
      </c>
      <c r="B1371" s="49" t="s">
        <v>5306</v>
      </c>
      <c r="C1371" s="49" t="s">
        <v>221</v>
      </c>
      <c r="D1371" s="49" t="s">
        <v>153</v>
      </c>
      <c r="E1371" s="49" t="s">
        <v>245</v>
      </c>
      <c r="F1371" s="50">
        <v>42983.0</v>
      </c>
      <c r="G1371" s="50">
        <v>42983.0</v>
      </c>
      <c r="H1371" s="51">
        <v>42991.67569444444</v>
      </c>
      <c r="I1371" s="52">
        <v>1.0</v>
      </c>
      <c r="J1371" s="53"/>
      <c r="K1371" s="53"/>
    </row>
    <row r="1372">
      <c r="A1372" s="48" t="s">
        <v>5309</v>
      </c>
      <c r="B1372" s="49" t="s">
        <v>5311</v>
      </c>
      <c r="C1372" s="49" t="s">
        <v>243</v>
      </c>
      <c r="D1372" s="49" t="s">
        <v>140</v>
      </c>
      <c r="E1372" s="49" t="s">
        <v>245</v>
      </c>
      <c r="F1372" s="50">
        <v>42983.0</v>
      </c>
      <c r="G1372" s="50">
        <v>42983.0</v>
      </c>
      <c r="H1372" s="51">
        <v>42984.444444444445</v>
      </c>
      <c r="I1372" s="52">
        <v>1.0</v>
      </c>
      <c r="J1372" s="53"/>
      <c r="K1372" s="53"/>
    </row>
    <row r="1373">
      <c r="A1373" s="48" t="s">
        <v>5315</v>
      </c>
      <c r="B1373" s="49" t="s">
        <v>5317</v>
      </c>
      <c r="C1373" s="49" t="s">
        <v>238</v>
      </c>
      <c r="D1373" s="49" t="s">
        <v>148</v>
      </c>
      <c r="E1373" s="49" t="s">
        <v>245</v>
      </c>
      <c r="F1373" s="50">
        <v>42983.0</v>
      </c>
      <c r="G1373" s="50">
        <v>42983.0</v>
      </c>
      <c r="H1373" s="51">
        <v>42985.73472222222</v>
      </c>
      <c r="I1373" s="52">
        <v>1.0</v>
      </c>
      <c r="J1373" s="53"/>
      <c r="K1373" s="53"/>
    </row>
    <row r="1374">
      <c r="A1374" s="48" t="s">
        <v>5320</v>
      </c>
      <c r="B1374" s="49" t="s">
        <v>5322</v>
      </c>
      <c r="C1374" s="49" t="s">
        <v>379</v>
      </c>
      <c r="D1374" s="49" t="s">
        <v>153</v>
      </c>
      <c r="E1374" s="49" t="s">
        <v>245</v>
      </c>
      <c r="F1374" s="50">
        <v>42982.0</v>
      </c>
      <c r="G1374" s="50">
        <v>42986.0</v>
      </c>
      <c r="H1374" s="51">
        <v>43073.854166666664</v>
      </c>
      <c r="I1374" s="52">
        <v>1.0</v>
      </c>
      <c r="J1374" s="53"/>
      <c r="K1374" s="53"/>
    </row>
    <row r="1375">
      <c r="A1375" s="48" t="s">
        <v>5325</v>
      </c>
      <c r="B1375" s="49" t="s">
        <v>5326</v>
      </c>
      <c r="C1375" s="49" t="s">
        <v>379</v>
      </c>
      <c r="D1375" s="49" t="s">
        <v>140</v>
      </c>
      <c r="E1375" s="49" t="s">
        <v>245</v>
      </c>
      <c r="F1375" s="50">
        <v>42982.0</v>
      </c>
      <c r="G1375" s="50">
        <v>42986.0</v>
      </c>
      <c r="H1375" s="51">
        <v>42990.572222222225</v>
      </c>
      <c r="I1375" s="52">
        <v>1.0</v>
      </c>
      <c r="J1375" s="53"/>
      <c r="K1375" s="53"/>
    </row>
    <row r="1376">
      <c r="A1376" s="48" t="s">
        <v>5329</v>
      </c>
      <c r="B1376" s="49" t="s">
        <v>5330</v>
      </c>
      <c r="C1376" s="49" t="s">
        <v>379</v>
      </c>
      <c r="D1376" s="49" t="s">
        <v>148</v>
      </c>
      <c r="E1376" s="49" t="s">
        <v>245</v>
      </c>
      <c r="F1376" s="50">
        <v>42982.0</v>
      </c>
      <c r="G1376" s="50">
        <v>42986.0</v>
      </c>
      <c r="H1376" s="51">
        <v>43073.854166666664</v>
      </c>
      <c r="I1376" s="52">
        <v>1.0</v>
      </c>
      <c r="J1376" s="53"/>
      <c r="K1376" s="53"/>
    </row>
    <row r="1377">
      <c r="A1377" s="48" t="s">
        <v>5333</v>
      </c>
      <c r="B1377" s="49" t="s">
        <v>5336</v>
      </c>
      <c r="C1377" s="49" t="s">
        <v>379</v>
      </c>
      <c r="D1377" s="49" t="s">
        <v>140</v>
      </c>
      <c r="E1377" s="49" t="s">
        <v>245</v>
      </c>
      <c r="F1377" s="50">
        <v>42982.0</v>
      </c>
      <c r="G1377" s="50">
        <v>42986.0</v>
      </c>
      <c r="H1377" s="51">
        <v>43020.47152777778</v>
      </c>
      <c r="I1377" s="52">
        <v>1.0</v>
      </c>
      <c r="J1377" s="53"/>
      <c r="K1377" s="53"/>
    </row>
    <row r="1378">
      <c r="A1378" s="48" t="s">
        <v>5339</v>
      </c>
      <c r="B1378" s="49" t="s">
        <v>5340</v>
      </c>
      <c r="C1378" s="49" t="s">
        <v>243</v>
      </c>
      <c r="D1378" s="49" t="s">
        <v>148</v>
      </c>
      <c r="E1378" s="49" t="s">
        <v>245</v>
      </c>
      <c r="F1378" s="50">
        <v>42982.0</v>
      </c>
      <c r="G1378" s="50">
        <v>42986.0</v>
      </c>
      <c r="H1378" s="51">
        <v>42990.50486111111</v>
      </c>
      <c r="I1378" s="52">
        <v>1.0</v>
      </c>
      <c r="J1378" s="53"/>
      <c r="K1378" s="53"/>
    </row>
    <row r="1379">
      <c r="A1379" s="48" t="s">
        <v>5344</v>
      </c>
      <c r="B1379" s="49" t="s">
        <v>5345</v>
      </c>
      <c r="C1379" s="49" t="s">
        <v>379</v>
      </c>
      <c r="D1379" s="49" t="s">
        <v>140</v>
      </c>
      <c r="E1379" s="49" t="s">
        <v>245</v>
      </c>
      <c r="F1379" s="50">
        <v>42982.0</v>
      </c>
      <c r="G1379" s="50">
        <v>42986.0</v>
      </c>
      <c r="H1379" s="51">
        <v>42990.572222222225</v>
      </c>
      <c r="I1379" s="52">
        <v>1.0</v>
      </c>
      <c r="J1379" s="53"/>
      <c r="K1379" s="53"/>
    </row>
    <row r="1380">
      <c r="A1380" s="48" t="s">
        <v>5347</v>
      </c>
      <c r="B1380" s="49" t="s">
        <v>5349</v>
      </c>
      <c r="C1380" s="49" t="s">
        <v>243</v>
      </c>
      <c r="D1380" s="49" t="s">
        <v>140</v>
      </c>
      <c r="E1380" s="49" t="s">
        <v>245</v>
      </c>
      <c r="F1380" s="50">
        <v>42982.0</v>
      </c>
      <c r="G1380" s="50">
        <v>42982.0</v>
      </c>
      <c r="H1380" s="51">
        <v>43081.61041666667</v>
      </c>
      <c r="I1380" s="52">
        <v>1.0</v>
      </c>
      <c r="J1380" s="53"/>
      <c r="K1380" s="53"/>
    </row>
    <row r="1381">
      <c r="A1381" s="48" t="s">
        <v>5353</v>
      </c>
      <c r="B1381" s="49" t="s">
        <v>5355</v>
      </c>
      <c r="C1381" s="49" t="s">
        <v>243</v>
      </c>
      <c r="D1381" s="49" t="s">
        <v>148</v>
      </c>
      <c r="E1381" s="49" t="s">
        <v>245</v>
      </c>
      <c r="F1381" s="50">
        <v>42982.0</v>
      </c>
      <c r="G1381" s="50">
        <v>42982.0</v>
      </c>
      <c r="H1381" s="51">
        <v>42982.61597222222</v>
      </c>
      <c r="I1381" s="52">
        <v>1.0</v>
      </c>
      <c r="J1381" s="53"/>
      <c r="K1381" s="53"/>
    </row>
    <row r="1382">
      <c r="A1382" s="48" t="s">
        <v>5358</v>
      </c>
      <c r="B1382" s="49" t="s">
        <v>5360</v>
      </c>
      <c r="C1382" s="49" t="s">
        <v>243</v>
      </c>
      <c r="D1382" s="49" t="s">
        <v>148</v>
      </c>
      <c r="E1382" s="49" t="s">
        <v>245</v>
      </c>
      <c r="F1382" s="50">
        <v>42982.0</v>
      </c>
      <c r="G1382" s="50">
        <v>42982.0</v>
      </c>
      <c r="H1382" s="51">
        <v>42983.45625</v>
      </c>
      <c r="I1382" s="52">
        <v>1.0</v>
      </c>
      <c r="J1382" s="53"/>
      <c r="K1382" s="53"/>
    </row>
    <row r="1383">
      <c r="A1383" s="48" t="s">
        <v>5362</v>
      </c>
      <c r="B1383" s="49" t="s">
        <v>5364</v>
      </c>
      <c r="C1383" s="49" t="s">
        <v>257</v>
      </c>
      <c r="D1383" s="49" t="s">
        <v>140</v>
      </c>
      <c r="E1383" s="49" t="s">
        <v>245</v>
      </c>
      <c r="F1383" s="50">
        <v>42982.0</v>
      </c>
      <c r="G1383" s="50">
        <v>42982.0</v>
      </c>
      <c r="H1383" s="51">
        <v>42982.645833333336</v>
      </c>
      <c r="I1383" s="52">
        <v>1.0</v>
      </c>
      <c r="J1383" s="53"/>
      <c r="K1383" s="53"/>
    </row>
    <row r="1384">
      <c r="A1384" s="48" t="s">
        <v>5366</v>
      </c>
      <c r="B1384" s="49" t="s">
        <v>5368</v>
      </c>
      <c r="C1384" s="49" t="s">
        <v>257</v>
      </c>
      <c r="D1384" s="49" t="s">
        <v>140</v>
      </c>
      <c r="E1384" s="49" t="s">
        <v>245</v>
      </c>
      <c r="F1384" s="50">
        <v>42982.0</v>
      </c>
      <c r="G1384" s="50">
        <v>42982.0</v>
      </c>
      <c r="H1384" s="51">
        <v>42982.645833333336</v>
      </c>
      <c r="I1384" s="52">
        <v>1.0</v>
      </c>
      <c r="J1384" s="53"/>
      <c r="K1384" s="53"/>
    </row>
    <row r="1385">
      <c r="A1385" s="48" t="s">
        <v>5370</v>
      </c>
      <c r="B1385" s="49" t="s">
        <v>5372</v>
      </c>
      <c r="C1385" s="49" t="s">
        <v>257</v>
      </c>
      <c r="D1385" s="49" t="s">
        <v>140</v>
      </c>
      <c r="E1385" s="49" t="s">
        <v>245</v>
      </c>
      <c r="F1385" s="50">
        <v>42982.0</v>
      </c>
      <c r="G1385" s="50">
        <v>42982.0</v>
      </c>
      <c r="H1385" s="51">
        <v>42982.80138888889</v>
      </c>
      <c r="I1385" s="52">
        <v>1.0</v>
      </c>
      <c r="J1385" s="53"/>
      <c r="K1385" s="53"/>
    </row>
    <row r="1386">
      <c r="A1386" s="48" t="s">
        <v>5374</v>
      </c>
      <c r="B1386" s="49" t="s">
        <v>5375</v>
      </c>
      <c r="C1386" s="49" t="s">
        <v>243</v>
      </c>
      <c r="D1386" s="49" t="s">
        <v>148</v>
      </c>
      <c r="E1386" s="49" t="s">
        <v>245</v>
      </c>
      <c r="F1386" s="50">
        <v>42982.0</v>
      </c>
      <c r="G1386" s="50">
        <v>42982.0</v>
      </c>
      <c r="H1386" s="51">
        <v>42982.64722222222</v>
      </c>
      <c r="I1386" s="52">
        <v>1.0</v>
      </c>
      <c r="J1386" s="53"/>
      <c r="K1386" s="53"/>
    </row>
    <row r="1387">
      <c r="A1387" s="48" t="s">
        <v>5378</v>
      </c>
      <c r="B1387" s="49" t="s">
        <v>5379</v>
      </c>
      <c r="C1387" s="49" t="s">
        <v>243</v>
      </c>
      <c r="D1387" s="49" t="s">
        <v>148</v>
      </c>
      <c r="E1387" s="49" t="s">
        <v>245</v>
      </c>
      <c r="F1387" s="50">
        <v>42982.0</v>
      </c>
      <c r="G1387" s="50">
        <v>42982.0</v>
      </c>
      <c r="H1387" s="51">
        <v>42982.64861111111</v>
      </c>
      <c r="I1387" s="52">
        <v>1.0</v>
      </c>
      <c r="J1387" s="53"/>
      <c r="K1387" s="53"/>
    </row>
    <row r="1388">
      <c r="A1388" s="48" t="s">
        <v>5382</v>
      </c>
      <c r="B1388" s="49" t="s">
        <v>5383</v>
      </c>
      <c r="C1388" s="49" t="s">
        <v>257</v>
      </c>
      <c r="D1388" s="49" t="s">
        <v>140</v>
      </c>
      <c r="E1388" s="49" t="s">
        <v>245</v>
      </c>
      <c r="F1388" s="50">
        <v>42982.0</v>
      </c>
      <c r="G1388" s="50">
        <v>42982.0</v>
      </c>
      <c r="H1388" s="51">
        <v>42983.41388888889</v>
      </c>
      <c r="I1388" s="52">
        <v>1.0</v>
      </c>
      <c r="J1388" s="53"/>
      <c r="K1388" s="53"/>
    </row>
    <row r="1389">
      <c r="A1389" s="48" t="s">
        <v>5386</v>
      </c>
      <c r="B1389" s="49" t="s">
        <v>5387</v>
      </c>
      <c r="C1389" s="49" t="s">
        <v>257</v>
      </c>
      <c r="D1389" s="49" t="s">
        <v>140</v>
      </c>
      <c r="E1389" s="49" t="s">
        <v>245</v>
      </c>
      <c r="F1389" s="50">
        <v>42982.0</v>
      </c>
      <c r="G1389" s="50">
        <v>42982.0</v>
      </c>
      <c r="H1389" s="51">
        <v>42983.41388888889</v>
      </c>
      <c r="I1389" s="52">
        <v>1.0</v>
      </c>
      <c r="J1389" s="53"/>
      <c r="K1389" s="53"/>
    </row>
    <row r="1390">
      <c r="A1390" s="48" t="s">
        <v>5392</v>
      </c>
      <c r="B1390" s="49" t="s">
        <v>5393</v>
      </c>
      <c r="C1390" s="49" t="s">
        <v>257</v>
      </c>
      <c r="D1390" s="49" t="s">
        <v>153</v>
      </c>
      <c r="E1390" s="49" t="s">
        <v>245</v>
      </c>
      <c r="F1390" s="50">
        <v>42982.0</v>
      </c>
      <c r="G1390" s="50">
        <v>42982.0</v>
      </c>
      <c r="H1390" s="51">
        <v>42983.42013888889</v>
      </c>
      <c r="I1390" s="52">
        <v>1.0</v>
      </c>
      <c r="J1390" s="53"/>
      <c r="K1390" s="53"/>
    </row>
    <row r="1391">
      <c r="A1391" s="48" t="s">
        <v>5397</v>
      </c>
      <c r="B1391" s="49" t="s">
        <v>5398</v>
      </c>
      <c r="C1391" s="49" t="s">
        <v>221</v>
      </c>
      <c r="D1391" s="49" t="s">
        <v>153</v>
      </c>
      <c r="E1391" s="49" t="s">
        <v>245</v>
      </c>
      <c r="F1391" s="50">
        <v>42982.0</v>
      </c>
      <c r="G1391" s="50">
        <v>42982.0</v>
      </c>
      <c r="H1391" s="51">
        <v>42983.42083333333</v>
      </c>
      <c r="I1391" s="52">
        <v>1.0</v>
      </c>
      <c r="J1391" s="53"/>
      <c r="K1391" s="53"/>
    </row>
    <row r="1392">
      <c r="A1392" s="48" t="s">
        <v>5401</v>
      </c>
      <c r="B1392" s="49" t="s">
        <v>5403</v>
      </c>
      <c r="C1392" s="49" t="s">
        <v>257</v>
      </c>
      <c r="D1392" s="49" t="s">
        <v>153</v>
      </c>
      <c r="E1392" s="49" t="s">
        <v>245</v>
      </c>
      <c r="F1392" s="50">
        <v>42982.0</v>
      </c>
      <c r="G1392" s="50">
        <v>42982.0</v>
      </c>
      <c r="H1392" s="51">
        <v>42983.42152777778</v>
      </c>
      <c r="I1392" s="52">
        <v>1.0</v>
      </c>
      <c r="J1392" s="53"/>
      <c r="K1392" s="53"/>
    </row>
    <row r="1393">
      <c r="A1393" s="48" t="s">
        <v>5406</v>
      </c>
      <c r="B1393" s="49" t="s">
        <v>5407</v>
      </c>
      <c r="C1393" s="49" t="s">
        <v>221</v>
      </c>
      <c r="D1393" s="49" t="s">
        <v>153</v>
      </c>
      <c r="E1393" s="49" t="s">
        <v>245</v>
      </c>
      <c r="F1393" s="50">
        <v>42982.0</v>
      </c>
      <c r="G1393" s="50">
        <v>42982.0</v>
      </c>
      <c r="H1393" s="51">
        <v>42983.42222222222</v>
      </c>
      <c r="I1393" s="52">
        <v>1.0</v>
      </c>
      <c r="J1393" s="53"/>
      <c r="K1393" s="53"/>
    </row>
    <row r="1394">
      <c r="A1394" s="48" t="s">
        <v>5410</v>
      </c>
      <c r="B1394" s="49" t="s">
        <v>5411</v>
      </c>
      <c r="C1394" s="49" t="s">
        <v>238</v>
      </c>
      <c r="D1394" s="49" t="s">
        <v>148</v>
      </c>
      <c r="E1394" s="49" t="s">
        <v>245</v>
      </c>
      <c r="F1394" s="50">
        <v>42979.0</v>
      </c>
      <c r="G1394" s="50">
        <v>42979.0</v>
      </c>
      <c r="H1394" s="51">
        <v>42982.436111111114</v>
      </c>
      <c r="I1394" s="52">
        <v>1.0</v>
      </c>
      <c r="J1394" s="53"/>
      <c r="K1394" s="53"/>
    </row>
    <row r="1395">
      <c r="A1395" s="48" t="s">
        <v>5414</v>
      </c>
      <c r="B1395" s="49" t="s">
        <v>5415</v>
      </c>
      <c r="C1395" s="49" t="s">
        <v>238</v>
      </c>
      <c r="D1395" s="49" t="s">
        <v>148</v>
      </c>
      <c r="E1395" s="49" t="s">
        <v>245</v>
      </c>
      <c r="F1395" s="50">
        <v>42978.0</v>
      </c>
      <c r="G1395" s="50">
        <v>42979.0</v>
      </c>
      <c r="H1395" s="51">
        <v>42982.436111111114</v>
      </c>
      <c r="I1395" s="52">
        <v>1.0</v>
      </c>
      <c r="J1395" s="53"/>
      <c r="K1395" s="53"/>
    </row>
    <row r="1396">
      <c r="A1396" s="48" t="s">
        <v>5417</v>
      </c>
      <c r="B1396" s="49" t="s">
        <v>5418</v>
      </c>
      <c r="C1396" s="49" t="s">
        <v>203</v>
      </c>
      <c r="D1396" s="49" t="s">
        <v>148</v>
      </c>
      <c r="E1396" s="49" t="s">
        <v>245</v>
      </c>
      <c r="F1396" s="50">
        <v>42978.0</v>
      </c>
      <c r="G1396" s="50">
        <v>42979.0</v>
      </c>
      <c r="H1396" s="51">
        <v>42982.436111111114</v>
      </c>
      <c r="I1396" s="52">
        <v>1.0</v>
      </c>
      <c r="J1396" s="53"/>
      <c r="K1396" s="53"/>
    </row>
    <row r="1397">
      <c r="A1397" s="48" t="s">
        <v>5420</v>
      </c>
      <c r="B1397" s="49" t="s">
        <v>5422</v>
      </c>
      <c r="C1397" s="49" t="s">
        <v>221</v>
      </c>
      <c r="D1397" s="49" t="s">
        <v>153</v>
      </c>
      <c r="E1397" s="49" t="s">
        <v>245</v>
      </c>
      <c r="F1397" s="50">
        <v>42978.0</v>
      </c>
      <c r="G1397" s="50">
        <v>42978.0</v>
      </c>
      <c r="H1397" s="51">
        <v>42978.57708333333</v>
      </c>
      <c r="I1397" s="52">
        <v>1.0</v>
      </c>
      <c r="J1397" s="53"/>
      <c r="K1397" s="53"/>
    </row>
    <row r="1398">
      <c r="A1398" s="48" t="s">
        <v>5424</v>
      </c>
      <c r="B1398" s="49" t="s">
        <v>5425</v>
      </c>
      <c r="C1398" s="49" t="s">
        <v>221</v>
      </c>
      <c r="D1398" s="49" t="s">
        <v>153</v>
      </c>
      <c r="E1398" s="49" t="s">
        <v>245</v>
      </c>
      <c r="F1398" s="50">
        <v>42978.0</v>
      </c>
      <c r="G1398" s="50">
        <v>42978.0</v>
      </c>
      <c r="H1398" s="51">
        <v>42978.728472222225</v>
      </c>
      <c r="I1398" s="52">
        <v>1.0</v>
      </c>
      <c r="J1398" s="53"/>
      <c r="K1398" s="53"/>
    </row>
    <row r="1399">
      <c r="A1399" s="48" t="s">
        <v>5427</v>
      </c>
      <c r="B1399" s="49" t="s">
        <v>5429</v>
      </c>
      <c r="C1399" s="49" t="s">
        <v>257</v>
      </c>
      <c r="D1399" s="49" t="s">
        <v>153</v>
      </c>
      <c r="E1399" s="49" t="s">
        <v>245</v>
      </c>
      <c r="F1399" s="50">
        <v>42977.0</v>
      </c>
      <c r="G1399" s="50">
        <v>42977.0</v>
      </c>
      <c r="H1399" s="51">
        <v>42982.652083333334</v>
      </c>
      <c r="I1399" s="52">
        <v>1.0</v>
      </c>
      <c r="J1399" s="53"/>
      <c r="K1399" s="53"/>
    </row>
    <row r="1400">
      <c r="A1400" s="48" t="s">
        <v>5431</v>
      </c>
      <c r="B1400" s="49" t="s">
        <v>5432</v>
      </c>
      <c r="C1400" s="49" t="s">
        <v>257</v>
      </c>
      <c r="D1400" s="49" t="s">
        <v>153</v>
      </c>
      <c r="E1400" s="49" t="s">
        <v>245</v>
      </c>
      <c r="F1400" s="50">
        <v>42977.0</v>
      </c>
      <c r="G1400" s="50">
        <v>42977.0</v>
      </c>
      <c r="H1400" s="51">
        <v>42978.71597222222</v>
      </c>
      <c r="I1400" s="52">
        <v>1.0</v>
      </c>
      <c r="J1400" s="53"/>
      <c r="K1400" s="53"/>
    </row>
    <row r="1401">
      <c r="A1401" s="48" t="s">
        <v>5435</v>
      </c>
      <c r="B1401" s="49" t="s">
        <v>5436</v>
      </c>
      <c r="C1401" s="49" t="s">
        <v>257</v>
      </c>
      <c r="D1401" s="49" t="s">
        <v>140</v>
      </c>
      <c r="E1401" s="49" t="s">
        <v>245</v>
      </c>
      <c r="F1401" s="50">
        <v>42977.0</v>
      </c>
      <c r="G1401" s="50">
        <v>42977.0</v>
      </c>
      <c r="H1401" s="51">
        <v>42977.444444444445</v>
      </c>
      <c r="I1401" s="52">
        <v>1.0</v>
      </c>
      <c r="J1401" s="53"/>
      <c r="K1401" s="53"/>
    </row>
    <row r="1402">
      <c r="A1402" s="48" t="s">
        <v>5439</v>
      </c>
      <c r="B1402" s="49" t="s">
        <v>5440</v>
      </c>
      <c r="C1402" s="49" t="s">
        <v>257</v>
      </c>
      <c r="D1402" s="49" t="s">
        <v>153</v>
      </c>
      <c r="E1402" s="49" t="s">
        <v>245</v>
      </c>
      <c r="F1402" s="50">
        <v>42977.0</v>
      </c>
      <c r="G1402" s="50">
        <v>42977.0</v>
      </c>
      <c r="H1402" s="51">
        <v>42977.45138888889</v>
      </c>
      <c r="I1402" s="52">
        <v>1.0</v>
      </c>
      <c r="J1402" s="53"/>
      <c r="K1402" s="53"/>
    </row>
    <row r="1403">
      <c r="A1403" s="48" t="s">
        <v>5443</v>
      </c>
      <c r="B1403" s="49" t="s">
        <v>5444</v>
      </c>
      <c r="C1403" s="49" t="s">
        <v>221</v>
      </c>
      <c r="D1403" s="49" t="s">
        <v>153</v>
      </c>
      <c r="E1403" s="49" t="s">
        <v>245</v>
      </c>
      <c r="F1403" s="50">
        <v>42977.0</v>
      </c>
      <c r="G1403" s="50">
        <v>42977.0</v>
      </c>
      <c r="H1403" s="51">
        <v>42977.5</v>
      </c>
      <c r="I1403" s="52">
        <v>1.0</v>
      </c>
      <c r="J1403" s="53"/>
      <c r="K1403" s="53"/>
    </row>
    <row r="1404">
      <c r="A1404" s="48" t="s">
        <v>5447</v>
      </c>
      <c r="B1404" s="49" t="s">
        <v>5448</v>
      </c>
      <c r="C1404" s="49" t="s">
        <v>238</v>
      </c>
      <c r="D1404" s="49" t="s">
        <v>148</v>
      </c>
      <c r="E1404" s="49" t="s">
        <v>245</v>
      </c>
      <c r="F1404" s="50">
        <v>42977.0</v>
      </c>
      <c r="G1404" s="50">
        <v>42977.0</v>
      </c>
      <c r="H1404" s="51">
        <v>42991.67638888889</v>
      </c>
      <c r="I1404" s="52">
        <v>1.0</v>
      </c>
      <c r="J1404" s="53"/>
      <c r="K1404" s="53"/>
    </row>
    <row r="1405">
      <c r="A1405" s="48" t="s">
        <v>5450</v>
      </c>
      <c r="B1405" s="49" t="s">
        <v>5451</v>
      </c>
      <c r="C1405" s="49" t="s">
        <v>243</v>
      </c>
      <c r="D1405" s="49" t="s">
        <v>148</v>
      </c>
      <c r="E1405" s="49" t="s">
        <v>245</v>
      </c>
      <c r="F1405" s="50">
        <v>42976.0</v>
      </c>
      <c r="G1405" s="50">
        <v>42979.0</v>
      </c>
      <c r="H1405" s="51">
        <v>42976.73472222222</v>
      </c>
      <c r="I1405" s="52">
        <v>1.0</v>
      </c>
      <c r="J1405" s="53"/>
      <c r="K1405" s="53"/>
    </row>
    <row r="1406">
      <c r="A1406" s="48" t="s">
        <v>5454</v>
      </c>
      <c r="B1406" s="49" t="s">
        <v>5455</v>
      </c>
      <c r="C1406" s="49" t="s">
        <v>257</v>
      </c>
      <c r="D1406" s="49" t="s">
        <v>140</v>
      </c>
      <c r="E1406" s="49" t="s">
        <v>245</v>
      </c>
      <c r="F1406" s="50">
        <v>42976.0</v>
      </c>
      <c r="G1406" s="50">
        <v>42977.0</v>
      </c>
      <c r="H1406" s="51">
        <v>42979.41180555556</v>
      </c>
      <c r="I1406" s="52">
        <v>1.0</v>
      </c>
      <c r="J1406" s="53"/>
      <c r="K1406" s="53"/>
    </row>
    <row r="1407">
      <c r="A1407" s="48" t="s">
        <v>5459</v>
      </c>
      <c r="B1407" s="49" t="s">
        <v>5460</v>
      </c>
      <c r="C1407" s="49" t="s">
        <v>221</v>
      </c>
      <c r="D1407" s="49" t="s">
        <v>153</v>
      </c>
      <c r="E1407" s="49" t="s">
        <v>245</v>
      </c>
      <c r="F1407" s="50">
        <v>42976.0</v>
      </c>
      <c r="G1407" s="50">
        <v>42976.0</v>
      </c>
      <c r="H1407" s="51">
        <v>42982.652083333334</v>
      </c>
      <c r="I1407" s="52">
        <v>1.0</v>
      </c>
      <c r="J1407" s="53"/>
      <c r="K1407" s="53"/>
    </row>
    <row r="1408">
      <c r="A1408" s="48" t="s">
        <v>5462</v>
      </c>
      <c r="B1408" s="49" t="s">
        <v>5464</v>
      </c>
      <c r="C1408" s="49" t="s">
        <v>238</v>
      </c>
      <c r="D1408" s="49" t="s">
        <v>148</v>
      </c>
      <c r="E1408" s="49" t="s">
        <v>245</v>
      </c>
      <c r="F1408" s="50">
        <v>42976.0</v>
      </c>
      <c r="G1408" s="50">
        <v>42976.0</v>
      </c>
      <c r="H1408" s="51">
        <v>42979.43402777778</v>
      </c>
      <c r="I1408" s="52">
        <v>1.0</v>
      </c>
      <c r="J1408" s="53"/>
      <c r="K1408" s="53"/>
    </row>
    <row r="1409">
      <c r="A1409" s="48" t="s">
        <v>5466</v>
      </c>
      <c r="B1409" s="49" t="s">
        <v>5467</v>
      </c>
      <c r="C1409" s="49" t="s">
        <v>257</v>
      </c>
      <c r="D1409" s="49" t="s">
        <v>140</v>
      </c>
      <c r="E1409" s="49" t="s">
        <v>245</v>
      </c>
      <c r="F1409" s="50">
        <v>42976.0</v>
      </c>
      <c r="G1409" s="50">
        <v>42976.0</v>
      </c>
      <c r="H1409" s="51">
        <v>42976.603472222225</v>
      </c>
      <c r="I1409" s="52">
        <v>1.0</v>
      </c>
      <c r="J1409" s="53"/>
      <c r="K1409" s="53"/>
    </row>
    <row r="1410">
      <c r="A1410" s="48" t="s">
        <v>5470</v>
      </c>
      <c r="B1410" s="49" t="s">
        <v>5472</v>
      </c>
      <c r="C1410" s="49" t="s">
        <v>243</v>
      </c>
      <c r="D1410" s="49" t="s">
        <v>148</v>
      </c>
      <c r="E1410" s="49" t="s">
        <v>245</v>
      </c>
      <c r="F1410" s="50">
        <v>42976.0</v>
      </c>
      <c r="G1410" s="50">
        <v>42976.0</v>
      </c>
      <c r="H1410" s="51">
        <v>42976.597916666666</v>
      </c>
      <c r="I1410" s="52">
        <v>1.0</v>
      </c>
      <c r="J1410" s="53"/>
      <c r="K1410" s="53"/>
    </row>
    <row r="1411">
      <c r="A1411" s="48" t="s">
        <v>5474</v>
      </c>
      <c r="B1411" s="49" t="s">
        <v>5475</v>
      </c>
      <c r="C1411" s="49" t="s">
        <v>243</v>
      </c>
      <c r="D1411" s="49" t="s">
        <v>148</v>
      </c>
      <c r="E1411" s="49" t="s">
        <v>245</v>
      </c>
      <c r="F1411" s="50">
        <v>42976.0</v>
      </c>
      <c r="G1411" s="50">
        <v>42976.0</v>
      </c>
      <c r="H1411" s="51">
        <v>42976.597916666666</v>
      </c>
      <c r="I1411" s="52">
        <v>1.0</v>
      </c>
      <c r="J1411" s="53"/>
      <c r="K1411" s="53"/>
    </row>
    <row r="1412">
      <c r="A1412" s="48" t="s">
        <v>5479</v>
      </c>
      <c r="B1412" s="49" t="s">
        <v>5480</v>
      </c>
      <c r="C1412" s="49" t="s">
        <v>243</v>
      </c>
      <c r="D1412" s="49" t="s">
        <v>148</v>
      </c>
      <c r="E1412" s="49" t="s">
        <v>245</v>
      </c>
      <c r="F1412" s="50">
        <v>42976.0</v>
      </c>
      <c r="G1412" s="50">
        <v>42976.0</v>
      </c>
      <c r="H1412" s="51">
        <v>42976.60972222222</v>
      </c>
      <c r="I1412" s="52">
        <v>1.0</v>
      </c>
      <c r="J1412" s="53"/>
      <c r="K1412" s="53"/>
    </row>
    <row r="1413">
      <c r="A1413" s="48" t="s">
        <v>5484</v>
      </c>
      <c r="B1413" s="49" t="s">
        <v>5485</v>
      </c>
      <c r="C1413" s="49" t="s">
        <v>257</v>
      </c>
      <c r="D1413" s="49" t="s">
        <v>153</v>
      </c>
      <c r="E1413" s="49" t="s">
        <v>245</v>
      </c>
      <c r="F1413" s="50">
        <v>42976.0</v>
      </c>
      <c r="G1413" s="50">
        <v>42976.0</v>
      </c>
      <c r="H1413" s="51">
        <v>42982.652083333334</v>
      </c>
      <c r="I1413" s="52">
        <v>1.0</v>
      </c>
      <c r="J1413" s="53"/>
      <c r="K1413" s="53"/>
    </row>
    <row r="1414">
      <c r="A1414" s="48" t="s">
        <v>5489</v>
      </c>
      <c r="B1414" s="49" t="s">
        <v>5490</v>
      </c>
      <c r="C1414" s="49" t="s">
        <v>221</v>
      </c>
      <c r="D1414" s="49" t="s">
        <v>153</v>
      </c>
      <c r="E1414" s="49" t="s">
        <v>245</v>
      </c>
      <c r="F1414" s="50">
        <v>42976.0</v>
      </c>
      <c r="G1414" s="50">
        <v>42976.0</v>
      </c>
      <c r="H1414" s="51">
        <v>42982.652083333334</v>
      </c>
      <c r="I1414" s="52">
        <v>1.0</v>
      </c>
      <c r="J1414" s="53"/>
      <c r="K1414" s="53"/>
    </row>
    <row r="1415">
      <c r="A1415" s="48" t="s">
        <v>5494</v>
      </c>
      <c r="B1415" s="49" t="s">
        <v>5495</v>
      </c>
      <c r="C1415" s="49" t="s">
        <v>221</v>
      </c>
      <c r="D1415" s="49" t="s">
        <v>153</v>
      </c>
      <c r="E1415" s="49" t="s">
        <v>245</v>
      </c>
      <c r="F1415" s="50">
        <v>42976.0</v>
      </c>
      <c r="G1415" s="50">
        <v>42976.0</v>
      </c>
      <c r="H1415" s="51">
        <v>42982.652083333334</v>
      </c>
      <c r="I1415" s="52">
        <v>1.0</v>
      </c>
      <c r="J1415" s="53"/>
      <c r="K1415" s="53"/>
    </row>
    <row r="1416">
      <c r="A1416" s="48" t="s">
        <v>5500</v>
      </c>
      <c r="B1416" s="49" t="s">
        <v>5501</v>
      </c>
      <c r="C1416" s="49" t="s">
        <v>257</v>
      </c>
      <c r="D1416" s="49" t="s">
        <v>153</v>
      </c>
      <c r="E1416" s="49" t="s">
        <v>245</v>
      </c>
      <c r="F1416" s="50">
        <v>42976.0</v>
      </c>
      <c r="G1416" s="50">
        <v>42976.0</v>
      </c>
      <c r="H1416" s="51">
        <v>42982.652083333334</v>
      </c>
      <c r="I1416" s="52">
        <v>1.0</v>
      </c>
      <c r="J1416" s="53"/>
      <c r="K1416" s="53"/>
    </row>
    <row r="1417">
      <c r="A1417" s="48" t="s">
        <v>5507</v>
      </c>
      <c r="B1417" s="49" t="s">
        <v>5508</v>
      </c>
      <c r="C1417" s="49" t="s">
        <v>257</v>
      </c>
      <c r="D1417" s="49" t="s">
        <v>140</v>
      </c>
      <c r="E1417" s="49" t="s">
        <v>245</v>
      </c>
      <c r="F1417" s="50">
        <v>42976.0</v>
      </c>
      <c r="G1417" s="50">
        <v>42976.0</v>
      </c>
      <c r="H1417" s="51">
        <v>42976.74236111111</v>
      </c>
      <c r="I1417" s="52">
        <v>1.0</v>
      </c>
      <c r="J1417" s="53"/>
      <c r="K1417" s="53"/>
    </row>
    <row r="1418">
      <c r="A1418" s="48" t="s">
        <v>5509</v>
      </c>
      <c r="B1418" s="49" t="s">
        <v>5510</v>
      </c>
      <c r="C1418" s="49" t="s">
        <v>257</v>
      </c>
      <c r="D1418" s="49" t="s">
        <v>140</v>
      </c>
      <c r="E1418" s="49" t="s">
        <v>245</v>
      </c>
      <c r="F1418" s="50">
        <v>42976.0</v>
      </c>
      <c r="G1418" s="50">
        <v>42976.0</v>
      </c>
      <c r="H1418" s="51">
        <v>42979.41180555556</v>
      </c>
      <c r="I1418" s="52">
        <v>1.0</v>
      </c>
      <c r="J1418" s="53"/>
      <c r="K1418" s="53"/>
    </row>
    <row r="1419">
      <c r="A1419" s="48" t="s">
        <v>5513</v>
      </c>
      <c r="B1419" s="49" t="s">
        <v>5514</v>
      </c>
      <c r="C1419" s="49" t="s">
        <v>257</v>
      </c>
      <c r="D1419" s="49" t="s">
        <v>153</v>
      </c>
      <c r="E1419" s="49" t="s">
        <v>245</v>
      </c>
      <c r="F1419" s="50">
        <v>42976.0</v>
      </c>
      <c r="G1419" s="50">
        <v>42976.0</v>
      </c>
      <c r="H1419" s="51">
        <v>42976.802083333336</v>
      </c>
      <c r="I1419" s="52">
        <v>1.0</v>
      </c>
      <c r="J1419" s="53"/>
      <c r="K1419" s="53"/>
    </row>
    <row r="1420">
      <c r="A1420" s="48" t="s">
        <v>5518</v>
      </c>
      <c r="B1420" s="49" t="s">
        <v>5519</v>
      </c>
      <c r="C1420" s="49" t="s">
        <v>221</v>
      </c>
      <c r="D1420" s="49" t="s">
        <v>153</v>
      </c>
      <c r="E1420" s="49" t="s">
        <v>245</v>
      </c>
      <c r="F1420" s="50">
        <v>42976.0</v>
      </c>
      <c r="G1420" s="50">
        <v>42976.0</v>
      </c>
      <c r="H1420" s="51">
        <v>42976.802777777775</v>
      </c>
      <c r="I1420" s="52">
        <v>1.0</v>
      </c>
      <c r="J1420" s="53"/>
      <c r="K1420" s="53"/>
    </row>
    <row r="1421">
      <c r="A1421" s="48" t="s">
        <v>5523</v>
      </c>
      <c r="B1421" s="49" t="s">
        <v>5525</v>
      </c>
      <c r="C1421" s="49" t="s">
        <v>221</v>
      </c>
      <c r="D1421" s="49" t="s">
        <v>153</v>
      </c>
      <c r="E1421" s="49" t="s">
        <v>245</v>
      </c>
      <c r="F1421" s="50">
        <v>42976.0</v>
      </c>
      <c r="G1421" s="50">
        <v>42976.0</v>
      </c>
      <c r="H1421" s="51">
        <v>42976.80347222222</v>
      </c>
      <c r="I1421" s="52">
        <v>1.0</v>
      </c>
      <c r="J1421" s="53"/>
      <c r="K1421" s="53"/>
    </row>
    <row r="1422">
      <c r="A1422" s="48" t="s">
        <v>5527</v>
      </c>
      <c r="B1422" s="49" t="s">
        <v>5528</v>
      </c>
      <c r="C1422" s="49" t="s">
        <v>203</v>
      </c>
      <c r="D1422" s="49" t="s">
        <v>4673</v>
      </c>
      <c r="E1422" s="49" t="s">
        <v>245</v>
      </c>
      <c r="F1422" s="50">
        <v>42975.0</v>
      </c>
      <c r="G1422" s="50">
        <v>42979.0</v>
      </c>
      <c r="H1422" s="51">
        <v>42992.459027777775</v>
      </c>
      <c r="I1422" s="52">
        <v>1.0</v>
      </c>
      <c r="J1422" s="53"/>
      <c r="K1422" s="53"/>
    </row>
    <row r="1423">
      <c r="A1423" s="48" t="s">
        <v>5530</v>
      </c>
      <c r="B1423" s="49" t="s">
        <v>5531</v>
      </c>
      <c r="C1423" s="49" t="s">
        <v>238</v>
      </c>
      <c r="D1423" s="49" t="s">
        <v>148</v>
      </c>
      <c r="E1423" s="49" t="s">
        <v>245</v>
      </c>
      <c r="F1423" s="50">
        <v>42975.0</v>
      </c>
      <c r="G1423" s="50">
        <v>42979.0</v>
      </c>
      <c r="H1423" s="51">
        <v>42991.402083333334</v>
      </c>
      <c r="I1423" s="52">
        <v>1.0</v>
      </c>
      <c r="J1423" s="53"/>
      <c r="K1423" s="53"/>
    </row>
    <row r="1424">
      <c r="A1424" s="48" t="s">
        <v>5534</v>
      </c>
      <c r="B1424" s="49" t="s">
        <v>5535</v>
      </c>
      <c r="C1424" s="49" t="s">
        <v>238</v>
      </c>
      <c r="D1424" s="49" t="s">
        <v>148</v>
      </c>
      <c r="E1424" s="49" t="s">
        <v>245</v>
      </c>
      <c r="F1424" s="50">
        <v>42975.0</v>
      </c>
      <c r="G1424" s="50">
        <v>42979.0</v>
      </c>
      <c r="H1424" s="51">
        <v>43073.854166666664</v>
      </c>
      <c r="I1424" s="52">
        <v>1.0</v>
      </c>
      <c r="J1424" s="53"/>
      <c r="K1424" s="53"/>
    </row>
    <row r="1425">
      <c r="A1425" s="48" t="s">
        <v>5537</v>
      </c>
      <c r="B1425" s="49" t="s">
        <v>5538</v>
      </c>
      <c r="C1425" s="49" t="s">
        <v>243</v>
      </c>
      <c r="D1425" s="49" t="s">
        <v>148</v>
      </c>
      <c r="E1425" s="49" t="s">
        <v>245</v>
      </c>
      <c r="F1425" s="50">
        <v>42975.0</v>
      </c>
      <c r="G1425" s="50">
        <v>42975.0</v>
      </c>
      <c r="H1425" s="51">
        <v>42975.490277777775</v>
      </c>
      <c r="I1425" s="52">
        <v>1.0</v>
      </c>
      <c r="J1425" s="53"/>
      <c r="K1425" s="53"/>
    </row>
    <row r="1426">
      <c r="A1426" s="48" t="s">
        <v>5539</v>
      </c>
      <c r="B1426" s="49" t="s">
        <v>5540</v>
      </c>
      <c r="C1426" s="49" t="s">
        <v>243</v>
      </c>
      <c r="D1426" s="49" t="s">
        <v>148</v>
      </c>
      <c r="E1426" s="49" t="s">
        <v>245</v>
      </c>
      <c r="F1426" s="50">
        <v>42975.0</v>
      </c>
      <c r="G1426" s="50">
        <v>42975.0</v>
      </c>
      <c r="H1426" s="51">
        <v>42975.490277777775</v>
      </c>
      <c r="I1426" s="52">
        <v>1.0</v>
      </c>
      <c r="J1426" s="53"/>
      <c r="K1426" s="53"/>
    </row>
    <row r="1427">
      <c r="A1427" s="48" t="s">
        <v>5542</v>
      </c>
      <c r="B1427" s="49" t="s">
        <v>5543</v>
      </c>
      <c r="C1427" s="49" t="s">
        <v>243</v>
      </c>
      <c r="D1427" s="49" t="s">
        <v>148</v>
      </c>
      <c r="E1427" s="49" t="s">
        <v>245</v>
      </c>
      <c r="F1427" s="50">
        <v>42975.0</v>
      </c>
      <c r="G1427" s="50">
        <v>42975.0</v>
      </c>
      <c r="H1427" s="51">
        <v>42975.49236111111</v>
      </c>
      <c r="I1427" s="52">
        <v>1.0</v>
      </c>
      <c r="J1427" s="53"/>
      <c r="K1427" s="53"/>
    </row>
    <row r="1428">
      <c r="A1428" s="48" t="s">
        <v>5546</v>
      </c>
      <c r="B1428" s="49" t="s">
        <v>5548</v>
      </c>
      <c r="C1428" s="49" t="s">
        <v>243</v>
      </c>
      <c r="D1428" s="49" t="s">
        <v>148</v>
      </c>
      <c r="E1428" s="49" t="s">
        <v>245</v>
      </c>
      <c r="F1428" s="50">
        <v>42975.0</v>
      </c>
      <c r="G1428" s="50">
        <v>42975.0</v>
      </c>
      <c r="H1428" s="51">
        <v>42975.49375</v>
      </c>
      <c r="I1428" s="52">
        <v>1.0</v>
      </c>
      <c r="J1428" s="53"/>
      <c r="K1428" s="53"/>
    </row>
    <row r="1429">
      <c r="A1429" s="48" t="s">
        <v>5550</v>
      </c>
      <c r="B1429" s="49" t="s">
        <v>5551</v>
      </c>
      <c r="C1429" s="49" t="s">
        <v>257</v>
      </c>
      <c r="D1429" s="49" t="s">
        <v>153</v>
      </c>
      <c r="E1429" s="49" t="s">
        <v>245</v>
      </c>
      <c r="F1429" s="50">
        <v>42975.0</v>
      </c>
      <c r="G1429" s="50">
        <v>42975.0</v>
      </c>
      <c r="H1429" s="51">
        <v>42982.652083333334</v>
      </c>
      <c r="I1429" s="52">
        <v>1.0</v>
      </c>
      <c r="J1429" s="53"/>
      <c r="K1429" s="53"/>
    </row>
    <row r="1430">
      <c r="A1430" s="48" t="s">
        <v>5554</v>
      </c>
      <c r="B1430" s="49" t="s">
        <v>5555</v>
      </c>
      <c r="C1430" s="49" t="s">
        <v>243</v>
      </c>
      <c r="D1430" s="49" t="s">
        <v>148</v>
      </c>
      <c r="E1430" s="49" t="s">
        <v>245</v>
      </c>
      <c r="F1430" s="50">
        <v>42975.0</v>
      </c>
      <c r="G1430" s="50">
        <v>42975.0</v>
      </c>
      <c r="H1430" s="51">
        <v>42975.72638888889</v>
      </c>
      <c r="I1430" s="52">
        <v>1.0</v>
      </c>
      <c r="J1430" s="53"/>
      <c r="K1430" s="53"/>
    </row>
    <row r="1431">
      <c r="A1431" s="48" t="s">
        <v>5557</v>
      </c>
      <c r="B1431" s="49" t="s">
        <v>5558</v>
      </c>
      <c r="C1431" s="49" t="s">
        <v>243</v>
      </c>
      <c r="D1431" s="49" t="s">
        <v>148</v>
      </c>
      <c r="E1431" s="49" t="s">
        <v>245</v>
      </c>
      <c r="F1431" s="50">
        <v>42975.0</v>
      </c>
      <c r="G1431" s="50">
        <v>42975.0</v>
      </c>
      <c r="H1431" s="51">
        <v>42976.62569444445</v>
      </c>
      <c r="I1431" s="52">
        <v>1.0</v>
      </c>
      <c r="J1431" s="53"/>
      <c r="K1431" s="53"/>
    </row>
    <row r="1432">
      <c r="A1432" s="48" t="s">
        <v>5560</v>
      </c>
      <c r="B1432" s="49" t="s">
        <v>5562</v>
      </c>
      <c r="C1432" s="49" t="s">
        <v>221</v>
      </c>
      <c r="D1432" s="49" t="s">
        <v>153</v>
      </c>
      <c r="E1432" s="49" t="s">
        <v>245</v>
      </c>
      <c r="F1432" s="50">
        <v>42975.0</v>
      </c>
      <c r="G1432" s="50">
        <v>42975.0</v>
      </c>
      <c r="H1432" s="51">
        <v>42982.65277777778</v>
      </c>
      <c r="I1432" s="52">
        <v>1.0</v>
      </c>
      <c r="J1432" s="53"/>
      <c r="K1432" s="53"/>
    </row>
    <row r="1433">
      <c r="A1433" s="48" t="s">
        <v>5564</v>
      </c>
      <c r="B1433" s="49" t="s">
        <v>5565</v>
      </c>
      <c r="C1433" s="49" t="s">
        <v>243</v>
      </c>
      <c r="D1433" s="49" t="s">
        <v>148</v>
      </c>
      <c r="E1433" s="49" t="s">
        <v>245</v>
      </c>
      <c r="F1433" s="50">
        <v>42972.0</v>
      </c>
      <c r="G1433" s="50">
        <v>42979.0</v>
      </c>
      <c r="H1433" s="51">
        <v>42991.4</v>
      </c>
      <c r="I1433" s="52">
        <v>1.0</v>
      </c>
      <c r="J1433" s="53"/>
      <c r="K1433" s="53"/>
    </row>
    <row r="1434">
      <c r="A1434" s="48" t="s">
        <v>5567</v>
      </c>
      <c r="B1434" s="49" t="s">
        <v>5569</v>
      </c>
      <c r="C1434" s="49" t="s">
        <v>243</v>
      </c>
      <c r="D1434" s="49" t="s">
        <v>148</v>
      </c>
      <c r="E1434" s="49" t="s">
        <v>245</v>
      </c>
      <c r="F1434" s="50">
        <v>42972.0</v>
      </c>
      <c r="G1434" s="50">
        <v>42978.0</v>
      </c>
      <c r="H1434" s="51">
        <v>42986.709027777775</v>
      </c>
      <c r="I1434" s="52">
        <v>1.0</v>
      </c>
      <c r="J1434" s="53"/>
      <c r="K1434" s="53"/>
    </row>
    <row r="1435">
      <c r="A1435" s="48" t="s">
        <v>5571</v>
      </c>
      <c r="B1435" s="49" t="s">
        <v>5573</v>
      </c>
      <c r="C1435" s="49" t="s">
        <v>243</v>
      </c>
      <c r="D1435" s="49" t="s">
        <v>153</v>
      </c>
      <c r="E1435" s="49" t="s">
        <v>245</v>
      </c>
      <c r="F1435" s="50">
        <v>42972.0</v>
      </c>
      <c r="G1435" s="50">
        <v>42972.0</v>
      </c>
      <c r="H1435" s="51">
        <v>42991.67638888889</v>
      </c>
      <c r="I1435" s="52">
        <v>1.0</v>
      </c>
      <c r="J1435" s="53"/>
      <c r="K1435" s="53"/>
    </row>
    <row r="1436">
      <c r="A1436" s="48" t="s">
        <v>5575</v>
      </c>
      <c r="B1436" s="49" t="s">
        <v>5576</v>
      </c>
      <c r="C1436" s="49" t="s">
        <v>238</v>
      </c>
      <c r="D1436" s="49" t="s">
        <v>148</v>
      </c>
      <c r="E1436" s="49" t="s">
        <v>245</v>
      </c>
      <c r="F1436" s="50">
        <v>42972.0</v>
      </c>
      <c r="G1436" s="50">
        <v>42972.0</v>
      </c>
      <c r="H1436" s="51">
        <v>42976.41875</v>
      </c>
      <c r="I1436" s="52">
        <v>1.0</v>
      </c>
      <c r="J1436" s="53"/>
      <c r="K1436" s="53"/>
    </row>
    <row r="1437">
      <c r="A1437" s="48" t="s">
        <v>5578</v>
      </c>
      <c r="B1437" s="49" t="s">
        <v>5579</v>
      </c>
      <c r="C1437" s="49" t="s">
        <v>243</v>
      </c>
      <c r="D1437" s="49" t="s">
        <v>148</v>
      </c>
      <c r="E1437" s="49" t="s">
        <v>245</v>
      </c>
      <c r="F1437" s="50">
        <v>42972.0</v>
      </c>
      <c r="G1437" s="50">
        <v>42972.0</v>
      </c>
      <c r="H1437" s="51">
        <v>42975.495833333334</v>
      </c>
      <c r="I1437" s="52">
        <v>1.0</v>
      </c>
      <c r="J1437" s="53"/>
      <c r="K1437" s="53"/>
    </row>
    <row r="1438">
      <c r="A1438" s="48" t="s">
        <v>5581</v>
      </c>
      <c r="B1438" s="49" t="s">
        <v>5582</v>
      </c>
      <c r="C1438" s="49" t="s">
        <v>243</v>
      </c>
      <c r="D1438" s="49" t="s">
        <v>148</v>
      </c>
      <c r="E1438" s="49" t="s">
        <v>245</v>
      </c>
      <c r="F1438" s="50">
        <v>42971.0</v>
      </c>
      <c r="G1438" s="50">
        <v>42972.0</v>
      </c>
      <c r="H1438" s="51">
        <v>42982.65138888889</v>
      </c>
      <c r="I1438" s="52">
        <v>1.0</v>
      </c>
      <c r="J1438" s="53"/>
      <c r="K1438" s="53"/>
    </row>
    <row r="1439">
      <c r="A1439" s="48" t="s">
        <v>5585</v>
      </c>
      <c r="B1439" s="49" t="s">
        <v>5586</v>
      </c>
      <c r="C1439" s="49" t="s">
        <v>243</v>
      </c>
      <c r="D1439" s="49" t="s">
        <v>140</v>
      </c>
      <c r="E1439" s="49" t="s">
        <v>245</v>
      </c>
      <c r="F1439" s="50">
        <v>42971.0</v>
      </c>
      <c r="G1439" s="50">
        <v>42971.0</v>
      </c>
      <c r="H1439" s="51">
        <v>42991.67638888889</v>
      </c>
      <c r="I1439" s="52">
        <v>1.0</v>
      </c>
      <c r="J1439" s="53"/>
      <c r="K1439" s="53"/>
    </row>
    <row r="1440">
      <c r="A1440" s="48" t="s">
        <v>5588</v>
      </c>
      <c r="B1440" s="49" t="s">
        <v>5589</v>
      </c>
      <c r="C1440" s="49" t="s">
        <v>257</v>
      </c>
      <c r="D1440" s="49" t="s">
        <v>140</v>
      </c>
      <c r="E1440" s="49" t="s">
        <v>245</v>
      </c>
      <c r="F1440" s="50">
        <v>42971.0</v>
      </c>
      <c r="G1440" s="50">
        <v>42971.0</v>
      </c>
      <c r="H1440" s="51">
        <v>42971.48055555556</v>
      </c>
      <c r="I1440" s="52">
        <v>1.0</v>
      </c>
      <c r="J1440" s="53"/>
      <c r="K1440" s="53"/>
    </row>
    <row r="1441">
      <c r="A1441" s="48" t="s">
        <v>5592</v>
      </c>
      <c r="B1441" s="49" t="s">
        <v>5593</v>
      </c>
      <c r="C1441" s="49" t="s">
        <v>238</v>
      </c>
      <c r="D1441" s="49" t="s">
        <v>148</v>
      </c>
      <c r="E1441" s="49" t="s">
        <v>245</v>
      </c>
      <c r="F1441" s="50">
        <v>42971.0</v>
      </c>
      <c r="G1441" s="50">
        <v>42971.0</v>
      </c>
      <c r="H1441" s="51">
        <v>42976.40347222222</v>
      </c>
      <c r="I1441" s="52">
        <v>1.0</v>
      </c>
      <c r="J1441" s="53"/>
      <c r="K1441" s="53"/>
    </row>
    <row r="1442">
      <c r="A1442" s="48" t="s">
        <v>5596</v>
      </c>
      <c r="B1442" s="49" t="s">
        <v>5598</v>
      </c>
      <c r="C1442" s="49" t="s">
        <v>243</v>
      </c>
      <c r="D1442" s="49" t="s">
        <v>148</v>
      </c>
      <c r="E1442" s="49" t="s">
        <v>245</v>
      </c>
      <c r="F1442" s="50">
        <v>42971.0</v>
      </c>
      <c r="G1442" s="50">
        <v>42971.0</v>
      </c>
      <c r="H1442" s="51">
        <v>42982.652083333334</v>
      </c>
      <c r="I1442" s="52">
        <v>1.0</v>
      </c>
      <c r="J1442" s="53"/>
      <c r="K1442" s="53"/>
    </row>
    <row r="1443">
      <c r="A1443" s="48" t="s">
        <v>5600</v>
      </c>
      <c r="B1443" s="49" t="s">
        <v>5601</v>
      </c>
      <c r="C1443" s="49" t="s">
        <v>1049</v>
      </c>
      <c r="D1443" s="49" t="s">
        <v>140</v>
      </c>
      <c r="E1443" s="49" t="s">
        <v>245</v>
      </c>
      <c r="F1443" s="50">
        <v>42970.0</v>
      </c>
      <c r="G1443" s="50">
        <v>42971.0</v>
      </c>
      <c r="H1443" s="51">
        <v>42971.48055555556</v>
      </c>
      <c r="I1443" s="52">
        <v>1.0</v>
      </c>
      <c r="J1443" s="53"/>
      <c r="K1443" s="53"/>
    </row>
    <row r="1444">
      <c r="A1444" s="48" t="s">
        <v>5604</v>
      </c>
      <c r="B1444" s="49" t="s">
        <v>5605</v>
      </c>
      <c r="C1444" s="49" t="s">
        <v>257</v>
      </c>
      <c r="D1444" s="49" t="s">
        <v>140</v>
      </c>
      <c r="E1444" s="49" t="s">
        <v>245</v>
      </c>
      <c r="F1444" s="50">
        <v>42970.0</v>
      </c>
      <c r="G1444" s="50">
        <v>42970.0</v>
      </c>
      <c r="H1444" s="51">
        <v>42970.61736111111</v>
      </c>
      <c r="I1444" s="52">
        <v>1.0</v>
      </c>
      <c r="J1444" s="53"/>
      <c r="K1444" s="53"/>
    </row>
    <row r="1445">
      <c r="A1445" s="48" t="s">
        <v>5609</v>
      </c>
      <c r="B1445" s="49" t="s">
        <v>5610</v>
      </c>
      <c r="C1445" s="49" t="s">
        <v>257</v>
      </c>
      <c r="D1445" s="49" t="s">
        <v>140</v>
      </c>
      <c r="E1445" s="49" t="s">
        <v>245</v>
      </c>
      <c r="F1445" s="50">
        <v>42970.0</v>
      </c>
      <c r="G1445" s="50">
        <v>42970.0</v>
      </c>
      <c r="H1445" s="51">
        <v>42970.618055555555</v>
      </c>
      <c r="I1445" s="52">
        <v>1.0</v>
      </c>
      <c r="J1445" s="53"/>
      <c r="K1445" s="53"/>
    </row>
    <row r="1446">
      <c r="A1446" s="48" t="s">
        <v>5612</v>
      </c>
      <c r="B1446" s="49" t="s">
        <v>5613</v>
      </c>
      <c r="C1446" s="49" t="s">
        <v>221</v>
      </c>
      <c r="D1446" s="49" t="s">
        <v>153</v>
      </c>
      <c r="E1446" s="49" t="s">
        <v>245</v>
      </c>
      <c r="F1446" s="50">
        <v>42970.0</v>
      </c>
      <c r="G1446" s="50">
        <v>42970.0</v>
      </c>
      <c r="H1446" s="51">
        <v>42971.57708333333</v>
      </c>
      <c r="I1446" s="52">
        <v>1.0</v>
      </c>
      <c r="J1446" s="53"/>
      <c r="K1446" s="53"/>
    </row>
    <row r="1447">
      <c r="A1447" s="48" t="s">
        <v>5615</v>
      </c>
      <c r="B1447" s="49" t="s">
        <v>5616</v>
      </c>
      <c r="C1447" s="49" t="s">
        <v>257</v>
      </c>
      <c r="D1447" s="49" t="s">
        <v>140</v>
      </c>
      <c r="E1447" s="49" t="s">
        <v>245</v>
      </c>
      <c r="F1447" s="50">
        <v>42970.0</v>
      </c>
      <c r="G1447" s="50">
        <v>42970.0</v>
      </c>
      <c r="H1447" s="51">
        <v>42971.57708333333</v>
      </c>
      <c r="I1447" s="52">
        <v>1.0</v>
      </c>
      <c r="J1447" s="53"/>
      <c r="K1447" s="53"/>
    </row>
    <row r="1448">
      <c r="A1448" s="48" t="s">
        <v>5619</v>
      </c>
      <c r="B1448" s="49" t="s">
        <v>5620</v>
      </c>
      <c r="C1448" s="49" t="s">
        <v>257</v>
      </c>
      <c r="D1448" s="49" t="s">
        <v>140</v>
      </c>
      <c r="E1448" s="49" t="s">
        <v>245</v>
      </c>
      <c r="F1448" s="50">
        <v>42970.0</v>
      </c>
      <c r="G1448" s="50">
        <v>42970.0</v>
      </c>
      <c r="H1448" s="51">
        <v>42971.57708333333</v>
      </c>
      <c r="I1448" s="52">
        <v>1.0</v>
      </c>
      <c r="J1448" s="53"/>
      <c r="K1448" s="53"/>
    </row>
    <row r="1449">
      <c r="A1449" s="48" t="s">
        <v>5623</v>
      </c>
      <c r="B1449" s="49" t="s">
        <v>5625</v>
      </c>
      <c r="C1449" s="49" t="s">
        <v>257</v>
      </c>
      <c r="D1449" s="49" t="s">
        <v>140</v>
      </c>
      <c r="E1449" s="49" t="s">
        <v>245</v>
      </c>
      <c r="F1449" s="50">
        <v>42970.0</v>
      </c>
      <c r="G1449" s="50">
        <v>42970.0</v>
      </c>
      <c r="H1449" s="51">
        <v>42971.57708333333</v>
      </c>
      <c r="I1449" s="52">
        <v>1.0</v>
      </c>
      <c r="J1449" s="53"/>
      <c r="K1449" s="53"/>
    </row>
    <row r="1450">
      <c r="A1450" s="48" t="s">
        <v>5627</v>
      </c>
      <c r="B1450" s="49" t="s">
        <v>5629</v>
      </c>
      <c r="C1450" s="49" t="s">
        <v>238</v>
      </c>
      <c r="D1450" s="49" t="s">
        <v>148</v>
      </c>
      <c r="E1450" s="49" t="s">
        <v>245</v>
      </c>
      <c r="F1450" s="50">
        <v>42968.0</v>
      </c>
      <c r="G1450" s="50">
        <v>42972.0</v>
      </c>
      <c r="H1450" s="51">
        <v>42969.395833333336</v>
      </c>
      <c r="I1450" s="52">
        <v>1.0</v>
      </c>
      <c r="J1450" s="53"/>
      <c r="K1450" s="53"/>
    </row>
    <row r="1451">
      <c r="A1451" s="48" t="s">
        <v>5632</v>
      </c>
      <c r="B1451" s="49" t="s">
        <v>5634</v>
      </c>
      <c r="C1451" s="49" t="s">
        <v>221</v>
      </c>
      <c r="D1451" s="49" t="s">
        <v>153</v>
      </c>
      <c r="E1451" s="49" t="s">
        <v>245</v>
      </c>
      <c r="F1451" s="50">
        <v>42968.0</v>
      </c>
      <c r="G1451" s="50">
        <v>42972.0</v>
      </c>
      <c r="H1451" s="51">
        <v>42976.40347222222</v>
      </c>
      <c r="I1451" s="52">
        <v>1.0</v>
      </c>
      <c r="J1451" s="53"/>
      <c r="K1451" s="53"/>
    </row>
    <row r="1452">
      <c r="A1452" s="48" t="s">
        <v>5638</v>
      </c>
      <c r="B1452" s="49" t="s">
        <v>5639</v>
      </c>
      <c r="C1452" s="49" t="s">
        <v>203</v>
      </c>
      <c r="D1452" s="49" t="s">
        <v>140</v>
      </c>
      <c r="E1452" s="49" t="s">
        <v>245</v>
      </c>
      <c r="F1452" s="50">
        <v>42968.0</v>
      </c>
      <c r="G1452" s="50">
        <v>42968.0</v>
      </c>
      <c r="H1452" s="51">
        <v>43084.68472222222</v>
      </c>
      <c r="I1452" s="52">
        <v>1.0</v>
      </c>
      <c r="J1452" s="53"/>
      <c r="K1452" s="53"/>
    </row>
    <row r="1453">
      <c r="A1453" s="48" t="s">
        <v>5641</v>
      </c>
      <c r="B1453" s="49" t="s">
        <v>5643</v>
      </c>
      <c r="C1453" s="49" t="s">
        <v>257</v>
      </c>
      <c r="D1453" s="49" t="s">
        <v>140</v>
      </c>
      <c r="E1453" s="49" t="s">
        <v>245</v>
      </c>
      <c r="F1453" s="50">
        <v>42968.0</v>
      </c>
      <c r="G1453" s="50">
        <v>42968.0</v>
      </c>
      <c r="H1453" s="51">
        <v>42970.61666666667</v>
      </c>
      <c r="I1453" s="52">
        <v>1.0</v>
      </c>
      <c r="J1453" s="53"/>
      <c r="K1453" s="53"/>
    </row>
    <row r="1454">
      <c r="A1454" s="48" t="s">
        <v>5645</v>
      </c>
      <c r="B1454" s="49" t="s">
        <v>5646</v>
      </c>
      <c r="C1454" s="49" t="s">
        <v>257</v>
      </c>
      <c r="D1454" s="49" t="s">
        <v>140</v>
      </c>
      <c r="E1454" s="49" t="s">
        <v>245</v>
      </c>
      <c r="F1454" s="50">
        <v>42968.0</v>
      </c>
      <c r="G1454" s="50">
        <v>42968.0</v>
      </c>
      <c r="H1454" s="51">
        <v>42969.45763888889</v>
      </c>
      <c r="I1454" s="52">
        <v>1.0</v>
      </c>
      <c r="J1454" s="53"/>
      <c r="K1454" s="53"/>
    </row>
    <row r="1455">
      <c r="A1455" s="48" t="s">
        <v>5649</v>
      </c>
      <c r="B1455" s="49" t="s">
        <v>5650</v>
      </c>
      <c r="C1455" s="49" t="s">
        <v>238</v>
      </c>
      <c r="D1455" s="49" t="s">
        <v>148</v>
      </c>
      <c r="E1455" s="49" t="s">
        <v>245</v>
      </c>
      <c r="F1455" s="50">
        <v>42968.0</v>
      </c>
      <c r="G1455" s="50">
        <v>42968.0</v>
      </c>
      <c r="H1455" s="51">
        <v>42971.57916666667</v>
      </c>
      <c r="I1455" s="52">
        <v>1.0</v>
      </c>
      <c r="J1455" s="53"/>
      <c r="K1455" s="53"/>
    </row>
    <row r="1456">
      <c r="A1456" s="48" t="s">
        <v>5652</v>
      </c>
      <c r="B1456" s="49" t="s">
        <v>5654</v>
      </c>
      <c r="C1456" s="49" t="s">
        <v>257</v>
      </c>
      <c r="D1456" s="49" t="s">
        <v>140</v>
      </c>
      <c r="E1456" s="49" t="s">
        <v>245</v>
      </c>
      <c r="F1456" s="50">
        <v>42967.0</v>
      </c>
      <c r="G1456" s="50">
        <v>42967.0</v>
      </c>
      <c r="H1456" s="51">
        <v>42970.61666666667</v>
      </c>
      <c r="I1456" s="52">
        <v>1.0</v>
      </c>
      <c r="J1456" s="53"/>
      <c r="K1456" s="53"/>
    </row>
    <row r="1457">
      <c r="A1457" s="48" t="s">
        <v>5656</v>
      </c>
      <c r="B1457" s="49" t="s">
        <v>5657</v>
      </c>
      <c r="C1457" s="49" t="s">
        <v>203</v>
      </c>
      <c r="D1457" s="49" t="s">
        <v>4673</v>
      </c>
      <c r="E1457" s="49" t="s">
        <v>245</v>
      </c>
      <c r="F1457" s="50">
        <v>42965.0</v>
      </c>
      <c r="G1457" s="50">
        <v>42970.0</v>
      </c>
      <c r="H1457" s="51">
        <v>43003.549305555556</v>
      </c>
      <c r="I1457" s="52">
        <v>1.0</v>
      </c>
      <c r="J1457" s="53"/>
      <c r="K1457" s="53"/>
    </row>
    <row r="1458">
      <c r="A1458" s="48" t="s">
        <v>5661</v>
      </c>
      <c r="B1458" s="49" t="s">
        <v>5662</v>
      </c>
      <c r="C1458" s="49" t="s">
        <v>238</v>
      </c>
      <c r="D1458" s="49" t="s">
        <v>148</v>
      </c>
      <c r="E1458" s="49" t="s">
        <v>245</v>
      </c>
      <c r="F1458" s="50">
        <v>42965.0</v>
      </c>
      <c r="G1458" s="50">
        <v>42965.0</v>
      </c>
      <c r="H1458" s="51">
        <v>42971.82013888889</v>
      </c>
      <c r="I1458" s="52">
        <v>1.0</v>
      </c>
      <c r="J1458" s="53"/>
      <c r="K1458" s="53"/>
    </row>
    <row r="1459">
      <c r="A1459" s="48" t="s">
        <v>5666</v>
      </c>
      <c r="B1459" s="49" t="s">
        <v>5667</v>
      </c>
      <c r="C1459" s="49" t="s">
        <v>379</v>
      </c>
      <c r="D1459" s="49" t="s">
        <v>140</v>
      </c>
      <c r="E1459" s="49" t="s">
        <v>245</v>
      </c>
      <c r="F1459" s="50">
        <v>42965.0</v>
      </c>
      <c r="G1459" s="50">
        <v>42965.0</v>
      </c>
      <c r="H1459" s="51">
        <v>42965.572916666664</v>
      </c>
      <c r="I1459" s="52">
        <v>1.0</v>
      </c>
      <c r="J1459" s="53"/>
      <c r="K1459" s="53"/>
    </row>
    <row r="1460">
      <c r="A1460" s="48" t="s">
        <v>5669</v>
      </c>
      <c r="B1460" s="49" t="s">
        <v>5671</v>
      </c>
      <c r="C1460" s="49" t="s">
        <v>203</v>
      </c>
      <c r="D1460" s="49" t="s">
        <v>4673</v>
      </c>
      <c r="E1460" s="49" t="s">
        <v>245</v>
      </c>
      <c r="F1460" s="50">
        <v>42964.0</v>
      </c>
      <c r="G1460" s="50">
        <v>43028.0</v>
      </c>
      <c r="H1460" s="51">
        <v>43027.49930555555</v>
      </c>
      <c r="I1460" s="52">
        <v>1.0</v>
      </c>
      <c r="J1460" s="53"/>
      <c r="K1460" s="53"/>
    </row>
    <row r="1461">
      <c r="A1461" s="48" t="s">
        <v>5673</v>
      </c>
      <c r="B1461" s="49" t="s">
        <v>5674</v>
      </c>
      <c r="C1461" s="49" t="s">
        <v>243</v>
      </c>
      <c r="D1461" s="49" t="s">
        <v>148</v>
      </c>
      <c r="E1461" s="49" t="s">
        <v>245</v>
      </c>
      <c r="F1461" s="50">
        <v>42964.0</v>
      </c>
      <c r="G1461" s="50">
        <v>42972.0</v>
      </c>
      <c r="H1461" s="51">
        <v>42968.86944444444</v>
      </c>
      <c r="I1461" s="52">
        <v>1.0</v>
      </c>
      <c r="J1461" s="53"/>
      <c r="K1461" s="53"/>
    </row>
    <row r="1462">
      <c r="A1462" s="48" t="s">
        <v>5678</v>
      </c>
      <c r="B1462" s="49" t="s">
        <v>5679</v>
      </c>
      <c r="C1462" s="49" t="s">
        <v>243</v>
      </c>
      <c r="D1462" s="49" t="s">
        <v>148</v>
      </c>
      <c r="E1462" s="49" t="s">
        <v>245</v>
      </c>
      <c r="F1462" s="50">
        <v>42964.0</v>
      </c>
      <c r="G1462" s="50">
        <v>42965.0</v>
      </c>
      <c r="H1462" s="51">
        <v>42965.66180555556</v>
      </c>
      <c r="I1462" s="52">
        <v>1.0</v>
      </c>
      <c r="J1462" s="53"/>
      <c r="K1462" s="53"/>
    </row>
    <row r="1463">
      <c r="A1463" s="48" t="s">
        <v>5682</v>
      </c>
      <c r="B1463" s="49" t="s">
        <v>5683</v>
      </c>
      <c r="C1463" s="49" t="s">
        <v>221</v>
      </c>
      <c r="D1463" s="49" t="s">
        <v>153</v>
      </c>
      <c r="E1463" s="49" t="s">
        <v>245</v>
      </c>
      <c r="F1463" s="50">
        <v>42963.0</v>
      </c>
      <c r="G1463" s="50">
        <v>42972.0</v>
      </c>
      <c r="H1463" s="51">
        <v>43073.854166666664</v>
      </c>
      <c r="I1463" s="52">
        <v>1.0</v>
      </c>
      <c r="J1463" s="53"/>
      <c r="K1463" s="53"/>
    </row>
    <row r="1464">
      <c r="A1464" s="48" t="s">
        <v>5685</v>
      </c>
      <c r="B1464" s="49" t="s">
        <v>5687</v>
      </c>
      <c r="C1464" s="49" t="s">
        <v>243</v>
      </c>
      <c r="D1464" s="49" t="s">
        <v>148</v>
      </c>
      <c r="E1464" s="49" t="s">
        <v>245</v>
      </c>
      <c r="F1464" s="50">
        <v>42963.0</v>
      </c>
      <c r="G1464" s="50">
        <v>42972.0</v>
      </c>
      <c r="H1464" s="51">
        <v>42991.402083333334</v>
      </c>
      <c r="I1464" s="52">
        <v>1.0</v>
      </c>
      <c r="J1464" s="53"/>
      <c r="K1464" s="53"/>
    </row>
    <row r="1465">
      <c r="A1465" s="48" t="s">
        <v>5690</v>
      </c>
      <c r="B1465" s="49" t="s">
        <v>5691</v>
      </c>
      <c r="C1465" s="49" t="s">
        <v>243</v>
      </c>
      <c r="D1465" s="49" t="s">
        <v>148</v>
      </c>
      <c r="E1465" s="49" t="s">
        <v>245</v>
      </c>
      <c r="F1465" s="50">
        <v>42963.0</v>
      </c>
      <c r="G1465" s="50">
        <v>42972.0</v>
      </c>
      <c r="H1465" s="51">
        <v>42991.40138888889</v>
      </c>
      <c r="I1465" s="52">
        <v>1.0</v>
      </c>
      <c r="J1465" s="53"/>
      <c r="K1465" s="53"/>
    </row>
    <row r="1466">
      <c r="A1466" s="48" t="s">
        <v>5693</v>
      </c>
      <c r="B1466" s="49" t="s">
        <v>5694</v>
      </c>
      <c r="C1466" s="49" t="s">
        <v>243</v>
      </c>
      <c r="D1466" s="49" t="s">
        <v>148</v>
      </c>
      <c r="E1466" s="49" t="s">
        <v>245</v>
      </c>
      <c r="F1466" s="50">
        <v>42963.0</v>
      </c>
      <c r="G1466" s="50">
        <v>42970.0</v>
      </c>
      <c r="H1466" s="51">
        <v>42991.40138888889</v>
      </c>
      <c r="I1466" s="52">
        <v>1.0</v>
      </c>
      <c r="J1466" s="53"/>
      <c r="K1466" s="53"/>
    </row>
    <row r="1467">
      <c r="A1467" s="48" t="s">
        <v>5699</v>
      </c>
      <c r="B1467" s="49" t="s">
        <v>5700</v>
      </c>
      <c r="C1467" s="49" t="s">
        <v>203</v>
      </c>
      <c r="D1467" s="49" t="s">
        <v>148</v>
      </c>
      <c r="E1467" s="49" t="s">
        <v>245</v>
      </c>
      <c r="F1467" s="50">
        <v>42963.0</v>
      </c>
      <c r="G1467" s="50">
        <v>42964.0</v>
      </c>
      <c r="H1467" s="51">
        <v>42965.447916666664</v>
      </c>
      <c r="I1467" s="52">
        <v>1.0</v>
      </c>
      <c r="J1467" s="53"/>
      <c r="K1467" s="53"/>
    </row>
    <row r="1468">
      <c r="A1468" s="48" t="s">
        <v>5702</v>
      </c>
      <c r="B1468" s="49" t="s">
        <v>5703</v>
      </c>
      <c r="C1468" s="49" t="s">
        <v>221</v>
      </c>
      <c r="D1468" s="49" t="s">
        <v>153</v>
      </c>
      <c r="E1468" s="49" t="s">
        <v>245</v>
      </c>
      <c r="F1468" s="50">
        <v>42963.0</v>
      </c>
      <c r="G1468" s="50">
        <v>42963.0</v>
      </c>
      <c r="H1468" s="51">
        <v>42971.57847222222</v>
      </c>
      <c r="I1468" s="52">
        <v>1.0</v>
      </c>
      <c r="J1468" s="53"/>
      <c r="K1468" s="53"/>
    </row>
    <row r="1469">
      <c r="A1469" s="48" t="s">
        <v>5706</v>
      </c>
      <c r="B1469" s="49" t="s">
        <v>5708</v>
      </c>
      <c r="C1469" s="49" t="s">
        <v>243</v>
      </c>
      <c r="D1469" s="49" t="s">
        <v>148</v>
      </c>
      <c r="E1469" s="49" t="s">
        <v>245</v>
      </c>
      <c r="F1469" s="50">
        <v>42963.0</v>
      </c>
      <c r="G1469" s="50">
        <v>42963.0</v>
      </c>
      <c r="H1469" s="51">
        <v>42963.66111111111</v>
      </c>
      <c r="I1469" s="52">
        <v>1.0</v>
      </c>
      <c r="J1469" s="53"/>
      <c r="K1469" s="53"/>
    </row>
    <row r="1470">
      <c r="A1470" s="48" t="s">
        <v>5710</v>
      </c>
      <c r="B1470" s="49" t="s">
        <v>5711</v>
      </c>
      <c r="C1470" s="49" t="s">
        <v>243</v>
      </c>
      <c r="D1470" s="49" t="s">
        <v>148</v>
      </c>
      <c r="E1470" s="49" t="s">
        <v>245</v>
      </c>
      <c r="F1470" s="50">
        <v>42963.0</v>
      </c>
      <c r="G1470" s="50">
        <v>42963.0</v>
      </c>
      <c r="H1470" s="51">
        <v>42964.65138888889</v>
      </c>
      <c r="I1470" s="52">
        <v>1.0</v>
      </c>
      <c r="J1470" s="53"/>
      <c r="K1470" s="53"/>
    </row>
    <row r="1471">
      <c r="A1471" s="48" t="s">
        <v>5713</v>
      </c>
      <c r="B1471" s="49" t="s">
        <v>5714</v>
      </c>
      <c r="C1471" s="49" t="s">
        <v>243</v>
      </c>
      <c r="D1471" s="49" t="s">
        <v>148</v>
      </c>
      <c r="E1471" s="49" t="s">
        <v>245</v>
      </c>
      <c r="F1471" s="50">
        <v>42963.0</v>
      </c>
      <c r="G1471" s="50">
        <v>42963.0</v>
      </c>
      <c r="H1471" s="51">
        <v>42964.65138888889</v>
      </c>
      <c r="I1471" s="52">
        <v>1.0</v>
      </c>
      <c r="J1471" s="53"/>
      <c r="K1471" s="53"/>
    </row>
    <row r="1472">
      <c r="A1472" s="48" t="s">
        <v>5715</v>
      </c>
      <c r="B1472" s="49" t="s">
        <v>5716</v>
      </c>
      <c r="C1472" s="49" t="s">
        <v>243</v>
      </c>
      <c r="D1472" s="49" t="s">
        <v>148</v>
      </c>
      <c r="E1472" s="49" t="s">
        <v>245</v>
      </c>
      <c r="F1472" s="50">
        <v>42962.0</v>
      </c>
      <c r="G1472" s="50">
        <v>42970.0</v>
      </c>
      <c r="H1472" s="51">
        <v>42969.44652777778</v>
      </c>
      <c r="I1472" s="52">
        <v>1.0</v>
      </c>
      <c r="J1472" s="53"/>
      <c r="K1472" s="53"/>
    </row>
    <row r="1473">
      <c r="A1473" s="48" t="s">
        <v>5717</v>
      </c>
      <c r="B1473" s="49" t="s">
        <v>5718</v>
      </c>
      <c r="C1473" s="49" t="s">
        <v>238</v>
      </c>
      <c r="D1473" s="49" t="s">
        <v>148</v>
      </c>
      <c r="E1473" s="49" t="s">
        <v>245</v>
      </c>
      <c r="F1473" s="50">
        <v>42962.0</v>
      </c>
      <c r="G1473" s="50">
        <v>42965.0</v>
      </c>
      <c r="H1473" s="51">
        <v>42964.65138888889</v>
      </c>
      <c r="I1473" s="52">
        <v>1.0</v>
      </c>
      <c r="J1473" s="53"/>
      <c r="K1473" s="53"/>
    </row>
    <row r="1474">
      <c r="A1474" s="48" t="s">
        <v>5720</v>
      </c>
      <c r="B1474" s="49" t="s">
        <v>5722</v>
      </c>
      <c r="C1474" s="49" t="s">
        <v>203</v>
      </c>
      <c r="D1474" s="49" t="s">
        <v>140</v>
      </c>
      <c r="E1474" s="49" t="s">
        <v>245</v>
      </c>
      <c r="F1474" s="50">
        <v>42962.0</v>
      </c>
      <c r="G1474" s="50">
        <v>42965.0</v>
      </c>
      <c r="H1474" s="51">
        <v>43073.85486111111</v>
      </c>
      <c r="I1474" s="52">
        <v>1.0</v>
      </c>
      <c r="J1474" s="53"/>
      <c r="K1474" s="53"/>
    </row>
    <row r="1475">
      <c r="A1475" s="48" t="s">
        <v>5724</v>
      </c>
      <c r="B1475" s="49" t="s">
        <v>5726</v>
      </c>
      <c r="C1475" s="49" t="s">
        <v>379</v>
      </c>
      <c r="D1475" s="49" t="s">
        <v>140</v>
      </c>
      <c r="E1475" s="49" t="s">
        <v>245</v>
      </c>
      <c r="F1475" s="50">
        <v>42962.0</v>
      </c>
      <c r="G1475" s="50">
        <v>42963.0</v>
      </c>
      <c r="H1475" s="51">
        <v>42979.700694444444</v>
      </c>
      <c r="I1475" s="52">
        <v>1.0</v>
      </c>
      <c r="J1475" s="53"/>
      <c r="K1475" s="53"/>
    </row>
    <row r="1476">
      <c r="A1476" s="48" t="s">
        <v>5730</v>
      </c>
      <c r="B1476" s="49" t="s">
        <v>5731</v>
      </c>
      <c r="C1476" s="49" t="s">
        <v>238</v>
      </c>
      <c r="D1476" s="49" t="s">
        <v>148</v>
      </c>
      <c r="E1476" s="49" t="s">
        <v>245</v>
      </c>
      <c r="F1476" s="50">
        <v>42962.0</v>
      </c>
      <c r="G1476" s="50">
        <v>42962.0</v>
      </c>
      <c r="H1476" s="51">
        <v>42962.80416666667</v>
      </c>
      <c r="I1476" s="52">
        <v>1.0</v>
      </c>
      <c r="J1476" s="53"/>
      <c r="K1476" s="53"/>
    </row>
    <row r="1477">
      <c r="A1477" s="48" t="s">
        <v>5734</v>
      </c>
      <c r="B1477" s="49" t="s">
        <v>5735</v>
      </c>
      <c r="C1477" s="49" t="s">
        <v>203</v>
      </c>
      <c r="D1477" s="49" t="s">
        <v>148</v>
      </c>
      <c r="E1477" s="49" t="s">
        <v>245</v>
      </c>
      <c r="F1477" s="50">
        <v>42962.0</v>
      </c>
      <c r="G1477" s="50">
        <v>42962.0</v>
      </c>
      <c r="H1477" s="51">
        <v>42963.59375</v>
      </c>
      <c r="I1477" s="52">
        <v>1.0</v>
      </c>
      <c r="J1477" s="53"/>
      <c r="K1477" s="53"/>
    </row>
    <row r="1478">
      <c r="A1478" s="48" t="s">
        <v>5738</v>
      </c>
      <c r="B1478" s="49" t="s">
        <v>5739</v>
      </c>
      <c r="C1478" s="49" t="s">
        <v>1676</v>
      </c>
      <c r="D1478" s="49" t="s">
        <v>140</v>
      </c>
      <c r="E1478" s="49" t="s">
        <v>245</v>
      </c>
      <c r="F1478" s="50">
        <v>42962.0</v>
      </c>
      <c r="G1478" s="50">
        <v>42962.0</v>
      </c>
      <c r="H1478" s="51">
        <v>42963.63263888889</v>
      </c>
      <c r="I1478" s="52">
        <v>1.0</v>
      </c>
      <c r="J1478" s="53"/>
      <c r="K1478" s="53"/>
    </row>
    <row r="1479">
      <c r="A1479" s="48" t="s">
        <v>5745</v>
      </c>
      <c r="B1479" s="49" t="s">
        <v>5746</v>
      </c>
      <c r="C1479" s="49" t="s">
        <v>238</v>
      </c>
      <c r="D1479" s="49" t="s">
        <v>148</v>
      </c>
      <c r="E1479" s="49" t="s">
        <v>245</v>
      </c>
      <c r="F1479" s="50">
        <v>42958.0</v>
      </c>
      <c r="G1479" s="50">
        <v>42958.0</v>
      </c>
      <c r="H1479" s="51">
        <v>42962.49444444444</v>
      </c>
      <c r="I1479" s="52">
        <v>1.0</v>
      </c>
      <c r="J1479" s="53"/>
      <c r="K1479" s="53"/>
    </row>
    <row r="1480">
      <c r="A1480" s="48" t="s">
        <v>5751</v>
      </c>
      <c r="B1480" s="49" t="s">
        <v>5752</v>
      </c>
      <c r="C1480" s="49" t="s">
        <v>238</v>
      </c>
      <c r="D1480" s="49" t="s">
        <v>148</v>
      </c>
      <c r="E1480" s="49" t="s">
        <v>245</v>
      </c>
      <c r="F1480" s="50">
        <v>42957.0</v>
      </c>
      <c r="G1480" s="50">
        <v>42957.0</v>
      </c>
      <c r="H1480" s="51">
        <v>42962.49444444444</v>
      </c>
      <c r="I1480" s="52">
        <v>1.0</v>
      </c>
      <c r="J1480" s="53"/>
      <c r="K1480" s="53"/>
    </row>
    <row r="1481">
      <c r="A1481" s="48" t="s">
        <v>5755</v>
      </c>
      <c r="B1481" s="49" t="s">
        <v>5757</v>
      </c>
      <c r="C1481" s="49" t="s">
        <v>257</v>
      </c>
      <c r="D1481" s="49" t="s">
        <v>140</v>
      </c>
      <c r="E1481" s="49" t="s">
        <v>245</v>
      </c>
      <c r="F1481" s="50">
        <v>42955.0</v>
      </c>
      <c r="G1481" s="50">
        <v>42977.0</v>
      </c>
      <c r="H1481" s="51">
        <v>42979.70138888889</v>
      </c>
      <c r="I1481" s="52">
        <v>1.0</v>
      </c>
      <c r="J1481" s="53"/>
      <c r="K1481" s="53"/>
    </row>
    <row r="1482">
      <c r="A1482" s="48" t="s">
        <v>5760</v>
      </c>
      <c r="B1482" s="49" t="s">
        <v>5762</v>
      </c>
      <c r="C1482" s="49" t="s">
        <v>1676</v>
      </c>
      <c r="D1482" s="49" t="s">
        <v>148</v>
      </c>
      <c r="E1482" s="49" t="s">
        <v>245</v>
      </c>
      <c r="F1482" s="50">
        <v>42955.0</v>
      </c>
      <c r="G1482" s="50">
        <v>42962.0</v>
      </c>
      <c r="H1482" s="51">
        <v>42963.63055555556</v>
      </c>
      <c r="I1482" s="52">
        <v>1.0</v>
      </c>
      <c r="J1482" s="53"/>
      <c r="K1482" s="53"/>
    </row>
    <row r="1483">
      <c r="A1483" s="48" t="s">
        <v>5768</v>
      </c>
      <c r="B1483" s="49" t="s">
        <v>5769</v>
      </c>
      <c r="C1483" s="49" t="s">
        <v>238</v>
      </c>
      <c r="D1483" s="49" t="s">
        <v>148</v>
      </c>
      <c r="E1483" s="49" t="s">
        <v>245</v>
      </c>
      <c r="F1483" s="50">
        <v>42955.0</v>
      </c>
      <c r="G1483" s="50">
        <v>42955.0</v>
      </c>
      <c r="H1483" s="51">
        <v>42962.493055555555</v>
      </c>
      <c r="I1483" s="52">
        <v>1.0</v>
      </c>
      <c r="J1483" s="53"/>
      <c r="K1483" s="53"/>
    </row>
    <row r="1484">
      <c r="A1484" s="48" t="s">
        <v>5773</v>
      </c>
      <c r="B1484" s="49" t="s">
        <v>5774</v>
      </c>
      <c r="C1484" s="49" t="s">
        <v>238</v>
      </c>
      <c r="D1484" s="49" t="s">
        <v>148</v>
      </c>
      <c r="E1484" s="49" t="s">
        <v>245</v>
      </c>
      <c r="F1484" s="50">
        <v>42947.0</v>
      </c>
      <c r="G1484" s="50">
        <v>42977.0</v>
      </c>
      <c r="H1484" s="51">
        <v>42991.67569444444</v>
      </c>
      <c r="I1484" s="52">
        <v>1.0</v>
      </c>
      <c r="J1484" s="53"/>
      <c r="K1484" s="53"/>
    </row>
    <row r="1485">
      <c r="A1485" s="48" t="s">
        <v>5777</v>
      </c>
      <c r="B1485" s="49" t="s">
        <v>5778</v>
      </c>
      <c r="C1485" s="49" t="s">
        <v>1676</v>
      </c>
      <c r="D1485" s="49" t="s">
        <v>148</v>
      </c>
      <c r="E1485" s="49" t="s">
        <v>245</v>
      </c>
      <c r="F1485" s="50">
        <v>42947.0</v>
      </c>
      <c r="G1485" s="50">
        <v>42951.0</v>
      </c>
      <c r="H1485" s="51">
        <v>42956.45694444444</v>
      </c>
      <c r="I1485" s="52">
        <v>1.0</v>
      </c>
      <c r="J1485" s="53"/>
      <c r="K1485" s="53"/>
    </row>
    <row r="1486">
      <c r="A1486" s="48" t="s">
        <v>5784</v>
      </c>
      <c r="B1486" s="49" t="s">
        <v>5785</v>
      </c>
      <c r="C1486" s="49" t="s">
        <v>1676</v>
      </c>
      <c r="D1486" s="49" t="s">
        <v>140</v>
      </c>
      <c r="E1486" s="49" t="s">
        <v>245</v>
      </c>
      <c r="F1486" s="50">
        <v>42947.0</v>
      </c>
      <c r="G1486" s="50">
        <v>42951.0</v>
      </c>
      <c r="H1486" s="51">
        <v>42956.433333333334</v>
      </c>
      <c r="I1486" s="52">
        <v>1.0</v>
      </c>
      <c r="J1486" s="53"/>
      <c r="K1486" s="53"/>
    </row>
    <row r="1487">
      <c r="A1487" s="48" t="s">
        <v>5790</v>
      </c>
      <c r="B1487" s="49" t="s">
        <v>5791</v>
      </c>
      <c r="C1487" s="49" t="s">
        <v>1676</v>
      </c>
      <c r="D1487" s="49" t="s">
        <v>153</v>
      </c>
      <c r="E1487" s="49" t="s">
        <v>245</v>
      </c>
      <c r="F1487" s="50">
        <v>42944.0</v>
      </c>
      <c r="G1487" s="50">
        <v>42947.0</v>
      </c>
      <c r="H1487" s="51">
        <v>42944.6625</v>
      </c>
      <c r="I1487" s="52">
        <v>1.0</v>
      </c>
      <c r="J1487" s="53"/>
      <c r="K1487" s="53"/>
    </row>
    <row r="1488">
      <c r="A1488" s="48" t="s">
        <v>5795</v>
      </c>
      <c r="B1488" s="49" t="s">
        <v>5791</v>
      </c>
      <c r="C1488" s="49" t="s">
        <v>1676</v>
      </c>
      <c r="D1488" s="49" t="s">
        <v>140</v>
      </c>
      <c r="E1488" s="49" t="s">
        <v>245</v>
      </c>
      <c r="F1488" s="50">
        <v>42944.0</v>
      </c>
      <c r="G1488" s="50">
        <v>42947.0</v>
      </c>
      <c r="H1488" s="51">
        <v>42956.43402777778</v>
      </c>
      <c r="I1488" s="52">
        <v>1.0</v>
      </c>
      <c r="J1488" s="53"/>
      <c r="K1488" s="53"/>
    </row>
    <row r="1489">
      <c r="A1489" s="48" t="s">
        <v>5798</v>
      </c>
      <c r="B1489" s="49" t="s">
        <v>5799</v>
      </c>
      <c r="C1489" s="49" t="s">
        <v>1676</v>
      </c>
      <c r="D1489" s="49" t="s">
        <v>153</v>
      </c>
      <c r="E1489" s="49" t="s">
        <v>245</v>
      </c>
      <c r="F1489" s="50">
        <v>42944.0</v>
      </c>
      <c r="G1489" s="50">
        <v>42946.0</v>
      </c>
      <c r="H1489" s="51">
        <v>42944.66111111111</v>
      </c>
      <c r="I1489" s="52">
        <v>1.0</v>
      </c>
      <c r="J1489" s="53"/>
      <c r="K1489" s="53"/>
    </row>
    <row r="1490">
      <c r="A1490" s="48" t="s">
        <v>5804</v>
      </c>
      <c r="B1490" s="49" t="s">
        <v>5805</v>
      </c>
      <c r="C1490" s="49" t="s">
        <v>1676</v>
      </c>
      <c r="D1490" s="49" t="s">
        <v>148</v>
      </c>
      <c r="E1490" s="49" t="s">
        <v>245</v>
      </c>
      <c r="F1490" s="50">
        <v>42944.0</v>
      </c>
      <c r="G1490" s="50">
        <v>42944.0</v>
      </c>
      <c r="H1490" s="51">
        <v>42947.41805555556</v>
      </c>
      <c r="I1490" s="52">
        <v>1.0</v>
      </c>
      <c r="J1490" s="53"/>
      <c r="K1490" s="53"/>
    </row>
    <row r="1491">
      <c r="A1491" s="48" t="s">
        <v>5816</v>
      </c>
      <c r="B1491" s="49" t="s">
        <v>5817</v>
      </c>
      <c r="C1491" s="49" t="s">
        <v>203</v>
      </c>
      <c r="D1491" s="49" t="s">
        <v>148</v>
      </c>
      <c r="E1491" s="49" t="s">
        <v>245</v>
      </c>
      <c r="F1491" s="50">
        <v>42943.0</v>
      </c>
      <c r="G1491" s="50">
        <v>42944.0</v>
      </c>
      <c r="H1491" s="51">
        <v>42944.64444444444</v>
      </c>
      <c r="I1491" s="52">
        <v>1.0</v>
      </c>
      <c r="J1491" s="53"/>
      <c r="K1491" s="53"/>
    </row>
    <row r="1492">
      <c r="A1492" s="48" t="s">
        <v>5823</v>
      </c>
      <c r="B1492" s="49" t="s">
        <v>5824</v>
      </c>
      <c r="C1492" s="49" t="s">
        <v>203</v>
      </c>
      <c r="D1492" s="49" t="s">
        <v>349</v>
      </c>
      <c r="E1492" s="49" t="s">
        <v>245</v>
      </c>
      <c r="F1492" s="50">
        <v>43332.0</v>
      </c>
      <c r="G1492" s="50">
        <v>43332.0</v>
      </c>
      <c r="H1492" s="51">
        <v>43333.396527777775</v>
      </c>
      <c r="I1492" s="52">
        <v>1.0</v>
      </c>
      <c r="J1492" s="53"/>
      <c r="K1492" s="53"/>
    </row>
    <row r="1493">
      <c r="A1493" s="48" t="s">
        <v>5827</v>
      </c>
      <c r="B1493" s="49" t="s">
        <v>5828</v>
      </c>
      <c r="C1493" s="49" t="s">
        <v>257</v>
      </c>
      <c r="D1493" s="49" t="s">
        <v>120</v>
      </c>
      <c r="E1493" s="49" t="s">
        <v>245</v>
      </c>
      <c r="F1493" s="50">
        <v>43332.0</v>
      </c>
      <c r="G1493" s="50">
        <v>43332.0</v>
      </c>
      <c r="H1493" s="51">
        <v>43333.459027777775</v>
      </c>
      <c r="I1493" s="52">
        <v>1.0</v>
      </c>
      <c r="J1493" s="53"/>
      <c r="K1493" s="53"/>
    </row>
    <row r="1494">
      <c r="A1494" s="48" t="s">
        <v>5833</v>
      </c>
      <c r="B1494" s="49" t="s">
        <v>5834</v>
      </c>
      <c r="C1494" s="49" t="s">
        <v>257</v>
      </c>
      <c r="D1494" s="49" t="s">
        <v>120</v>
      </c>
      <c r="E1494" s="49" t="s">
        <v>277</v>
      </c>
      <c r="F1494" s="50">
        <v>43333.0</v>
      </c>
      <c r="G1494" s="50">
        <v>43333.0</v>
      </c>
      <c r="H1494" s="51">
        <v>43333.45972222222</v>
      </c>
      <c r="I1494" s="52">
        <v>0.0</v>
      </c>
      <c r="J1494" s="53"/>
      <c r="K1494" s="53"/>
    </row>
    <row r="1495">
      <c r="A1495" s="48" t="s">
        <v>5838</v>
      </c>
      <c r="B1495" s="49" t="s">
        <v>5840</v>
      </c>
      <c r="C1495" s="49" t="s">
        <v>166</v>
      </c>
      <c r="D1495" s="49" t="s">
        <v>153</v>
      </c>
      <c r="E1495" s="49" t="s">
        <v>245</v>
      </c>
      <c r="F1495" s="50">
        <v>43332.0</v>
      </c>
      <c r="G1495" s="50">
        <v>43332.0</v>
      </c>
      <c r="H1495" s="51">
        <v>43333.67638888889</v>
      </c>
      <c r="I1495" s="52">
        <v>1.0</v>
      </c>
      <c r="J1495" s="53"/>
      <c r="K1495" s="53"/>
    </row>
    <row r="1496">
      <c r="A1496" s="48" t="s">
        <v>5844</v>
      </c>
      <c r="B1496" s="49" t="s">
        <v>5845</v>
      </c>
      <c r="C1496" s="49" t="s">
        <v>5846</v>
      </c>
      <c r="D1496" s="49" t="s">
        <v>153</v>
      </c>
      <c r="E1496" s="49" t="s">
        <v>245</v>
      </c>
      <c r="F1496" s="50">
        <v>43332.0</v>
      </c>
      <c r="G1496" s="50">
        <v>43332.0</v>
      </c>
      <c r="H1496" s="51">
        <v>43333.677083333336</v>
      </c>
      <c r="I1496" s="52">
        <v>1.0</v>
      </c>
      <c r="J1496" s="53"/>
      <c r="K1496" s="53"/>
    </row>
    <row r="1497">
      <c r="A1497" s="48" t="s">
        <v>5852</v>
      </c>
      <c r="B1497" s="49" t="s">
        <v>5854</v>
      </c>
      <c r="C1497" s="49" t="s">
        <v>203</v>
      </c>
      <c r="D1497" s="49" t="s">
        <v>153</v>
      </c>
      <c r="E1497" s="49" t="s">
        <v>245</v>
      </c>
      <c r="F1497" s="50">
        <v>43332.0</v>
      </c>
      <c r="G1497" s="50">
        <v>43332.0</v>
      </c>
      <c r="H1497" s="51">
        <v>43333.677777777775</v>
      </c>
      <c r="I1497" s="52">
        <v>1.0</v>
      </c>
      <c r="J1497" s="53"/>
      <c r="K1497" s="53"/>
    </row>
    <row r="1498">
      <c r="A1498" s="48" t="s">
        <v>5859</v>
      </c>
      <c r="B1498" s="49" t="s">
        <v>5861</v>
      </c>
      <c r="C1498" s="49" t="s">
        <v>1010</v>
      </c>
      <c r="D1498" s="49" t="s">
        <v>153</v>
      </c>
      <c r="E1498" s="49" t="s">
        <v>204</v>
      </c>
      <c r="F1498" s="50">
        <v>43333.0</v>
      </c>
      <c r="G1498" s="50">
        <v>43333.0</v>
      </c>
      <c r="H1498" s="51">
        <v>43333.67847222222</v>
      </c>
      <c r="I1498" s="52">
        <v>0.0</v>
      </c>
      <c r="J1498" s="53"/>
      <c r="K1498" s="53"/>
    </row>
    <row r="1499">
      <c r="A1499" s="48" t="s">
        <v>5867</v>
      </c>
      <c r="B1499" s="49" t="s">
        <v>5868</v>
      </c>
      <c r="C1499" s="49" t="s">
        <v>221</v>
      </c>
      <c r="D1499" s="49" t="s">
        <v>153</v>
      </c>
      <c r="E1499" s="49" t="s">
        <v>245</v>
      </c>
      <c r="F1499" s="50">
        <v>43333.0</v>
      </c>
      <c r="G1499" s="50">
        <v>43333.0</v>
      </c>
      <c r="H1499" s="51">
        <v>43333.67986111111</v>
      </c>
      <c r="I1499" s="52">
        <v>1.0</v>
      </c>
      <c r="J1499" s="53"/>
      <c r="K1499" s="53"/>
    </row>
    <row r="1500">
      <c r="A1500" s="48" t="s">
        <v>5874</v>
      </c>
      <c r="B1500" s="49" t="s">
        <v>5875</v>
      </c>
      <c r="C1500" s="49" t="s">
        <v>257</v>
      </c>
      <c r="D1500" s="49" t="s">
        <v>153</v>
      </c>
      <c r="E1500" s="49" t="s">
        <v>245</v>
      </c>
      <c r="F1500" s="50">
        <v>43333.0</v>
      </c>
      <c r="G1500" s="50">
        <v>43333.0</v>
      </c>
      <c r="H1500" s="51">
        <v>43333.67916666667</v>
      </c>
      <c r="I1500" s="52">
        <v>1.0</v>
      </c>
      <c r="J1500" s="53"/>
      <c r="K1500" s="53"/>
    </row>
  </sheetData>
  <autoFilter ref="$A$2:$Z$1500"/>
  <conditionalFormatting sqref="A1:Z1500">
    <cfRule type="expression" dxfId="0" priority="1">
      <formula>$E1 = "Completed"</formula>
    </cfRule>
  </conditionalFormatting>
  <conditionalFormatting sqref="A1:Z1500">
    <cfRule type="expression" dxfId="1" priority="2">
      <formula>$E1="Not Started"</formula>
    </cfRule>
  </conditionalFormatting>
  <conditionalFormatting sqref="A4:Z1500">
    <cfRule type="expression" dxfId="2" priority="3">
      <formula>($G4 &lt;TODAY()) </formula>
    </cfRule>
  </conditionalFormatting>
  <conditionalFormatting sqref="A1:Z1500">
    <cfRule type="expression" dxfId="3" priority="4">
      <formula>$E1="In Progress"</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57"/>
    <col customWidth="1" min="2" max="2" width="103.86"/>
    <col customWidth="1" min="3" max="3" width="13.0"/>
    <col customWidth="1" min="4" max="4" width="11.57"/>
    <col customWidth="1" min="5" max="5" width="13.14"/>
    <col customWidth="1" min="6" max="6" width="23.43"/>
    <col customWidth="1" min="7" max="7" width="10.71"/>
    <col customWidth="1" min="8" max="8" width="10.43"/>
    <col customWidth="1" min="9" max="9" width="13.29"/>
    <col customWidth="1" min="10" max="10" width="25.29"/>
  </cols>
  <sheetData>
    <row r="1">
      <c r="A1" s="7" t="s">
        <v>57</v>
      </c>
      <c r="B1" s="5" t="s">
        <v>5960</v>
      </c>
      <c r="C1" s="6"/>
      <c r="D1" s="6"/>
      <c r="E1" s="6"/>
      <c r="F1" s="6"/>
      <c r="G1" s="6"/>
      <c r="H1" s="6"/>
      <c r="I1" s="7" t="s">
        <v>10</v>
      </c>
      <c r="J1" s="8">
        <v>43333.68237268519</v>
      </c>
    </row>
    <row r="2">
      <c r="A2" s="6" t="s">
        <v>18</v>
      </c>
      <c r="B2" s="6" t="s">
        <v>34</v>
      </c>
      <c r="C2" s="6" t="s">
        <v>45</v>
      </c>
      <c r="D2" s="6" t="s">
        <v>46</v>
      </c>
      <c r="E2" s="6" t="s">
        <v>48</v>
      </c>
      <c r="F2" s="6" t="s">
        <v>49</v>
      </c>
      <c r="G2" s="6" t="s">
        <v>50</v>
      </c>
      <c r="H2" s="6" t="s">
        <v>51</v>
      </c>
      <c r="I2" s="6" t="s">
        <v>53</v>
      </c>
      <c r="J2" s="163" t="s">
        <v>54</v>
      </c>
    </row>
    <row r="3">
      <c r="A3" s="164" t="str">
        <f>hyperlink("https://issues.sierrawireless.com/browse/FWTOOLS-371", "FWTOOLS-371")</f>
        <v>FWTOOLS-371</v>
      </c>
      <c r="B3" s="40" t="s">
        <v>5978</v>
      </c>
      <c r="C3" s="40" t="s">
        <v>196</v>
      </c>
      <c r="D3" s="165">
        <v>43313.0</v>
      </c>
      <c r="E3" s="166">
        <v>43313.0</v>
      </c>
      <c r="F3" s="40" t="s">
        <v>5987</v>
      </c>
      <c r="G3" s="40" t="s">
        <v>148</v>
      </c>
      <c r="H3" s="40" t="s">
        <v>148</v>
      </c>
      <c r="I3" s="167">
        <v>43313.0</v>
      </c>
      <c r="J3" s="131"/>
      <c r="K3" s="131"/>
      <c r="L3" s="131"/>
      <c r="M3" s="131"/>
      <c r="N3" s="131"/>
      <c r="O3" s="131"/>
      <c r="P3" s="131"/>
      <c r="Q3" s="131"/>
      <c r="R3" s="131"/>
      <c r="S3" s="131"/>
      <c r="T3" s="131"/>
      <c r="U3" s="131"/>
      <c r="V3" s="131"/>
      <c r="W3" s="131"/>
      <c r="X3" s="131"/>
      <c r="Y3" s="131"/>
      <c r="Z3" s="131"/>
    </row>
    <row r="4">
      <c r="A4" s="164" t="str">
        <f>hyperlink("https://issues.sierrawireless.com/browse/FWTOOLS-363", "FWTOOLS-363")</f>
        <v>FWTOOLS-363</v>
      </c>
      <c r="B4" s="40" t="s">
        <v>5997</v>
      </c>
      <c r="C4" s="40" t="s">
        <v>139</v>
      </c>
      <c r="D4" s="165">
        <v>43312.0</v>
      </c>
      <c r="E4" s="40" t="s">
        <v>92</v>
      </c>
      <c r="F4" s="40" t="s">
        <v>166</v>
      </c>
      <c r="G4" s="40" t="s">
        <v>5999</v>
      </c>
      <c r="H4" s="40" t="s">
        <v>5999</v>
      </c>
      <c r="I4" s="131"/>
      <c r="J4" s="131"/>
      <c r="K4" s="131"/>
      <c r="L4" s="131"/>
      <c r="M4" s="131"/>
      <c r="N4" s="131"/>
      <c r="O4" s="131"/>
      <c r="P4" s="131"/>
      <c r="Q4" s="131"/>
      <c r="R4" s="131"/>
      <c r="S4" s="131"/>
      <c r="T4" s="131"/>
      <c r="U4" s="131"/>
      <c r="V4" s="131"/>
      <c r="W4" s="131"/>
      <c r="X4" s="131"/>
      <c r="Y4" s="131"/>
      <c r="Z4" s="131"/>
    </row>
    <row r="5">
      <c r="A5" s="164" t="str">
        <f>hyperlink("https://issues.sierrawireless.com/browse/FWTOOLS-366", "FWTOOLS-366")</f>
        <v>FWTOOLS-366</v>
      </c>
      <c r="B5" s="40" t="s">
        <v>6004</v>
      </c>
      <c r="C5" s="40" t="s">
        <v>139</v>
      </c>
      <c r="D5" s="165">
        <v>43312.0</v>
      </c>
      <c r="E5" s="40" t="s">
        <v>92</v>
      </c>
      <c r="F5" s="40" t="s">
        <v>166</v>
      </c>
      <c r="G5" s="40" t="s">
        <v>5999</v>
      </c>
      <c r="H5" s="40" t="s">
        <v>5999</v>
      </c>
      <c r="I5" s="131"/>
      <c r="J5" s="131"/>
      <c r="K5" s="131"/>
      <c r="L5" s="131"/>
      <c r="M5" s="131"/>
      <c r="N5" s="131"/>
      <c r="O5" s="131"/>
      <c r="P5" s="131"/>
      <c r="Q5" s="131"/>
      <c r="R5" s="131"/>
      <c r="S5" s="131"/>
      <c r="T5" s="131"/>
      <c r="U5" s="131"/>
      <c r="V5" s="131"/>
      <c r="W5" s="131"/>
      <c r="X5" s="131"/>
      <c r="Y5" s="131"/>
      <c r="Z5" s="131"/>
    </row>
    <row r="6">
      <c r="A6" s="164" t="str">
        <f>hyperlink("https://issues.sierrawireless.com/browse/FWTOOLS-365", "FWTOOLS-365")</f>
        <v>FWTOOLS-365</v>
      </c>
      <c r="B6" s="40" t="s">
        <v>6011</v>
      </c>
      <c r="C6" s="40" t="s">
        <v>196</v>
      </c>
      <c r="D6" s="165">
        <v>43312.0</v>
      </c>
      <c r="E6" s="166">
        <v>43301.0</v>
      </c>
      <c r="F6" s="40" t="s">
        <v>6013</v>
      </c>
      <c r="G6" s="40" t="s">
        <v>155</v>
      </c>
      <c r="H6" s="40" t="s">
        <v>155</v>
      </c>
      <c r="I6" s="131"/>
      <c r="J6" s="131"/>
      <c r="K6" s="131"/>
      <c r="L6" s="131"/>
      <c r="M6" s="131"/>
      <c r="N6" s="131"/>
      <c r="O6" s="131"/>
      <c r="P6" s="131"/>
      <c r="Q6" s="131"/>
      <c r="R6" s="131"/>
      <c r="S6" s="131"/>
      <c r="T6" s="131"/>
      <c r="U6" s="131"/>
      <c r="V6" s="131"/>
      <c r="W6" s="131"/>
      <c r="X6" s="131"/>
      <c r="Y6" s="131"/>
      <c r="Z6" s="131"/>
    </row>
    <row r="7">
      <c r="A7" s="164" t="str">
        <f>hyperlink("https://issues.sierrawireless.com/browse/FWTOOLS-364", "FWTOOLS-364")</f>
        <v>FWTOOLS-364</v>
      </c>
      <c r="B7" s="40" t="s">
        <v>6020</v>
      </c>
      <c r="C7" s="40" t="s">
        <v>196</v>
      </c>
      <c r="D7" s="165">
        <v>43312.0</v>
      </c>
      <c r="E7" s="166">
        <v>43301.0</v>
      </c>
      <c r="F7" s="40" t="s">
        <v>6013</v>
      </c>
      <c r="G7" s="40" t="s">
        <v>155</v>
      </c>
      <c r="H7" s="40" t="s">
        <v>155</v>
      </c>
      <c r="I7" s="131"/>
      <c r="J7" s="131"/>
      <c r="K7" s="131"/>
      <c r="L7" s="131"/>
      <c r="M7" s="131"/>
      <c r="N7" s="131"/>
      <c r="O7" s="131"/>
      <c r="P7" s="131"/>
      <c r="Q7" s="131"/>
      <c r="R7" s="131"/>
      <c r="S7" s="131"/>
      <c r="T7" s="131"/>
      <c r="U7" s="131"/>
      <c r="V7" s="131"/>
      <c r="W7" s="131"/>
      <c r="X7" s="131"/>
      <c r="Y7" s="131"/>
      <c r="Z7" s="131"/>
    </row>
    <row r="8">
      <c r="A8" s="164" t="str">
        <f>hyperlink("https://issues.sierrawireless.com/browse/FWTOOLS-367", "FWTOOLS-367")</f>
        <v>FWTOOLS-367</v>
      </c>
      <c r="B8" s="40" t="s">
        <v>6025</v>
      </c>
      <c r="C8" s="40" t="s">
        <v>469</v>
      </c>
      <c r="D8" s="165">
        <v>43312.0</v>
      </c>
      <c r="E8" s="40" t="s">
        <v>92</v>
      </c>
      <c r="F8" s="40" t="s">
        <v>6027</v>
      </c>
      <c r="G8" s="40" t="s">
        <v>120</v>
      </c>
      <c r="H8" s="40" t="s">
        <v>120</v>
      </c>
      <c r="I8" s="131"/>
      <c r="J8" s="131"/>
      <c r="K8" s="131"/>
      <c r="L8" s="131"/>
      <c r="M8" s="131"/>
      <c r="N8" s="131"/>
      <c r="O8" s="131"/>
      <c r="P8" s="131"/>
      <c r="Q8" s="131"/>
      <c r="R8" s="131"/>
      <c r="S8" s="131"/>
      <c r="T8" s="131"/>
      <c r="U8" s="131"/>
      <c r="V8" s="131"/>
      <c r="W8" s="131"/>
      <c r="X8" s="131"/>
      <c r="Y8" s="131"/>
      <c r="Z8" s="131"/>
    </row>
    <row r="9">
      <c r="A9" s="168" t="str">
        <f>hyperlink("https://issues.sierrawireless.com/browse/FWTOOLS-369", "FWTOOLS-369")</f>
        <v>FWTOOLS-369</v>
      </c>
      <c r="B9" s="30" t="s">
        <v>6036</v>
      </c>
      <c r="C9" s="30" t="s">
        <v>252</v>
      </c>
      <c r="D9" s="35">
        <v>43312.0</v>
      </c>
      <c r="E9" s="169">
        <v>43327.0</v>
      </c>
      <c r="F9" s="30" t="s">
        <v>6013</v>
      </c>
      <c r="G9" s="30" t="s">
        <v>153</v>
      </c>
      <c r="H9" s="30" t="s">
        <v>155</v>
      </c>
    </row>
    <row r="10">
      <c r="A10" s="168" t="str">
        <f>hyperlink("https://issues.sierrawireless.com/browse/FWTOOLS-368", "FWTOOLS-368")</f>
        <v>FWTOOLS-368</v>
      </c>
      <c r="B10" s="30" t="s">
        <v>6042</v>
      </c>
      <c r="C10" s="30" t="s">
        <v>252</v>
      </c>
      <c r="D10" s="35">
        <v>43312.0</v>
      </c>
      <c r="E10" s="169">
        <v>43332.0</v>
      </c>
      <c r="F10" s="30" t="s">
        <v>6013</v>
      </c>
      <c r="G10" s="30" t="s">
        <v>153</v>
      </c>
      <c r="H10" s="30" t="s">
        <v>155</v>
      </c>
    </row>
    <row r="11">
      <c r="A11" s="164" t="str">
        <f>hyperlink("https://issues.sierrawireless.com/browse/FWTOOLS-370", "FWTOOLS-370")</f>
        <v>FWTOOLS-370</v>
      </c>
      <c r="B11" s="40" t="s">
        <v>6047</v>
      </c>
      <c r="C11" s="40" t="s">
        <v>139</v>
      </c>
      <c r="D11" s="165">
        <v>43312.0</v>
      </c>
      <c r="E11" s="40" t="s">
        <v>92</v>
      </c>
      <c r="F11" s="40" t="s">
        <v>166</v>
      </c>
      <c r="G11" s="40" t="s">
        <v>5999</v>
      </c>
      <c r="H11" s="40" t="s">
        <v>5999</v>
      </c>
      <c r="I11" s="131"/>
      <c r="J11" s="131"/>
      <c r="K11" s="131"/>
      <c r="L11" s="131"/>
      <c r="M11" s="131"/>
      <c r="N11" s="131"/>
      <c r="O11" s="131"/>
      <c r="P11" s="131"/>
      <c r="Q11" s="131"/>
      <c r="R11" s="131"/>
      <c r="S11" s="131"/>
      <c r="T11" s="131"/>
      <c r="U11" s="131"/>
      <c r="V11" s="131"/>
      <c r="W11" s="131"/>
      <c r="X11" s="131"/>
      <c r="Y11" s="131"/>
      <c r="Z11" s="131"/>
    </row>
    <row r="12">
      <c r="A12" s="164" t="str">
        <f>hyperlink("https://issues.sierrawireless.com/browse/FWTOOLS-360", "FWTOOLS-360")</f>
        <v>FWTOOLS-360</v>
      </c>
      <c r="B12" s="40" t="s">
        <v>6052</v>
      </c>
      <c r="C12" s="40" t="s">
        <v>139</v>
      </c>
      <c r="D12" s="165">
        <v>43311.0</v>
      </c>
      <c r="E12" s="40" t="s">
        <v>92</v>
      </c>
      <c r="F12" s="40" t="s">
        <v>166</v>
      </c>
      <c r="G12" s="40" t="s">
        <v>5999</v>
      </c>
      <c r="H12" s="40" t="s">
        <v>5999</v>
      </c>
      <c r="I12" s="131"/>
      <c r="J12" s="131"/>
      <c r="K12" s="131"/>
      <c r="L12" s="131"/>
      <c r="M12" s="131"/>
      <c r="N12" s="131"/>
      <c r="O12" s="131"/>
      <c r="P12" s="131"/>
      <c r="Q12" s="131"/>
      <c r="R12" s="131"/>
      <c r="S12" s="131"/>
      <c r="T12" s="131"/>
      <c r="U12" s="131"/>
      <c r="V12" s="131"/>
      <c r="W12" s="131"/>
      <c r="X12" s="131"/>
      <c r="Y12" s="131"/>
      <c r="Z12" s="131"/>
    </row>
    <row r="13">
      <c r="A13" s="164" t="str">
        <f>hyperlink("https://issues.sierrawireless.com/browse/FWTOOLS-361", "FWTOOLS-361")</f>
        <v>FWTOOLS-361</v>
      </c>
      <c r="B13" s="40" t="s">
        <v>6054</v>
      </c>
      <c r="C13" s="40" t="s">
        <v>139</v>
      </c>
      <c r="D13" s="165">
        <v>43311.0</v>
      </c>
      <c r="E13" s="40" t="s">
        <v>92</v>
      </c>
      <c r="F13" s="40" t="s">
        <v>166</v>
      </c>
      <c r="G13" s="40" t="s">
        <v>5999</v>
      </c>
      <c r="H13" s="40" t="s">
        <v>5999</v>
      </c>
      <c r="I13" s="131"/>
      <c r="J13" s="131"/>
      <c r="K13" s="131"/>
      <c r="L13" s="131"/>
      <c r="M13" s="131"/>
      <c r="N13" s="131"/>
      <c r="O13" s="131"/>
      <c r="P13" s="131"/>
      <c r="Q13" s="131"/>
      <c r="R13" s="131"/>
      <c r="S13" s="131"/>
      <c r="T13" s="131"/>
      <c r="U13" s="131"/>
      <c r="V13" s="131"/>
      <c r="W13" s="131"/>
      <c r="X13" s="131"/>
      <c r="Y13" s="131"/>
      <c r="Z13" s="131"/>
    </row>
    <row r="14">
      <c r="A14" s="164" t="str">
        <f>hyperlink("https://issues.sierrawireless.com/browse/FWTOOLS-362", "FWTOOLS-362")</f>
        <v>FWTOOLS-362</v>
      </c>
      <c r="B14" s="40" t="s">
        <v>6057</v>
      </c>
      <c r="C14" s="40" t="s">
        <v>139</v>
      </c>
      <c r="D14" s="165">
        <v>43311.0</v>
      </c>
      <c r="E14" s="40" t="s">
        <v>92</v>
      </c>
      <c r="F14" s="40" t="s">
        <v>166</v>
      </c>
      <c r="G14" s="40" t="s">
        <v>5999</v>
      </c>
      <c r="H14" s="40" t="s">
        <v>5999</v>
      </c>
      <c r="I14" s="131"/>
      <c r="J14" s="131"/>
      <c r="K14" s="131"/>
      <c r="L14" s="131"/>
      <c r="M14" s="131"/>
      <c r="N14" s="131"/>
      <c r="O14" s="131"/>
      <c r="P14" s="131"/>
      <c r="Q14" s="131"/>
      <c r="R14" s="131"/>
      <c r="S14" s="131"/>
      <c r="T14" s="131"/>
      <c r="U14" s="131"/>
      <c r="V14" s="131"/>
      <c r="W14" s="131"/>
      <c r="X14" s="131"/>
      <c r="Y14" s="131"/>
      <c r="Z14" s="131"/>
    </row>
    <row r="15">
      <c r="A15" s="168" t="str">
        <f>hyperlink("https://issues.sierrawireless.com/browse/FWTOOLS-359", "FWTOOLS-359")</f>
        <v>FWTOOLS-359</v>
      </c>
      <c r="B15" s="30" t="s">
        <v>6060</v>
      </c>
      <c r="C15" s="30" t="s">
        <v>496</v>
      </c>
      <c r="D15" s="35">
        <v>43308.0</v>
      </c>
      <c r="E15" s="30" t="s">
        <v>92</v>
      </c>
      <c r="F15" s="30" t="s">
        <v>166</v>
      </c>
      <c r="G15" s="30" t="s">
        <v>140</v>
      </c>
      <c r="H15" s="30" t="s">
        <v>1380</v>
      </c>
    </row>
    <row r="16">
      <c r="A16" s="164" t="str">
        <f>hyperlink("https://issues.sierrawireless.com/browse/FWTOOLS-356", "FWTOOLS-356")</f>
        <v>FWTOOLS-356</v>
      </c>
      <c r="B16" s="40" t="s">
        <v>6062</v>
      </c>
      <c r="C16" s="40" t="s">
        <v>196</v>
      </c>
      <c r="D16" s="165">
        <v>43307.0</v>
      </c>
      <c r="E16" s="166">
        <v>43301.0</v>
      </c>
      <c r="F16" s="40" t="s">
        <v>6013</v>
      </c>
      <c r="G16" s="40" t="s">
        <v>155</v>
      </c>
      <c r="H16" s="40" t="s">
        <v>155</v>
      </c>
      <c r="I16" s="131"/>
      <c r="J16" s="131"/>
      <c r="K16" s="131"/>
      <c r="L16" s="131"/>
      <c r="M16" s="131"/>
      <c r="N16" s="131"/>
      <c r="O16" s="131"/>
      <c r="P16" s="131"/>
      <c r="Q16" s="131"/>
      <c r="R16" s="131"/>
      <c r="S16" s="131"/>
      <c r="T16" s="131"/>
      <c r="U16" s="131"/>
      <c r="V16" s="131"/>
      <c r="W16" s="131"/>
      <c r="X16" s="131"/>
      <c r="Y16" s="131"/>
      <c r="Z16" s="131"/>
    </row>
    <row r="17">
      <c r="A17" s="164" t="str">
        <f>hyperlink("https://issues.sierrawireless.com/browse/FWTOOLS-348", "FWTOOLS-348")</f>
        <v>FWTOOLS-348</v>
      </c>
      <c r="B17" s="40" t="s">
        <v>6067</v>
      </c>
      <c r="C17" s="40" t="s">
        <v>196</v>
      </c>
      <c r="D17" s="165">
        <v>43304.0</v>
      </c>
      <c r="E17" s="166">
        <v>43305.0</v>
      </c>
      <c r="F17" s="40" t="s">
        <v>6013</v>
      </c>
      <c r="G17" s="40" t="s">
        <v>233</v>
      </c>
      <c r="H17" s="40" t="s">
        <v>233</v>
      </c>
      <c r="I17" s="131"/>
      <c r="J17" s="131"/>
      <c r="K17" s="131"/>
      <c r="L17" s="131"/>
      <c r="M17" s="131"/>
      <c r="N17" s="131"/>
      <c r="O17" s="131"/>
      <c r="P17" s="131"/>
      <c r="Q17" s="131"/>
      <c r="R17" s="131"/>
      <c r="S17" s="131"/>
      <c r="T17" s="131"/>
      <c r="U17" s="131"/>
      <c r="V17" s="131"/>
      <c r="W17" s="131"/>
      <c r="X17" s="131"/>
      <c r="Y17" s="131"/>
      <c r="Z17" s="131"/>
    </row>
    <row r="18">
      <c r="A18" s="164" t="str">
        <f>hyperlink("https://issues.sierrawireless.com/browse/FWTOOLS-349", "FWTOOLS-349")</f>
        <v>FWTOOLS-349</v>
      </c>
      <c r="B18" s="40" t="s">
        <v>6074</v>
      </c>
      <c r="C18" s="40" t="s">
        <v>469</v>
      </c>
      <c r="D18" s="165">
        <v>43304.0</v>
      </c>
      <c r="E18" s="40" t="s">
        <v>92</v>
      </c>
      <c r="F18" s="40" t="s">
        <v>6027</v>
      </c>
      <c r="G18" s="40" t="s">
        <v>120</v>
      </c>
      <c r="H18" s="40" t="s">
        <v>253</v>
      </c>
      <c r="I18" s="131"/>
      <c r="J18" s="131"/>
      <c r="K18" s="131"/>
      <c r="L18" s="131"/>
      <c r="M18" s="131"/>
      <c r="N18" s="131"/>
      <c r="O18" s="131"/>
      <c r="P18" s="131"/>
      <c r="Q18" s="131"/>
      <c r="R18" s="131"/>
      <c r="S18" s="131"/>
      <c r="T18" s="131"/>
      <c r="U18" s="131"/>
      <c r="V18" s="131"/>
      <c r="W18" s="131"/>
      <c r="X18" s="131"/>
      <c r="Y18" s="131"/>
      <c r="Z18" s="131"/>
    </row>
    <row r="19">
      <c r="A19" s="164" t="str">
        <f>hyperlink("https://issues.sierrawireless.com/browse/FWTOOLS-350", "FWTOOLS-350")</f>
        <v>FWTOOLS-350</v>
      </c>
      <c r="B19" s="40" t="s">
        <v>6084</v>
      </c>
      <c r="C19" s="40" t="s">
        <v>139</v>
      </c>
      <c r="D19" s="165">
        <v>43304.0</v>
      </c>
      <c r="E19" s="40" t="s">
        <v>92</v>
      </c>
      <c r="F19" s="40" t="s">
        <v>6027</v>
      </c>
      <c r="G19" s="40" t="s">
        <v>5999</v>
      </c>
      <c r="H19" s="40" t="s">
        <v>5999</v>
      </c>
      <c r="I19" s="131"/>
      <c r="J19" s="131"/>
      <c r="K19" s="131"/>
      <c r="L19" s="131"/>
      <c r="M19" s="131"/>
      <c r="N19" s="131"/>
      <c r="O19" s="131"/>
      <c r="P19" s="131"/>
      <c r="Q19" s="131"/>
      <c r="R19" s="131"/>
      <c r="S19" s="131"/>
      <c r="T19" s="131"/>
      <c r="U19" s="131"/>
      <c r="V19" s="131"/>
      <c r="W19" s="131"/>
      <c r="X19" s="131"/>
      <c r="Y19" s="131"/>
      <c r="Z19" s="131"/>
    </row>
    <row r="20">
      <c r="A20" s="164" t="str">
        <f>hyperlink("https://issues.sierrawireless.com/browse/FWTOOLS-338", "FWTOOLS-338")</f>
        <v>FWTOOLS-338</v>
      </c>
      <c r="B20" s="40" t="s">
        <v>6089</v>
      </c>
      <c r="C20" s="40" t="s">
        <v>139</v>
      </c>
      <c r="D20" s="165">
        <v>43301.0</v>
      </c>
      <c r="E20" s="40" t="s">
        <v>92</v>
      </c>
      <c r="F20" s="40" t="s">
        <v>6027</v>
      </c>
      <c r="G20" s="40" t="s">
        <v>5999</v>
      </c>
      <c r="H20" s="40" t="s">
        <v>5999</v>
      </c>
      <c r="I20" s="131"/>
      <c r="J20" s="131"/>
      <c r="K20" s="131"/>
      <c r="L20" s="131"/>
      <c r="M20" s="131"/>
      <c r="N20" s="131"/>
      <c r="O20" s="131"/>
      <c r="P20" s="131"/>
      <c r="Q20" s="131"/>
      <c r="R20" s="131"/>
      <c r="S20" s="131"/>
      <c r="T20" s="131"/>
      <c r="U20" s="131"/>
      <c r="V20" s="131"/>
      <c r="W20" s="131"/>
      <c r="X20" s="131"/>
      <c r="Y20" s="131"/>
      <c r="Z20" s="131"/>
    </row>
    <row r="21">
      <c r="A21" s="164" t="str">
        <f>hyperlink("https://issues.sierrawireless.com/browse/FWTOOLS-339", "FWTOOLS-339")</f>
        <v>FWTOOLS-339</v>
      </c>
      <c r="B21" s="40" t="s">
        <v>6093</v>
      </c>
      <c r="C21" s="40" t="s">
        <v>469</v>
      </c>
      <c r="D21" s="165">
        <v>43301.0</v>
      </c>
      <c r="E21" s="40" t="s">
        <v>92</v>
      </c>
      <c r="F21" s="40" t="s">
        <v>6027</v>
      </c>
      <c r="G21" s="40" t="s">
        <v>6095</v>
      </c>
      <c r="H21" s="40" t="s">
        <v>6095</v>
      </c>
      <c r="I21" s="131"/>
      <c r="J21" s="131"/>
      <c r="K21" s="131"/>
      <c r="L21" s="131"/>
      <c r="M21" s="131"/>
      <c r="N21" s="131"/>
      <c r="O21" s="131"/>
      <c r="P21" s="131"/>
      <c r="Q21" s="131"/>
      <c r="R21" s="131"/>
      <c r="S21" s="131"/>
      <c r="T21" s="131"/>
      <c r="U21" s="131"/>
      <c r="V21" s="131"/>
      <c r="W21" s="131"/>
      <c r="X21" s="131"/>
      <c r="Y21" s="131"/>
      <c r="Z21" s="131"/>
    </row>
    <row r="22">
      <c r="A22" s="164" t="str">
        <f>hyperlink("https://issues.sierrawireless.com/browse/FWTOOLS-344", "FWTOOLS-344")</f>
        <v>FWTOOLS-344</v>
      </c>
      <c r="B22" s="40" t="s">
        <v>6099</v>
      </c>
      <c r="C22" s="40" t="s">
        <v>196</v>
      </c>
      <c r="D22" s="165">
        <v>43301.0</v>
      </c>
      <c r="E22" s="166">
        <v>43301.0</v>
      </c>
      <c r="F22" s="40" t="s">
        <v>6013</v>
      </c>
      <c r="G22" s="40" t="s">
        <v>155</v>
      </c>
      <c r="H22" s="40" t="s">
        <v>155</v>
      </c>
      <c r="I22" s="131"/>
      <c r="J22" s="131"/>
      <c r="K22" s="131"/>
      <c r="L22" s="131"/>
      <c r="M22" s="131"/>
      <c r="N22" s="131"/>
      <c r="O22" s="131"/>
      <c r="P22" s="131"/>
      <c r="Q22" s="131"/>
      <c r="R22" s="131"/>
      <c r="S22" s="131"/>
      <c r="T22" s="131"/>
      <c r="U22" s="131"/>
      <c r="V22" s="131"/>
      <c r="W22" s="131"/>
      <c r="X22" s="131"/>
      <c r="Y22" s="131"/>
      <c r="Z22" s="131"/>
    </row>
    <row r="23">
      <c r="A23" s="164" t="str">
        <f>hyperlink("https://issues.sierrawireless.com/browse/FWTOOLS-343", "FWTOOLS-343")</f>
        <v>FWTOOLS-343</v>
      </c>
      <c r="B23" s="40" t="s">
        <v>6103</v>
      </c>
      <c r="C23" s="40" t="s">
        <v>196</v>
      </c>
      <c r="D23" s="165">
        <v>43301.0</v>
      </c>
      <c r="E23" s="166">
        <v>43301.0</v>
      </c>
      <c r="F23" s="40" t="s">
        <v>6013</v>
      </c>
      <c r="G23" s="40" t="s">
        <v>155</v>
      </c>
      <c r="H23" s="40" t="s">
        <v>155</v>
      </c>
      <c r="I23" s="131"/>
      <c r="J23" s="131"/>
      <c r="K23" s="131"/>
      <c r="L23" s="131"/>
      <c r="M23" s="131"/>
      <c r="N23" s="131"/>
      <c r="O23" s="131"/>
      <c r="P23" s="131"/>
      <c r="Q23" s="131"/>
      <c r="R23" s="131"/>
      <c r="S23" s="131"/>
      <c r="T23" s="131"/>
      <c r="U23" s="131"/>
      <c r="V23" s="131"/>
      <c r="W23" s="131"/>
      <c r="X23" s="131"/>
      <c r="Y23" s="131"/>
      <c r="Z23" s="131"/>
    </row>
    <row r="24">
      <c r="A24" s="164" t="str">
        <f>hyperlink("https://issues.sierrawireless.com/browse/FWTOOLS-342", "FWTOOLS-342")</f>
        <v>FWTOOLS-342</v>
      </c>
      <c r="B24" s="40" t="s">
        <v>6108</v>
      </c>
      <c r="C24" s="40" t="s">
        <v>469</v>
      </c>
      <c r="D24" s="165">
        <v>43301.0</v>
      </c>
      <c r="E24" s="40" t="s">
        <v>92</v>
      </c>
      <c r="F24" s="40" t="s">
        <v>6027</v>
      </c>
      <c r="G24" s="40" t="s">
        <v>1380</v>
      </c>
      <c r="H24" s="40" t="s">
        <v>6095</v>
      </c>
      <c r="I24" s="131"/>
      <c r="J24" s="131"/>
      <c r="K24" s="131"/>
      <c r="L24" s="131"/>
      <c r="M24" s="131"/>
      <c r="N24" s="131"/>
      <c r="O24" s="131"/>
      <c r="P24" s="131"/>
      <c r="Q24" s="131"/>
      <c r="R24" s="131"/>
      <c r="S24" s="131"/>
      <c r="T24" s="131"/>
      <c r="U24" s="131"/>
      <c r="V24" s="131"/>
      <c r="W24" s="131"/>
      <c r="X24" s="131"/>
      <c r="Y24" s="131"/>
      <c r="Z24" s="131"/>
    </row>
    <row r="25">
      <c r="A25" s="164" t="str">
        <f>hyperlink("https://issues.sierrawireless.com/browse/FWTOOLS-341", "FWTOOLS-341")</f>
        <v>FWTOOLS-341</v>
      </c>
      <c r="B25" s="40" t="s">
        <v>6113</v>
      </c>
      <c r="C25" s="40" t="s">
        <v>469</v>
      </c>
      <c r="D25" s="165">
        <v>43301.0</v>
      </c>
      <c r="E25" s="40" t="s">
        <v>92</v>
      </c>
      <c r="F25" s="40" t="s">
        <v>6027</v>
      </c>
      <c r="G25" s="40" t="s">
        <v>120</v>
      </c>
      <c r="H25" s="40" t="s">
        <v>6095</v>
      </c>
      <c r="I25" s="131"/>
      <c r="J25" s="131"/>
      <c r="K25" s="131"/>
      <c r="L25" s="131"/>
      <c r="M25" s="131"/>
      <c r="N25" s="131"/>
      <c r="O25" s="131"/>
      <c r="P25" s="131"/>
      <c r="Q25" s="131"/>
      <c r="R25" s="131"/>
      <c r="S25" s="131"/>
      <c r="T25" s="131"/>
      <c r="U25" s="131"/>
      <c r="V25" s="131"/>
      <c r="W25" s="131"/>
      <c r="X25" s="131"/>
      <c r="Y25" s="131"/>
      <c r="Z25" s="131"/>
    </row>
    <row r="26">
      <c r="A26" s="164" t="str">
        <f>hyperlink("https://issues.sierrawireless.com/browse/FWTOOLS-340", "FWTOOLS-340")</f>
        <v>FWTOOLS-340</v>
      </c>
      <c r="B26" s="40" t="s">
        <v>6121</v>
      </c>
      <c r="C26" s="40" t="s">
        <v>469</v>
      </c>
      <c r="D26" s="165">
        <v>43301.0</v>
      </c>
      <c r="E26" s="40" t="s">
        <v>92</v>
      </c>
      <c r="F26" s="40" t="s">
        <v>6027</v>
      </c>
      <c r="G26" s="40" t="s">
        <v>120</v>
      </c>
      <c r="H26" s="40" t="s">
        <v>6095</v>
      </c>
      <c r="I26" s="131"/>
      <c r="J26" s="131"/>
      <c r="K26" s="131"/>
      <c r="L26" s="131"/>
      <c r="M26" s="131"/>
      <c r="N26" s="131"/>
      <c r="O26" s="131"/>
      <c r="P26" s="131"/>
      <c r="Q26" s="131"/>
      <c r="R26" s="131"/>
      <c r="S26" s="131"/>
      <c r="T26" s="131"/>
      <c r="U26" s="131"/>
      <c r="V26" s="131"/>
      <c r="W26" s="131"/>
      <c r="X26" s="131"/>
      <c r="Y26" s="131"/>
      <c r="Z26" s="131"/>
    </row>
    <row r="27">
      <c r="A27" s="164" t="str">
        <f>hyperlink("https://issues.sierrawireless.com/browse/FWTOOLS-337", "FWTOOLS-337")</f>
        <v>FWTOOLS-337</v>
      </c>
      <c r="B27" s="40" t="s">
        <v>6125</v>
      </c>
      <c r="C27" s="40" t="s">
        <v>139</v>
      </c>
      <c r="D27" s="165">
        <v>43300.0</v>
      </c>
      <c r="E27" s="40" t="s">
        <v>92</v>
      </c>
      <c r="F27" s="40" t="s">
        <v>6027</v>
      </c>
      <c r="G27" s="40" t="s">
        <v>5999</v>
      </c>
      <c r="H27" s="40" t="s">
        <v>5999</v>
      </c>
      <c r="I27" s="131"/>
      <c r="J27" s="131"/>
      <c r="K27" s="131"/>
      <c r="L27" s="131"/>
      <c r="M27" s="131"/>
      <c r="N27" s="131"/>
      <c r="O27" s="131"/>
      <c r="P27" s="131"/>
      <c r="Q27" s="131"/>
      <c r="R27" s="131"/>
      <c r="S27" s="131"/>
      <c r="T27" s="131"/>
      <c r="U27" s="131"/>
      <c r="V27" s="131"/>
      <c r="W27" s="131"/>
      <c r="X27" s="131"/>
      <c r="Y27" s="131"/>
      <c r="Z27" s="131"/>
    </row>
    <row r="28">
      <c r="A28" s="168" t="str">
        <f>hyperlink("https://issues.sierrawireless.com/browse/FWTOOLS-335", "FWTOOLS-335")</f>
        <v>FWTOOLS-335</v>
      </c>
      <c r="B28" s="30" t="s">
        <v>6128</v>
      </c>
      <c r="C28" s="30" t="s">
        <v>469</v>
      </c>
      <c r="D28" s="35">
        <v>43300.0</v>
      </c>
      <c r="E28" s="30" t="s">
        <v>92</v>
      </c>
      <c r="F28" s="30" t="s">
        <v>6130</v>
      </c>
      <c r="G28" s="30" t="s">
        <v>349</v>
      </c>
      <c r="H28" s="30" t="s">
        <v>148</v>
      </c>
    </row>
    <row r="29">
      <c r="A29" s="164" t="str">
        <f>hyperlink("https://issues.sierrawireless.com/browse/FWTOOLS-336", "FWTOOLS-336")</f>
        <v>FWTOOLS-336</v>
      </c>
      <c r="B29" s="40" t="s">
        <v>6134</v>
      </c>
      <c r="C29" s="40" t="s">
        <v>469</v>
      </c>
      <c r="D29" s="165">
        <v>43300.0</v>
      </c>
      <c r="E29" s="40" t="s">
        <v>92</v>
      </c>
      <c r="F29" s="40" t="s">
        <v>5987</v>
      </c>
      <c r="G29" s="40" t="s">
        <v>148</v>
      </c>
      <c r="H29" s="40" t="s">
        <v>148</v>
      </c>
      <c r="I29" s="167">
        <v>43313.0</v>
      </c>
      <c r="J29" s="131"/>
      <c r="K29" s="131"/>
      <c r="L29" s="131"/>
      <c r="M29" s="131"/>
      <c r="N29" s="131"/>
      <c r="O29" s="131"/>
      <c r="P29" s="131"/>
      <c r="Q29" s="131"/>
      <c r="R29" s="131"/>
      <c r="S29" s="131"/>
      <c r="T29" s="131"/>
      <c r="U29" s="131"/>
      <c r="V29" s="131"/>
      <c r="W29" s="131"/>
      <c r="X29" s="131"/>
      <c r="Y29" s="131"/>
      <c r="Z29" s="131"/>
    </row>
    <row r="30">
      <c r="A30" s="164" t="str">
        <f>hyperlink("https://issues.sierrawireless.com/browse/FWTOOLS-334", "FWTOOLS-334")</f>
        <v>FWTOOLS-334</v>
      </c>
      <c r="B30" s="40" t="s">
        <v>6139</v>
      </c>
      <c r="C30" s="40" t="s">
        <v>469</v>
      </c>
      <c r="D30" s="165">
        <v>43299.0</v>
      </c>
      <c r="E30" s="40" t="s">
        <v>92</v>
      </c>
      <c r="F30" s="40" t="s">
        <v>6027</v>
      </c>
      <c r="G30" s="40" t="s">
        <v>120</v>
      </c>
      <c r="H30" s="40" t="s">
        <v>6095</v>
      </c>
      <c r="I30" s="131"/>
      <c r="J30" s="131"/>
      <c r="K30" s="131"/>
      <c r="L30" s="131"/>
      <c r="M30" s="131"/>
      <c r="N30" s="131"/>
      <c r="O30" s="131"/>
      <c r="P30" s="131"/>
      <c r="Q30" s="131"/>
      <c r="R30" s="131"/>
      <c r="S30" s="131"/>
      <c r="T30" s="131"/>
      <c r="U30" s="131"/>
      <c r="V30" s="131"/>
      <c r="W30" s="131"/>
      <c r="X30" s="131"/>
      <c r="Y30" s="131"/>
      <c r="Z30" s="131"/>
    </row>
    <row r="31">
      <c r="A31" s="164" t="str">
        <f>hyperlink("https://issues.sierrawireless.com/browse/FWTOOLS-331", "FWTOOLS-331")</f>
        <v>FWTOOLS-331</v>
      </c>
      <c r="B31" s="40" t="s">
        <v>6145</v>
      </c>
      <c r="C31" s="40" t="s">
        <v>469</v>
      </c>
      <c r="D31" s="165">
        <v>43298.0</v>
      </c>
      <c r="E31" s="40" t="s">
        <v>92</v>
      </c>
      <c r="F31" s="40" t="s">
        <v>6027</v>
      </c>
      <c r="G31" s="40" t="s">
        <v>120</v>
      </c>
      <c r="H31" s="40" t="s">
        <v>6095</v>
      </c>
      <c r="I31" s="131"/>
      <c r="J31" s="131"/>
      <c r="K31" s="131"/>
      <c r="L31" s="131"/>
      <c r="M31" s="131"/>
      <c r="N31" s="131"/>
      <c r="O31" s="131"/>
      <c r="P31" s="131"/>
      <c r="Q31" s="131"/>
      <c r="R31" s="131"/>
      <c r="S31" s="131"/>
      <c r="T31" s="131"/>
      <c r="U31" s="131"/>
      <c r="V31" s="131"/>
      <c r="W31" s="131"/>
      <c r="X31" s="131"/>
      <c r="Y31" s="131"/>
      <c r="Z31" s="131"/>
    </row>
    <row r="32">
      <c r="A32" s="164" t="str">
        <f>hyperlink("https://issues.sierrawireless.com/browse/FWTOOLS-332", "FWTOOLS-332")</f>
        <v>FWTOOLS-332</v>
      </c>
      <c r="B32" s="40" t="s">
        <v>6155</v>
      </c>
      <c r="C32" s="40" t="s">
        <v>469</v>
      </c>
      <c r="D32" s="165">
        <v>43298.0</v>
      </c>
      <c r="E32" s="40" t="s">
        <v>92</v>
      </c>
      <c r="F32" s="40" t="s">
        <v>166</v>
      </c>
      <c r="G32" s="40" t="s">
        <v>120</v>
      </c>
      <c r="H32" s="40" t="s">
        <v>6095</v>
      </c>
      <c r="I32" s="131"/>
      <c r="J32" s="131"/>
      <c r="K32" s="131"/>
      <c r="L32" s="131"/>
      <c r="M32" s="131"/>
      <c r="N32" s="131"/>
      <c r="O32" s="131"/>
      <c r="P32" s="131"/>
      <c r="Q32" s="131"/>
      <c r="R32" s="131"/>
      <c r="S32" s="131"/>
      <c r="T32" s="131"/>
      <c r="U32" s="131"/>
      <c r="V32" s="131"/>
      <c r="W32" s="131"/>
      <c r="X32" s="131"/>
      <c r="Y32" s="131"/>
      <c r="Z32" s="131"/>
    </row>
    <row r="33">
      <c r="A33" s="164" t="str">
        <f>hyperlink("https://issues.sierrawireless.com/browse/FWTOOLS-330", "FWTOOLS-330")</f>
        <v>FWTOOLS-330</v>
      </c>
      <c r="B33" s="40" t="s">
        <v>6160</v>
      </c>
      <c r="C33" s="40" t="s">
        <v>139</v>
      </c>
      <c r="D33" s="165">
        <v>43297.0</v>
      </c>
      <c r="E33" s="40" t="s">
        <v>92</v>
      </c>
      <c r="F33" s="40" t="s">
        <v>6027</v>
      </c>
      <c r="G33" s="40" t="s">
        <v>5999</v>
      </c>
      <c r="H33" s="40" t="s">
        <v>5999</v>
      </c>
      <c r="I33" s="131"/>
      <c r="J33" s="131"/>
      <c r="K33" s="131"/>
      <c r="L33" s="131"/>
      <c r="M33" s="131"/>
      <c r="N33" s="131"/>
      <c r="O33" s="131"/>
      <c r="P33" s="131"/>
      <c r="Q33" s="131"/>
      <c r="R33" s="131"/>
      <c r="S33" s="131"/>
      <c r="T33" s="131"/>
      <c r="U33" s="131"/>
      <c r="V33" s="131"/>
      <c r="W33" s="131"/>
      <c r="X33" s="131"/>
      <c r="Y33" s="131"/>
      <c r="Z33" s="131"/>
    </row>
    <row r="34">
      <c r="A34" s="164" t="str">
        <f>hyperlink("https://issues.sierrawireless.com/browse/FWTOOLS-328", "FWTOOLS-328")</f>
        <v>FWTOOLS-328</v>
      </c>
      <c r="B34" s="40" t="s">
        <v>6164</v>
      </c>
      <c r="C34" s="40" t="s">
        <v>469</v>
      </c>
      <c r="D34" s="165">
        <v>43297.0</v>
      </c>
      <c r="E34" s="40" t="s">
        <v>92</v>
      </c>
      <c r="F34" s="40" t="s">
        <v>6027</v>
      </c>
      <c r="G34" s="40" t="s">
        <v>6095</v>
      </c>
      <c r="H34" s="40" t="s">
        <v>6095</v>
      </c>
      <c r="I34" s="131"/>
      <c r="J34" s="131"/>
      <c r="K34" s="131"/>
      <c r="L34" s="131"/>
      <c r="M34" s="131"/>
      <c r="N34" s="131"/>
      <c r="O34" s="131"/>
      <c r="P34" s="131"/>
      <c r="Q34" s="131"/>
      <c r="R34" s="131"/>
      <c r="S34" s="131"/>
      <c r="T34" s="131"/>
      <c r="U34" s="131"/>
      <c r="V34" s="131"/>
      <c r="W34" s="131"/>
      <c r="X34" s="131"/>
      <c r="Y34" s="131"/>
      <c r="Z34" s="131"/>
    </row>
    <row r="35">
      <c r="A35" s="164" t="str">
        <f>hyperlink("https://issues.sierrawireless.com/browse/FWTOOLS-327", "FWTOOLS-327")</f>
        <v>FWTOOLS-327</v>
      </c>
      <c r="B35" s="40" t="s">
        <v>6169</v>
      </c>
      <c r="C35" s="40" t="s">
        <v>196</v>
      </c>
      <c r="D35" s="165">
        <v>43295.0</v>
      </c>
      <c r="E35" s="166">
        <v>43297.0</v>
      </c>
      <c r="F35" s="40" t="s">
        <v>6013</v>
      </c>
      <c r="G35" s="40" t="s">
        <v>233</v>
      </c>
      <c r="H35" s="40" t="s">
        <v>233</v>
      </c>
      <c r="I35" s="131"/>
      <c r="J35" s="131"/>
      <c r="K35" s="131"/>
      <c r="L35" s="131"/>
      <c r="M35" s="131"/>
      <c r="N35" s="131"/>
      <c r="O35" s="131"/>
      <c r="P35" s="131"/>
      <c r="Q35" s="131"/>
      <c r="R35" s="131"/>
      <c r="S35" s="131"/>
      <c r="T35" s="131"/>
      <c r="U35" s="131"/>
      <c r="V35" s="131"/>
      <c r="W35" s="131"/>
      <c r="X35" s="131"/>
      <c r="Y35" s="131"/>
      <c r="Z35" s="131"/>
    </row>
    <row r="36">
      <c r="A36" s="164" t="str">
        <f>hyperlink("https://issues.sierrawireless.com/browse/FWTOOLS-326", "FWTOOLS-326")</f>
        <v>FWTOOLS-326</v>
      </c>
      <c r="B36" s="40" t="s">
        <v>6176</v>
      </c>
      <c r="C36" s="40" t="s">
        <v>196</v>
      </c>
      <c r="D36" s="165">
        <v>43294.0</v>
      </c>
      <c r="E36" s="166">
        <v>43304.0</v>
      </c>
      <c r="F36" s="40" t="s">
        <v>6013</v>
      </c>
      <c r="G36" s="40" t="s">
        <v>148</v>
      </c>
      <c r="H36" s="40" t="s">
        <v>148</v>
      </c>
      <c r="I36" s="131"/>
      <c r="J36" s="131"/>
      <c r="K36" s="131"/>
      <c r="L36" s="131"/>
      <c r="M36" s="131"/>
      <c r="N36" s="131"/>
      <c r="O36" s="131"/>
      <c r="P36" s="131"/>
      <c r="Q36" s="131"/>
      <c r="R36" s="131"/>
      <c r="S36" s="131"/>
      <c r="T36" s="131"/>
      <c r="U36" s="131"/>
      <c r="V36" s="131"/>
      <c r="W36" s="131"/>
      <c r="X36" s="131"/>
      <c r="Y36" s="131"/>
      <c r="Z36" s="131"/>
    </row>
    <row r="37">
      <c r="A37" s="164" t="str">
        <f>hyperlink("https://issues.sierrawireless.com/browse/FWTOOLS-322", "FWTOOLS-322")</f>
        <v>FWTOOLS-322</v>
      </c>
      <c r="B37" s="40" t="s">
        <v>6181</v>
      </c>
      <c r="C37" s="40" t="s">
        <v>252</v>
      </c>
      <c r="D37" s="165">
        <v>43293.0</v>
      </c>
      <c r="E37" s="166">
        <v>43291.0</v>
      </c>
      <c r="F37" s="40" t="s">
        <v>6013</v>
      </c>
      <c r="G37" s="40" t="s">
        <v>148</v>
      </c>
      <c r="H37" s="40" t="s">
        <v>233</v>
      </c>
      <c r="I37" s="131"/>
      <c r="J37" s="131"/>
      <c r="K37" s="131"/>
      <c r="L37" s="131"/>
      <c r="M37" s="131"/>
      <c r="N37" s="131"/>
      <c r="O37" s="131"/>
      <c r="P37" s="131"/>
      <c r="Q37" s="131"/>
      <c r="R37" s="131"/>
      <c r="S37" s="131"/>
      <c r="T37" s="131"/>
      <c r="U37" s="131"/>
      <c r="V37" s="131"/>
      <c r="W37" s="131"/>
      <c r="X37" s="131"/>
      <c r="Y37" s="131"/>
      <c r="Z37" s="131"/>
    </row>
    <row r="38">
      <c r="A38" s="164" t="str">
        <f>hyperlink("https://issues.sierrawireless.com/browse/FWTOOLS-324", "FWTOOLS-324")</f>
        <v>FWTOOLS-324</v>
      </c>
      <c r="B38" s="40" t="s">
        <v>6188</v>
      </c>
      <c r="C38" s="40" t="s">
        <v>469</v>
      </c>
      <c r="D38" s="165">
        <v>43293.0</v>
      </c>
      <c r="E38" s="40" t="s">
        <v>92</v>
      </c>
      <c r="F38" s="40" t="s">
        <v>166</v>
      </c>
      <c r="G38" s="40" t="s">
        <v>6192</v>
      </c>
      <c r="H38" s="40" t="s">
        <v>6192</v>
      </c>
      <c r="I38" s="131"/>
      <c r="J38" s="131"/>
      <c r="K38" s="131"/>
      <c r="L38" s="131"/>
      <c r="M38" s="131"/>
      <c r="N38" s="131"/>
      <c r="O38" s="131"/>
      <c r="P38" s="131"/>
      <c r="Q38" s="131"/>
      <c r="R38" s="131"/>
      <c r="S38" s="131"/>
      <c r="T38" s="131"/>
      <c r="U38" s="131"/>
      <c r="V38" s="131"/>
      <c r="W38" s="131"/>
      <c r="X38" s="131"/>
      <c r="Y38" s="131"/>
      <c r="Z38" s="131"/>
    </row>
    <row r="39">
      <c r="A39" s="164" t="str">
        <f>hyperlink("https://issues.sierrawireless.com/browse/FWTOOLS-325", "FWTOOLS-325")</f>
        <v>FWTOOLS-325</v>
      </c>
      <c r="B39" s="40" t="s">
        <v>6197</v>
      </c>
      <c r="C39" s="40" t="s">
        <v>196</v>
      </c>
      <c r="D39" s="165">
        <v>43293.0</v>
      </c>
      <c r="E39" s="166">
        <v>43294.0</v>
      </c>
      <c r="F39" s="40" t="s">
        <v>6013</v>
      </c>
      <c r="G39" s="40" t="s">
        <v>233</v>
      </c>
      <c r="H39" s="40" t="s">
        <v>233</v>
      </c>
      <c r="I39" s="131"/>
      <c r="J39" s="131"/>
      <c r="K39" s="131"/>
      <c r="L39" s="131"/>
      <c r="M39" s="131"/>
      <c r="N39" s="131"/>
      <c r="O39" s="131"/>
      <c r="P39" s="131"/>
      <c r="Q39" s="131"/>
      <c r="R39" s="131"/>
      <c r="S39" s="131"/>
      <c r="T39" s="131"/>
      <c r="U39" s="131"/>
      <c r="V39" s="131"/>
      <c r="W39" s="131"/>
      <c r="X39" s="131"/>
      <c r="Y39" s="131"/>
      <c r="Z39" s="131"/>
    </row>
    <row r="40">
      <c r="A40" s="164" t="str">
        <f>hyperlink("https://issues.sierrawireless.com/browse/FWTOOLS-323", "FWTOOLS-323")</f>
        <v>FWTOOLS-323</v>
      </c>
      <c r="B40" s="40" t="s">
        <v>6200</v>
      </c>
      <c r="C40" s="40" t="s">
        <v>469</v>
      </c>
      <c r="D40" s="165">
        <v>43293.0</v>
      </c>
      <c r="E40" s="40" t="s">
        <v>92</v>
      </c>
      <c r="F40" s="40" t="s">
        <v>5987</v>
      </c>
      <c r="G40" s="40" t="s">
        <v>148</v>
      </c>
      <c r="H40" s="40" t="s">
        <v>490</v>
      </c>
      <c r="I40" s="167">
        <v>43313.0</v>
      </c>
      <c r="J40" s="131"/>
      <c r="K40" s="131"/>
      <c r="L40" s="131"/>
      <c r="M40" s="131"/>
      <c r="N40" s="131"/>
      <c r="O40" s="131"/>
      <c r="P40" s="131"/>
      <c r="Q40" s="131"/>
      <c r="R40" s="131"/>
      <c r="S40" s="131"/>
      <c r="T40" s="131"/>
      <c r="U40" s="131"/>
      <c r="V40" s="131"/>
      <c r="W40" s="131"/>
      <c r="X40" s="131"/>
      <c r="Y40" s="131"/>
      <c r="Z40" s="131"/>
    </row>
    <row r="41">
      <c r="A41" s="164" t="str">
        <f>hyperlink("https://issues.sierrawireless.com/browse/FWTOOLS-321", "FWTOOLS-321")</f>
        <v>FWTOOLS-321</v>
      </c>
      <c r="B41" s="40" t="s">
        <v>6207</v>
      </c>
      <c r="C41" s="40" t="s">
        <v>196</v>
      </c>
      <c r="D41" s="165">
        <v>43292.0</v>
      </c>
      <c r="E41" s="166">
        <v>43292.0</v>
      </c>
      <c r="F41" s="40" t="s">
        <v>6013</v>
      </c>
      <c r="G41" s="40" t="s">
        <v>233</v>
      </c>
      <c r="H41" s="40" t="s">
        <v>233</v>
      </c>
      <c r="I41" s="131"/>
      <c r="J41" s="131"/>
      <c r="K41" s="131"/>
      <c r="L41" s="131"/>
      <c r="M41" s="131"/>
      <c r="N41" s="131"/>
      <c r="O41" s="131"/>
      <c r="P41" s="131"/>
      <c r="Q41" s="131"/>
      <c r="R41" s="131"/>
      <c r="S41" s="131"/>
      <c r="T41" s="131"/>
      <c r="U41" s="131"/>
      <c r="V41" s="131"/>
      <c r="W41" s="131"/>
      <c r="X41" s="131"/>
      <c r="Y41" s="131"/>
      <c r="Z41" s="131"/>
    </row>
    <row r="42">
      <c r="A42" s="164" t="str">
        <f>hyperlink("https://issues.sierrawireless.com/browse/FWTOOLS-320", "FWTOOLS-320")</f>
        <v>FWTOOLS-320</v>
      </c>
      <c r="B42" s="40" t="s">
        <v>6213</v>
      </c>
      <c r="C42" s="40" t="s">
        <v>196</v>
      </c>
      <c r="D42" s="165">
        <v>43291.0</v>
      </c>
      <c r="E42" s="166">
        <v>43291.0</v>
      </c>
      <c r="F42" s="40" t="s">
        <v>6013</v>
      </c>
      <c r="G42" s="40" t="s">
        <v>233</v>
      </c>
      <c r="H42" s="40" t="s">
        <v>233</v>
      </c>
      <c r="I42" s="131"/>
      <c r="J42" s="131"/>
      <c r="K42" s="131"/>
      <c r="L42" s="131"/>
      <c r="M42" s="131"/>
      <c r="N42" s="131"/>
      <c r="O42" s="131"/>
      <c r="P42" s="131"/>
      <c r="Q42" s="131"/>
      <c r="R42" s="131"/>
      <c r="S42" s="131"/>
      <c r="T42" s="131"/>
      <c r="U42" s="131"/>
      <c r="V42" s="131"/>
      <c r="W42" s="131"/>
      <c r="X42" s="131"/>
      <c r="Y42" s="131"/>
      <c r="Z42" s="131"/>
    </row>
    <row r="43">
      <c r="A43" s="164" t="str">
        <f>hyperlink("https://issues.sierrawireless.com/browse/FWTOOLS-319", "FWTOOLS-319")</f>
        <v>FWTOOLS-319</v>
      </c>
      <c r="B43" s="40" t="s">
        <v>6216</v>
      </c>
      <c r="C43" s="40" t="s">
        <v>469</v>
      </c>
      <c r="D43" s="165">
        <v>43290.0</v>
      </c>
      <c r="E43" s="40" t="s">
        <v>92</v>
      </c>
      <c r="F43" s="40" t="s">
        <v>5987</v>
      </c>
      <c r="G43" s="40" t="s">
        <v>148</v>
      </c>
      <c r="H43" s="40" t="s">
        <v>170</v>
      </c>
      <c r="I43" s="167">
        <v>43313.0</v>
      </c>
      <c r="J43" s="131"/>
      <c r="K43" s="131"/>
      <c r="L43" s="131"/>
      <c r="M43" s="131"/>
      <c r="N43" s="131"/>
      <c r="O43" s="131"/>
      <c r="P43" s="131"/>
      <c r="Q43" s="131"/>
      <c r="R43" s="131"/>
      <c r="S43" s="131"/>
      <c r="T43" s="131"/>
      <c r="U43" s="131"/>
      <c r="V43" s="131"/>
      <c r="W43" s="131"/>
      <c r="X43" s="131"/>
      <c r="Y43" s="131"/>
      <c r="Z43" s="131"/>
    </row>
    <row r="44">
      <c r="A44" s="164" t="str">
        <f>hyperlink("https://issues.sierrawireless.com/browse/FWTOOLS-318", "FWTOOLS-318")</f>
        <v>FWTOOLS-318</v>
      </c>
      <c r="B44" s="40" t="s">
        <v>6224</v>
      </c>
      <c r="C44" s="40" t="s">
        <v>469</v>
      </c>
      <c r="D44" s="165">
        <v>43287.0</v>
      </c>
      <c r="E44" s="40" t="s">
        <v>92</v>
      </c>
      <c r="F44" s="40" t="s">
        <v>6027</v>
      </c>
      <c r="G44" s="40" t="s">
        <v>120</v>
      </c>
      <c r="H44" s="40" t="s">
        <v>120</v>
      </c>
      <c r="I44" s="167">
        <v>43287.0</v>
      </c>
      <c r="J44" s="131"/>
      <c r="K44" s="131"/>
      <c r="L44" s="131"/>
      <c r="M44" s="131"/>
      <c r="N44" s="131"/>
      <c r="O44" s="131"/>
      <c r="P44" s="131"/>
      <c r="Q44" s="131"/>
      <c r="R44" s="131"/>
      <c r="S44" s="131"/>
      <c r="T44" s="131"/>
      <c r="U44" s="131"/>
      <c r="V44" s="131"/>
      <c r="W44" s="131"/>
      <c r="X44" s="131"/>
      <c r="Y44" s="131"/>
      <c r="Z44" s="131"/>
    </row>
    <row r="45">
      <c r="A45" s="164" t="str">
        <f>hyperlink("https://issues.sierrawireless.com/browse/FWTOOLS-316", "FWTOOLS-316")</f>
        <v>FWTOOLS-316</v>
      </c>
      <c r="B45" s="40" t="s">
        <v>6231</v>
      </c>
      <c r="C45" s="40" t="s">
        <v>277</v>
      </c>
      <c r="D45" s="165">
        <v>43286.0</v>
      </c>
      <c r="E45" s="166">
        <v>43287.0</v>
      </c>
      <c r="F45" s="40" t="s">
        <v>6013</v>
      </c>
      <c r="G45" s="40" t="s">
        <v>153</v>
      </c>
      <c r="H45" s="40" t="s">
        <v>233</v>
      </c>
      <c r="I45" s="131"/>
      <c r="J45" s="131"/>
      <c r="K45" s="131"/>
      <c r="L45" s="131"/>
      <c r="M45" s="131"/>
      <c r="N45" s="131"/>
      <c r="O45" s="131"/>
      <c r="P45" s="131"/>
      <c r="Q45" s="131"/>
      <c r="R45" s="131"/>
      <c r="S45" s="131"/>
      <c r="T45" s="131"/>
      <c r="U45" s="131"/>
      <c r="V45" s="131"/>
      <c r="W45" s="131"/>
      <c r="X45" s="131"/>
      <c r="Y45" s="131"/>
      <c r="Z45" s="131"/>
    </row>
    <row r="46">
      <c r="A46" s="168" t="str">
        <f>hyperlink("https://issues.sierrawireless.com/browse/FWTOOLS-317", "FWTOOLS-317")</f>
        <v>FWTOOLS-317</v>
      </c>
      <c r="B46" s="30" t="s">
        <v>6235</v>
      </c>
      <c r="C46" s="30" t="s">
        <v>496</v>
      </c>
      <c r="D46" s="35">
        <v>43286.0</v>
      </c>
      <c r="E46" s="30" t="s">
        <v>92</v>
      </c>
      <c r="F46" s="30" t="s">
        <v>5987</v>
      </c>
      <c r="G46" s="30" t="s">
        <v>140</v>
      </c>
      <c r="H46" s="30" t="s">
        <v>6237</v>
      </c>
    </row>
    <row r="47">
      <c r="A47" s="164" t="str">
        <f>hyperlink("https://issues.sierrawireless.com/browse/FWTOOLS-313", "FWTOOLS-313")</f>
        <v>FWTOOLS-313</v>
      </c>
      <c r="B47" s="40" t="s">
        <v>6240</v>
      </c>
      <c r="C47" s="40" t="s">
        <v>139</v>
      </c>
      <c r="D47" s="165">
        <v>43285.0</v>
      </c>
      <c r="E47" s="40" t="s">
        <v>92</v>
      </c>
      <c r="F47" s="40" t="s">
        <v>6027</v>
      </c>
      <c r="G47" s="40" t="s">
        <v>5999</v>
      </c>
      <c r="H47" s="40" t="s">
        <v>5999</v>
      </c>
      <c r="I47" s="167">
        <v>43287.0</v>
      </c>
      <c r="J47" s="131"/>
      <c r="K47" s="131"/>
      <c r="L47" s="131"/>
      <c r="M47" s="131"/>
      <c r="N47" s="131"/>
      <c r="O47" s="131"/>
      <c r="P47" s="131"/>
      <c r="Q47" s="131"/>
      <c r="R47" s="131"/>
      <c r="S47" s="131"/>
      <c r="T47" s="131"/>
      <c r="U47" s="131"/>
      <c r="V47" s="131"/>
      <c r="W47" s="131"/>
      <c r="X47" s="131"/>
      <c r="Y47" s="131"/>
      <c r="Z47" s="131"/>
    </row>
    <row r="48">
      <c r="A48" s="164" t="str">
        <f>hyperlink("https://issues.sierrawireless.com/browse/FWTOOLS-315", "FWTOOLS-315")</f>
        <v>FWTOOLS-315</v>
      </c>
      <c r="B48" s="40" t="s">
        <v>6245</v>
      </c>
      <c r="C48" s="40" t="s">
        <v>139</v>
      </c>
      <c r="D48" s="165">
        <v>43285.0</v>
      </c>
      <c r="E48" s="40" t="s">
        <v>92</v>
      </c>
      <c r="F48" s="40" t="s">
        <v>6027</v>
      </c>
      <c r="G48" s="40" t="s">
        <v>5999</v>
      </c>
      <c r="H48" s="40" t="s">
        <v>5999</v>
      </c>
      <c r="I48" s="167">
        <v>43287.0</v>
      </c>
      <c r="J48" s="131"/>
      <c r="K48" s="131"/>
      <c r="L48" s="131"/>
      <c r="M48" s="131"/>
      <c r="N48" s="131"/>
      <c r="O48" s="131"/>
      <c r="P48" s="131"/>
      <c r="Q48" s="131"/>
      <c r="R48" s="131"/>
      <c r="S48" s="131"/>
      <c r="T48" s="131"/>
      <c r="U48" s="131"/>
      <c r="V48" s="131"/>
      <c r="W48" s="131"/>
      <c r="X48" s="131"/>
      <c r="Y48" s="131"/>
      <c r="Z48" s="131"/>
    </row>
    <row r="49">
      <c r="A49" s="176" t="str">
        <f>hyperlink("https://issues.sierrawireless.com/browse/FWTOOLS-314", "FWTOOLS-314")</f>
        <v>FWTOOLS-314</v>
      </c>
      <c r="B49" s="94" t="s">
        <v>6254</v>
      </c>
      <c r="C49" s="94" t="s">
        <v>196</v>
      </c>
      <c r="D49" s="177">
        <v>43285.0</v>
      </c>
      <c r="E49" s="178">
        <v>43284.0</v>
      </c>
      <c r="F49" s="94" t="s">
        <v>6013</v>
      </c>
      <c r="G49" s="94" t="s">
        <v>153</v>
      </c>
      <c r="H49" s="94" t="s">
        <v>153</v>
      </c>
      <c r="I49" s="179"/>
      <c r="J49" s="179"/>
      <c r="K49" s="179"/>
      <c r="L49" s="179"/>
      <c r="M49" s="179"/>
      <c r="N49" s="179"/>
      <c r="O49" s="179"/>
      <c r="P49" s="179"/>
      <c r="Q49" s="179"/>
      <c r="R49" s="179"/>
      <c r="S49" s="179"/>
      <c r="T49" s="179"/>
      <c r="U49" s="179"/>
      <c r="V49" s="179"/>
      <c r="W49" s="179"/>
      <c r="X49" s="179"/>
      <c r="Y49" s="179"/>
      <c r="Z49" s="179"/>
    </row>
    <row r="50">
      <c r="A50" s="164" t="str">
        <f>hyperlink("https://issues.sierrawireless.com/browse/FWTOOLS-310", "FWTOOLS-310")</f>
        <v>FWTOOLS-310</v>
      </c>
      <c r="B50" s="40" t="s">
        <v>6264</v>
      </c>
      <c r="C50" s="40" t="s">
        <v>139</v>
      </c>
      <c r="D50" s="165">
        <v>43284.0</v>
      </c>
      <c r="E50" s="40" t="s">
        <v>92</v>
      </c>
      <c r="F50" s="40" t="s">
        <v>6027</v>
      </c>
      <c r="G50" s="40" t="s">
        <v>5999</v>
      </c>
      <c r="H50" s="40" t="s">
        <v>5999</v>
      </c>
      <c r="I50" s="167">
        <v>43287.0</v>
      </c>
      <c r="J50" s="131"/>
      <c r="K50" s="131"/>
      <c r="L50" s="131"/>
      <c r="M50" s="131"/>
      <c r="N50" s="131"/>
      <c r="O50" s="131"/>
      <c r="P50" s="131"/>
      <c r="Q50" s="131"/>
      <c r="R50" s="131"/>
      <c r="S50" s="131"/>
      <c r="T50" s="131"/>
      <c r="U50" s="131"/>
      <c r="V50" s="131"/>
      <c r="W50" s="131"/>
      <c r="X50" s="131"/>
      <c r="Y50" s="131"/>
      <c r="Z50" s="131"/>
    </row>
    <row r="51">
      <c r="A51" s="164" t="str">
        <f>hyperlink("https://issues.sierrawireless.com/browse/FWTOOLS-311", "FWTOOLS-311")</f>
        <v>FWTOOLS-311</v>
      </c>
      <c r="B51" s="40" t="s">
        <v>6271</v>
      </c>
      <c r="C51" s="40" t="s">
        <v>469</v>
      </c>
      <c r="D51" s="165">
        <v>43284.0</v>
      </c>
      <c r="E51" s="40" t="s">
        <v>92</v>
      </c>
      <c r="F51" s="40" t="s">
        <v>6027</v>
      </c>
      <c r="G51" s="40" t="s">
        <v>120</v>
      </c>
      <c r="H51" s="40" t="s">
        <v>120</v>
      </c>
      <c r="I51" s="167">
        <v>43287.0</v>
      </c>
      <c r="J51" s="131"/>
      <c r="K51" s="131"/>
      <c r="L51" s="131"/>
      <c r="M51" s="131"/>
      <c r="N51" s="131"/>
      <c r="O51" s="131"/>
      <c r="P51" s="131"/>
      <c r="Q51" s="131"/>
      <c r="R51" s="131"/>
      <c r="S51" s="131"/>
      <c r="T51" s="131"/>
      <c r="U51" s="131"/>
      <c r="V51" s="131"/>
      <c r="W51" s="131"/>
      <c r="X51" s="131"/>
      <c r="Y51" s="131"/>
      <c r="Z51" s="131"/>
    </row>
    <row r="52">
      <c r="A52" s="164" t="str">
        <f>hyperlink("https://issues.sierrawireless.com/browse/FWTOOLS-309", "FWTOOLS-309")</f>
        <v>FWTOOLS-309</v>
      </c>
      <c r="B52" s="40" t="s">
        <v>6276</v>
      </c>
      <c r="C52" s="40" t="s">
        <v>196</v>
      </c>
      <c r="D52" s="165">
        <v>43284.0</v>
      </c>
      <c r="E52" s="166">
        <v>43284.0</v>
      </c>
      <c r="F52" s="40" t="s">
        <v>6013</v>
      </c>
      <c r="G52" s="40" t="s">
        <v>233</v>
      </c>
      <c r="H52" s="40" t="s">
        <v>233</v>
      </c>
      <c r="I52" s="131"/>
      <c r="J52" s="131"/>
      <c r="K52" s="131"/>
      <c r="L52" s="131"/>
      <c r="M52" s="131"/>
      <c r="N52" s="131"/>
      <c r="O52" s="131"/>
      <c r="P52" s="131"/>
      <c r="Q52" s="131"/>
      <c r="R52" s="131"/>
      <c r="S52" s="131"/>
      <c r="T52" s="131"/>
      <c r="U52" s="131"/>
      <c r="V52" s="131"/>
      <c r="W52" s="131"/>
      <c r="X52" s="131"/>
      <c r="Y52" s="131"/>
      <c r="Z52" s="131"/>
    </row>
    <row r="53">
      <c r="A53" s="164" t="str">
        <f>hyperlink("https://issues.sierrawireless.com/browse/FWTOOLS-305", "FWTOOLS-305")</f>
        <v>FWTOOLS-305</v>
      </c>
      <c r="B53" s="40" t="s">
        <v>6282</v>
      </c>
      <c r="C53" s="40" t="s">
        <v>469</v>
      </c>
      <c r="D53" s="165">
        <v>43283.0</v>
      </c>
      <c r="E53" s="40" t="s">
        <v>92</v>
      </c>
      <c r="F53" s="40" t="s">
        <v>6027</v>
      </c>
      <c r="G53" s="40" t="s">
        <v>120</v>
      </c>
      <c r="H53" s="40" t="s">
        <v>120</v>
      </c>
      <c r="I53" s="167">
        <v>43287.0</v>
      </c>
      <c r="J53" s="131"/>
      <c r="K53" s="131"/>
      <c r="L53" s="131"/>
      <c r="M53" s="131"/>
      <c r="N53" s="131"/>
      <c r="O53" s="131"/>
      <c r="P53" s="131"/>
      <c r="Q53" s="131"/>
      <c r="R53" s="131"/>
      <c r="S53" s="131"/>
      <c r="T53" s="131"/>
      <c r="U53" s="131"/>
      <c r="V53" s="131"/>
      <c r="W53" s="131"/>
      <c r="X53" s="131"/>
      <c r="Y53" s="131"/>
      <c r="Z53" s="131"/>
    </row>
    <row r="54">
      <c r="A54" s="164" t="str">
        <f>hyperlink("https://issues.sierrawireless.com/browse/FWTOOLS-304", "FWTOOLS-304")</f>
        <v>FWTOOLS-304</v>
      </c>
      <c r="B54" s="40" t="s">
        <v>6289</v>
      </c>
      <c r="C54" s="40" t="s">
        <v>469</v>
      </c>
      <c r="D54" s="165">
        <v>43283.0</v>
      </c>
      <c r="E54" s="40" t="s">
        <v>92</v>
      </c>
      <c r="F54" s="40" t="s">
        <v>6027</v>
      </c>
      <c r="G54" s="40" t="s">
        <v>120</v>
      </c>
      <c r="H54" s="40" t="s">
        <v>120</v>
      </c>
      <c r="I54" s="167">
        <v>43287.0</v>
      </c>
      <c r="J54" s="131"/>
      <c r="K54" s="131"/>
      <c r="L54" s="131"/>
      <c r="M54" s="131"/>
      <c r="N54" s="131"/>
      <c r="O54" s="131"/>
      <c r="P54" s="131"/>
      <c r="Q54" s="131"/>
      <c r="R54" s="131"/>
      <c r="S54" s="131"/>
      <c r="T54" s="131"/>
      <c r="U54" s="131"/>
      <c r="V54" s="131"/>
      <c r="W54" s="131"/>
      <c r="X54" s="131"/>
      <c r="Y54" s="131"/>
      <c r="Z54" s="131"/>
    </row>
    <row r="55">
      <c r="A55" s="164" t="str">
        <f>hyperlink("https://issues.sierrawireless.com/browse/FWTOOLS-306", "FWTOOLS-306")</f>
        <v>FWTOOLS-306</v>
      </c>
      <c r="B55" s="40" t="s">
        <v>6294</v>
      </c>
      <c r="C55" s="40" t="s">
        <v>469</v>
      </c>
      <c r="D55" s="165">
        <v>43283.0</v>
      </c>
      <c r="E55" s="40" t="s">
        <v>92</v>
      </c>
      <c r="F55" s="40" t="s">
        <v>6027</v>
      </c>
      <c r="G55" s="40" t="s">
        <v>120</v>
      </c>
      <c r="H55" s="40" t="s">
        <v>120</v>
      </c>
      <c r="I55" s="167">
        <v>43287.0</v>
      </c>
      <c r="J55" s="131"/>
      <c r="K55" s="131"/>
      <c r="L55" s="131"/>
      <c r="M55" s="131"/>
      <c r="N55" s="131"/>
      <c r="O55" s="131"/>
      <c r="P55" s="131"/>
      <c r="Q55" s="131"/>
      <c r="R55" s="131"/>
      <c r="S55" s="131"/>
      <c r="T55" s="131"/>
      <c r="U55" s="131"/>
      <c r="V55" s="131"/>
      <c r="W55" s="131"/>
      <c r="X55" s="131"/>
      <c r="Y55" s="131"/>
      <c r="Z55" s="131"/>
    </row>
    <row r="56">
      <c r="A56" s="164" t="str">
        <f>hyperlink("https://issues.sierrawireless.com/browse/FWTOOLS-307", "FWTOOLS-307")</f>
        <v>FWTOOLS-307</v>
      </c>
      <c r="B56" s="40" t="s">
        <v>6301</v>
      </c>
      <c r="C56" s="40" t="s">
        <v>196</v>
      </c>
      <c r="D56" s="165">
        <v>43283.0</v>
      </c>
      <c r="E56" s="166">
        <v>43283.0</v>
      </c>
      <c r="F56" s="40" t="s">
        <v>6013</v>
      </c>
      <c r="G56" s="40" t="s">
        <v>233</v>
      </c>
      <c r="H56" s="40" t="s">
        <v>233</v>
      </c>
      <c r="I56" s="131"/>
      <c r="J56" s="131"/>
      <c r="K56" s="131"/>
      <c r="L56" s="131"/>
      <c r="M56" s="131"/>
      <c r="N56" s="131"/>
      <c r="O56" s="131"/>
      <c r="P56" s="131"/>
      <c r="Q56" s="131"/>
      <c r="R56" s="131"/>
      <c r="S56" s="131"/>
      <c r="T56" s="131"/>
      <c r="U56" s="131"/>
      <c r="V56" s="131"/>
      <c r="W56" s="131"/>
      <c r="X56" s="131"/>
      <c r="Y56" s="131"/>
      <c r="Z56" s="131"/>
    </row>
    <row r="57">
      <c r="A57" s="164" t="str">
        <f>hyperlink("https://issues.sierrawireless.com/browse/FWTOOLS-308", "FWTOOLS-308")</f>
        <v>FWTOOLS-308</v>
      </c>
      <c r="B57" s="40" t="s">
        <v>6308</v>
      </c>
      <c r="C57" s="40" t="s">
        <v>196</v>
      </c>
      <c r="D57" s="165">
        <v>43283.0</v>
      </c>
      <c r="E57" s="166">
        <v>43283.0</v>
      </c>
      <c r="F57" s="40" t="s">
        <v>6013</v>
      </c>
      <c r="G57" s="40" t="s">
        <v>233</v>
      </c>
      <c r="H57" s="40" t="s">
        <v>233</v>
      </c>
      <c r="I57" s="131"/>
      <c r="J57" s="131"/>
      <c r="K57" s="131"/>
      <c r="L57" s="131"/>
      <c r="M57" s="131"/>
      <c r="N57" s="131"/>
      <c r="O57" s="131"/>
      <c r="P57" s="131"/>
      <c r="Q57" s="131"/>
      <c r="R57" s="131"/>
      <c r="S57" s="131"/>
      <c r="T57" s="131"/>
      <c r="U57" s="131"/>
      <c r="V57" s="131"/>
      <c r="W57" s="131"/>
      <c r="X57" s="131"/>
      <c r="Y57" s="131"/>
      <c r="Z57" s="131"/>
    </row>
    <row r="58">
      <c r="A58" s="164" t="str">
        <f>hyperlink("https://issues.sierrawireless.com/browse/FWTOOLS-302", "FWTOOLS-302")</f>
        <v>FWTOOLS-302</v>
      </c>
      <c r="B58" s="40" t="s">
        <v>6314</v>
      </c>
      <c r="C58" s="40" t="s">
        <v>139</v>
      </c>
      <c r="D58" s="165">
        <v>43280.0</v>
      </c>
      <c r="E58" s="40" t="s">
        <v>92</v>
      </c>
      <c r="F58" s="40" t="s">
        <v>6027</v>
      </c>
      <c r="G58" s="40" t="s">
        <v>5999</v>
      </c>
      <c r="H58" s="40" t="s">
        <v>5999</v>
      </c>
      <c r="I58" s="167">
        <v>43287.0</v>
      </c>
      <c r="J58" s="131"/>
      <c r="K58" s="131"/>
      <c r="L58" s="131"/>
      <c r="M58" s="131"/>
      <c r="N58" s="131"/>
      <c r="O58" s="131"/>
      <c r="P58" s="131"/>
      <c r="Q58" s="131"/>
      <c r="R58" s="131"/>
      <c r="S58" s="131"/>
      <c r="T58" s="131"/>
      <c r="U58" s="131"/>
      <c r="V58" s="131"/>
      <c r="W58" s="131"/>
      <c r="X58" s="131"/>
      <c r="Y58" s="131"/>
      <c r="Z58" s="131"/>
    </row>
    <row r="59">
      <c r="A59" s="164" t="str">
        <f>hyperlink("https://issues.sierrawireless.com/browse/FWTOOLS-303", "FWTOOLS-303")</f>
        <v>FWTOOLS-303</v>
      </c>
      <c r="B59" s="40" t="s">
        <v>6320</v>
      </c>
      <c r="C59" s="40" t="s">
        <v>139</v>
      </c>
      <c r="D59" s="165">
        <v>43280.0</v>
      </c>
      <c r="E59" s="40" t="s">
        <v>92</v>
      </c>
      <c r="F59" s="40" t="s">
        <v>6027</v>
      </c>
      <c r="G59" s="40" t="s">
        <v>5999</v>
      </c>
      <c r="H59" s="40" t="s">
        <v>5999</v>
      </c>
      <c r="I59" s="167">
        <v>43287.0</v>
      </c>
      <c r="J59" s="131"/>
      <c r="K59" s="131"/>
      <c r="L59" s="131"/>
      <c r="M59" s="131"/>
      <c r="N59" s="131"/>
      <c r="O59" s="131"/>
      <c r="P59" s="131"/>
      <c r="Q59" s="131"/>
      <c r="R59" s="131"/>
      <c r="S59" s="131"/>
      <c r="T59" s="131"/>
      <c r="U59" s="131"/>
      <c r="V59" s="131"/>
      <c r="W59" s="131"/>
      <c r="X59" s="131"/>
      <c r="Y59" s="131"/>
      <c r="Z59" s="131"/>
    </row>
    <row r="60">
      <c r="A60" s="164" t="str">
        <f>hyperlink("https://issues.sierrawireless.com/browse/FWTOOLS-301", "FWTOOLS-301")</f>
        <v>FWTOOLS-301</v>
      </c>
      <c r="B60" s="40" t="s">
        <v>6325</v>
      </c>
      <c r="C60" s="40" t="s">
        <v>139</v>
      </c>
      <c r="D60" s="165">
        <v>43279.0</v>
      </c>
      <c r="E60" s="40" t="s">
        <v>92</v>
      </c>
      <c r="F60" s="40" t="s">
        <v>6027</v>
      </c>
      <c r="G60" s="40" t="s">
        <v>5999</v>
      </c>
      <c r="H60" s="40" t="s">
        <v>5999</v>
      </c>
      <c r="I60" s="167">
        <v>43287.0</v>
      </c>
      <c r="J60" s="131"/>
      <c r="K60" s="131"/>
      <c r="L60" s="131"/>
      <c r="M60" s="131"/>
      <c r="N60" s="131"/>
      <c r="O60" s="131"/>
      <c r="P60" s="131"/>
      <c r="Q60" s="131"/>
      <c r="R60" s="131"/>
      <c r="S60" s="131"/>
      <c r="T60" s="131"/>
      <c r="U60" s="131"/>
      <c r="V60" s="131"/>
      <c r="W60" s="131"/>
      <c r="X60" s="131"/>
      <c r="Y60" s="131"/>
      <c r="Z60" s="131"/>
    </row>
    <row r="61">
      <c r="A61" s="164" t="str">
        <f>hyperlink("https://issues.sierrawireless.com/browse/FWTOOLS-300", "FWTOOLS-300")</f>
        <v>FWTOOLS-300</v>
      </c>
      <c r="B61" s="40" t="s">
        <v>6329</v>
      </c>
      <c r="C61" s="40" t="s">
        <v>469</v>
      </c>
      <c r="D61" s="165">
        <v>43277.0</v>
      </c>
      <c r="E61" s="40" t="s">
        <v>92</v>
      </c>
      <c r="F61" s="40" t="s">
        <v>6027</v>
      </c>
      <c r="G61" s="40" t="s">
        <v>120</v>
      </c>
      <c r="H61" s="40" t="s">
        <v>120</v>
      </c>
      <c r="I61" s="167">
        <v>43287.0</v>
      </c>
      <c r="J61" s="131"/>
      <c r="K61" s="131"/>
      <c r="L61" s="131"/>
      <c r="M61" s="131"/>
      <c r="N61" s="131"/>
      <c r="O61" s="131"/>
      <c r="P61" s="131"/>
      <c r="Q61" s="131"/>
      <c r="R61" s="131"/>
      <c r="S61" s="131"/>
      <c r="T61" s="131"/>
      <c r="U61" s="131"/>
      <c r="V61" s="131"/>
      <c r="W61" s="131"/>
      <c r="X61" s="131"/>
      <c r="Y61" s="131"/>
      <c r="Z61" s="131"/>
    </row>
    <row r="62">
      <c r="A62" s="164" t="str">
        <f>hyperlink("https://issues.sierrawireless.com/browse/FWTOOLS-299", "FWTOOLS-299")</f>
        <v>FWTOOLS-299</v>
      </c>
      <c r="B62" s="40" t="s">
        <v>6334</v>
      </c>
      <c r="C62" s="40" t="s">
        <v>469</v>
      </c>
      <c r="D62" s="165">
        <v>43277.0</v>
      </c>
      <c r="E62" s="40" t="s">
        <v>92</v>
      </c>
      <c r="F62" s="40" t="s">
        <v>6027</v>
      </c>
      <c r="G62" s="40" t="s">
        <v>120</v>
      </c>
      <c r="H62" s="40" t="s">
        <v>253</v>
      </c>
      <c r="I62" s="131"/>
      <c r="J62" s="131"/>
      <c r="K62" s="131"/>
      <c r="L62" s="131"/>
      <c r="M62" s="131"/>
      <c r="N62" s="131"/>
      <c r="O62" s="131"/>
      <c r="P62" s="131"/>
      <c r="Q62" s="131"/>
      <c r="R62" s="131"/>
      <c r="S62" s="131"/>
      <c r="T62" s="131"/>
      <c r="U62" s="131"/>
      <c r="V62" s="131"/>
      <c r="W62" s="131"/>
      <c r="X62" s="131"/>
      <c r="Y62" s="131"/>
      <c r="Z62" s="131"/>
    </row>
    <row r="63">
      <c r="A63" s="164" t="str">
        <f>hyperlink("https://issues.sierrawireless.com/browse/FWTOOLS-297", "FWTOOLS-297")</f>
        <v>FWTOOLS-297</v>
      </c>
      <c r="B63" s="40" t="s">
        <v>6339</v>
      </c>
      <c r="C63" s="40" t="s">
        <v>139</v>
      </c>
      <c r="D63" s="165">
        <v>43276.0</v>
      </c>
      <c r="E63" s="40" t="s">
        <v>92</v>
      </c>
      <c r="F63" s="40" t="s">
        <v>6027</v>
      </c>
      <c r="G63" s="40" t="s">
        <v>5999</v>
      </c>
      <c r="H63" s="40" t="s">
        <v>5999</v>
      </c>
      <c r="I63" s="167">
        <v>43287.0</v>
      </c>
      <c r="J63" s="131"/>
      <c r="K63" s="131"/>
      <c r="L63" s="131"/>
      <c r="M63" s="131"/>
      <c r="N63" s="131"/>
      <c r="O63" s="131"/>
      <c r="P63" s="131"/>
      <c r="Q63" s="131"/>
      <c r="R63" s="131"/>
      <c r="S63" s="131"/>
      <c r="T63" s="131"/>
      <c r="U63" s="131"/>
      <c r="V63" s="131"/>
      <c r="W63" s="131"/>
      <c r="X63" s="131"/>
      <c r="Y63" s="131"/>
      <c r="Z63" s="131"/>
    </row>
    <row r="64">
      <c r="A64" s="164" t="str">
        <f>hyperlink("https://issues.sierrawireless.com/browse/FWTOOLS-298", "FWTOOLS-298")</f>
        <v>FWTOOLS-298</v>
      </c>
      <c r="B64" s="40" t="s">
        <v>6343</v>
      </c>
      <c r="C64" s="40" t="s">
        <v>469</v>
      </c>
      <c r="D64" s="165">
        <v>43276.0</v>
      </c>
      <c r="E64" s="40" t="s">
        <v>92</v>
      </c>
      <c r="F64" s="40" t="s">
        <v>6027</v>
      </c>
      <c r="G64" s="40" t="s">
        <v>120</v>
      </c>
      <c r="H64" s="40" t="s">
        <v>120</v>
      </c>
      <c r="I64" s="167">
        <v>43287.0</v>
      </c>
      <c r="J64" s="131"/>
      <c r="K64" s="131"/>
      <c r="L64" s="131"/>
      <c r="M64" s="131"/>
      <c r="N64" s="131"/>
      <c r="O64" s="131"/>
      <c r="P64" s="131"/>
      <c r="Q64" s="131"/>
      <c r="R64" s="131"/>
      <c r="S64" s="131"/>
      <c r="T64" s="131"/>
      <c r="U64" s="131"/>
      <c r="V64" s="131"/>
      <c r="W64" s="131"/>
      <c r="X64" s="131"/>
      <c r="Y64" s="131"/>
      <c r="Z64" s="131"/>
    </row>
    <row r="65">
      <c r="A65" s="164" t="str">
        <f>hyperlink("https://issues.sierrawireless.com/browse/FWTOOLS-293", "FWTOOLS-293")</f>
        <v>FWTOOLS-293</v>
      </c>
      <c r="B65" s="40" t="s">
        <v>6346</v>
      </c>
      <c r="C65" s="40" t="s">
        <v>469</v>
      </c>
      <c r="D65" s="165">
        <v>43272.0</v>
      </c>
      <c r="E65" s="40" t="s">
        <v>92</v>
      </c>
      <c r="F65" s="40" t="s">
        <v>166</v>
      </c>
      <c r="G65" s="40" t="s">
        <v>537</v>
      </c>
      <c r="H65" s="40" t="s">
        <v>537</v>
      </c>
      <c r="I65" s="131"/>
      <c r="J65" s="131"/>
      <c r="K65" s="131"/>
      <c r="L65" s="131"/>
      <c r="M65" s="131"/>
      <c r="N65" s="131"/>
      <c r="O65" s="131"/>
      <c r="P65" s="131"/>
      <c r="Q65" s="131"/>
      <c r="R65" s="131"/>
      <c r="S65" s="131"/>
      <c r="T65" s="131"/>
      <c r="U65" s="131"/>
      <c r="V65" s="131"/>
      <c r="W65" s="131"/>
      <c r="X65" s="131"/>
      <c r="Y65" s="131"/>
      <c r="Z65" s="131"/>
    </row>
    <row r="66">
      <c r="A66" s="164" t="str">
        <f>hyperlink("https://issues.sierrawireless.com/browse/FWTOOLS-294", "FWTOOLS-294")</f>
        <v>FWTOOLS-294</v>
      </c>
      <c r="B66" s="40" t="s">
        <v>6350</v>
      </c>
      <c r="C66" s="40" t="s">
        <v>469</v>
      </c>
      <c r="D66" s="165">
        <v>43272.0</v>
      </c>
      <c r="E66" s="40" t="s">
        <v>92</v>
      </c>
      <c r="F66" s="40" t="s">
        <v>6027</v>
      </c>
      <c r="G66" s="40" t="s">
        <v>120</v>
      </c>
      <c r="H66" s="40" t="s">
        <v>140</v>
      </c>
      <c r="I66" s="167">
        <v>43287.0</v>
      </c>
      <c r="J66" s="131"/>
      <c r="K66" s="131"/>
      <c r="L66" s="131"/>
      <c r="M66" s="131"/>
      <c r="N66" s="131"/>
      <c r="O66" s="131"/>
      <c r="P66" s="131"/>
      <c r="Q66" s="131"/>
      <c r="R66" s="131"/>
      <c r="S66" s="131"/>
      <c r="T66" s="131"/>
      <c r="U66" s="131"/>
      <c r="V66" s="131"/>
      <c r="W66" s="131"/>
      <c r="X66" s="131"/>
      <c r="Y66" s="131"/>
      <c r="Z66" s="131"/>
    </row>
    <row r="67">
      <c r="A67" s="164" t="str">
        <f>hyperlink("https://issues.sierrawireless.com/browse/FWTOOLS-288", "FWTOOLS-288")</f>
        <v>FWTOOLS-288</v>
      </c>
      <c r="B67" s="40" t="s">
        <v>6354</v>
      </c>
      <c r="C67" s="40" t="s">
        <v>139</v>
      </c>
      <c r="D67" s="165">
        <v>43265.0</v>
      </c>
      <c r="E67" s="40" t="s">
        <v>92</v>
      </c>
      <c r="F67" s="40" t="s">
        <v>6355</v>
      </c>
      <c r="G67" s="40" t="s">
        <v>170</v>
      </c>
      <c r="H67" s="40" t="s">
        <v>170</v>
      </c>
      <c r="I67" s="131"/>
      <c r="J67" s="131"/>
      <c r="K67" s="131"/>
      <c r="L67" s="131"/>
      <c r="M67" s="131"/>
      <c r="N67" s="131"/>
      <c r="O67" s="131"/>
      <c r="P67" s="131"/>
      <c r="Q67" s="131"/>
      <c r="R67" s="131"/>
      <c r="S67" s="131"/>
      <c r="T67" s="131"/>
      <c r="U67" s="131"/>
      <c r="V67" s="131"/>
      <c r="W67" s="131"/>
      <c r="X67" s="131"/>
      <c r="Y67" s="131"/>
      <c r="Z67" s="131"/>
    </row>
    <row r="68">
      <c r="A68" s="164" t="str">
        <f>hyperlink("https://issues.sierrawireless.com/browse/FWTOOLS-289", "FWTOOLS-289")</f>
        <v>FWTOOLS-289</v>
      </c>
      <c r="B68" s="40" t="s">
        <v>6363</v>
      </c>
      <c r="C68" s="40" t="s">
        <v>469</v>
      </c>
      <c r="D68" s="165">
        <v>43265.0</v>
      </c>
      <c r="E68" s="40" t="s">
        <v>92</v>
      </c>
      <c r="F68" s="40" t="s">
        <v>166</v>
      </c>
      <c r="G68" s="40" t="s">
        <v>120</v>
      </c>
      <c r="H68" s="40" t="s">
        <v>170</v>
      </c>
      <c r="I68" s="131"/>
      <c r="J68" s="131"/>
      <c r="K68" s="131"/>
      <c r="L68" s="131"/>
      <c r="M68" s="131"/>
      <c r="N68" s="131"/>
      <c r="O68" s="131"/>
      <c r="P68" s="131"/>
      <c r="Q68" s="131"/>
      <c r="R68" s="131"/>
      <c r="S68" s="131"/>
      <c r="T68" s="131"/>
      <c r="U68" s="131"/>
      <c r="V68" s="131"/>
      <c r="W68" s="131"/>
      <c r="X68" s="131"/>
      <c r="Y68" s="131"/>
      <c r="Z68" s="131"/>
    </row>
    <row r="69">
      <c r="A69" s="164" t="str">
        <f>hyperlink("https://issues.sierrawireless.com/browse/FWTOOLS-283", "FWTOOLS-283")</f>
        <v>FWTOOLS-283</v>
      </c>
      <c r="B69" s="40" t="s">
        <v>6369</v>
      </c>
      <c r="C69" s="40" t="s">
        <v>139</v>
      </c>
      <c r="D69" s="165">
        <v>43265.0</v>
      </c>
      <c r="E69" s="40" t="s">
        <v>92</v>
      </c>
      <c r="F69" s="40" t="s">
        <v>6027</v>
      </c>
      <c r="G69" s="40" t="s">
        <v>5999</v>
      </c>
      <c r="H69" s="40" t="s">
        <v>5999</v>
      </c>
      <c r="I69" s="167">
        <v>43262.0</v>
      </c>
      <c r="J69" s="131"/>
      <c r="K69" s="131"/>
      <c r="L69" s="131"/>
      <c r="M69" s="131"/>
      <c r="N69" s="131"/>
      <c r="O69" s="131"/>
      <c r="P69" s="131"/>
      <c r="Q69" s="131"/>
      <c r="R69" s="131"/>
      <c r="S69" s="131"/>
      <c r="T69" s="131"/>
      <c r="U69" s="131"/>
      <c r="V69" s="131"/>
      <c r="W69" s="131"/>
      <c r="X69" s="131"/>
      <c r="Y69" s="131"/>
      <c r="Z69" s="131"/>
    </row>
    <row r="70">
      <c r="A70" s="164" t="str">
        <f>hyperlink("https://issues.sierrawireless.com/browse/FWTOOLS-284", "FWTOOLS-284")</f>
        <v>FWTOOLS-284</v>
      </c>
      <c r="B70" s="40" t="s">
        <v>6375</v>
      </c>
      <c r="C70" s="40" t="s">
        <v>139</v>
      </c>
      <c r="D70" s="165">
        <v>43265.0</v>
      </c>
      <c r="E70" s="40" t="s">
        <v>92</v>
      </c>
      <c r="F70" s="40" t="s">
        <v>6027</v>
      </c>
      <c r="G70" s="40" t="s">
        <v>5999</v>
      </c>
      <c r="H70" s="40" t="s">
        <v>5999</v>
      </c>
      <c r="I70" s="167">
        <v>43262.0</v>
      </c>
      <c r="J70" s="131"/>
      <c r="K70" s="131"/>
      <c r="L70" s="131"/>
      <c r="M70" s="131"/>
      <c r="N70" s="131"/>
      <c r="O70" s="131"/>
      <c r="P70" s="131"/>
      <c r="Q70" s="131"/>
      <c r="R70" s="131"/>
      <c r="S70" s="131"/>
      <c r="T70" s="131"/>
      <c r="U70" s="131"/>
      <c r="V70" s="131"/>
      <c r="W70" s="131"/>
      <c r="X70" s="131"/>
      <c r="Y70" s="131"/>
      <c r="Z70" s="131"/>
    </row>
    <row r="71">
      <c r="A71" s="164" t="str">
        <f>hyperlink("https://issues.sierrawireless.com/browse/FWTOOLS-285", "FWTOOLS-285")</f>
        <v>FWTOOLS-285</v>
      </c>
      <c r="B71" s="40" t="s">
        <v>6379</v>
      </c>
      <c r="C71" s="40" t="s">
        <v>139</v>
      </c>
      <c r="D71" s="165">
        <v>43265.0</v>
      </c>
      <c r="E71" s="40" t="s">
        <v>92</v>
      </c>
      <c r="F71" s="40" t="s">
        <v>6027</v>
      </c>
      <c r="G71" s="40" t="s">
        <v>5999</v>
      </c>
      <c r="H71" s="40" t="s">
        <v>5999</v>
      </c>
      <c r="I71" s="167">
        <v>43262.0</v>
      </c>
      <c r="J71" s="131"/>
      <c r="K71" s="131"/>
      <c r="L71" s="131"/>
      <c r="M71" s="131"/>
      <c r="N71" s="131"/>
      <c r="O71" s="131"/>
      <c r="P71" s="131"/>
      <c r="Q71" s="131"/>
      <c r="R71" s="131"/>
      <c r="S71" s="131"/>
      <c r="T71" s="131"/>
      <c r="U71" s="131"/>
      <c r="V71" s="131"/>
      <c r="W71" s="131"/>
      <c r="X71" s="131"/>
      <c r="Y71" s="131"/>
      <c r="Z71" s="131"/>
    </row>
    <row r="72">
      <c r="A72" s="164" t="str">
        <f>hyperlink("https://issues.sierrawireless.com/browse/FWTOOLS-286", "FWTOOLS-286")</f>
        <v>FWTOOLS-286</v>
      </c>
      <c r="B72" s="40" t="s">
        <v>6384</v>
      </c>
      <c r="C72" s="40" t="s">
        <v>139</v>
      </c>
      <c r="D72" s="165">
        <v>43265.0</v>
      </c>
      <c r="E72" s="40" t="s">
        <v>92</v>
      </c>
      <c r="F72" s="40" t="s">
        <v>6027</v>
      </c>
      <c r="G72" s="40" t="s">
        <v>5999</v>
      </c>
      <c r="H72" s="40" t="s">
        <v>5999</v>
      </c>
      <c r="I72" s="167">
        <v>43262.0</v>
      </c>
      <c r="J72" s="131"/>
      <c r="K72" s="131"/>
      <c r="L72" s="131"/>
      <c r="M72" s="131"/>
      <c r="N72" s="131"/>
      <c r="O72" s="131"/>
      <c r="P72" s="131"/>
      <c r="Q72" s="131"/>
      <c r="R72" s="131"/>
      <c r="S72" s="131"/>
      <c r="T72" s="131"/>
      <c r="U72" s="131"/>
      <c r="V72" s="131"/>
      <c r="W72" s="131"/>
      <c r="X72" s="131"/>
      <c r="Y72" s="131"/>
      <c r="Z72" s="131"/>
    </row>
    <row r="73">
      <c r="A73" s="164" t="str">
        <f>hyperlink("https://issues.sierrawireless.com/browse/FWTOOLS-287", "FWTOOLS-287")</f>
        <v>FWTOOLS-287</v>
      </c>
      <c r="B73" s="40" t="s">
        <v>6389</v>
      </c>
      <c r="C73" s="40" t="s">
        <v>139</v>
      </c>
      <c r="D73" s="165">
        <v>43265.0</v>
      </c>
      <c r="E73" s="40" t="s">
        <v>92</v>
      </c>
      <c r="F73" s="40" t="s">
        <v>6027</v>
      </c>
      <c r="G73" s="40" t="s">
        <v>5999</v>
      </c>
      <c r="H73" s="40" t="s">
        <v>5999</v>
      </c>
      <c r="I73" s="167">
        <v>43262.0</v>
      </c>
      <c r="J73" s="131"/>
      <c r="K73" s="131"/>
      <c r="L73" s="131"/>
      <c r="M73" s="131"/>
      <c r="N73" s="131"/>
      <c r="O73" s="131"/>
      <c r="P73" s="131"/>
      <c r="Q73" s="131"/>
      <c r="R73" s="131"/>
      <c r="S73" s="131"/>
      <c r="T73" s="131"/>
      <c r="U73" s="131"/>
      <c r="V73" s="131"/>
      <c r="W73" s="131"/>
      <c r="X73" s="131"/>
      <c r="Y73" s="131"/>
      <c r="Z73" s="131"/>
    </row>
    <row r="74">
      <c r="A74" s="164" t="str">
        <f>hyperlink("https://issues.sierrawireless.com/browse/FWTOOLS-282", "FWTOOLS-282")</f>
        <v>FWTOOLS-282</v>
      </c>
      <c r="B74" s="40" t="s">
        <v>6395</v>
      </c>
      <c r="C74" s="40" t="s">
        <v>196</v>
      </c>
      <c r="D74" s="165">
        <v>43264.0</v>
      </c>
      <c r="E74" s="166">
        <v>43265.0</v>
      </c>
      <c r="F74" s="40" t="s">
        <v>59</v>
      </c>
      <c r="G74" s="40" t="s">
        <v>141</v>
      </c>
      <c r="H74" s="40" t="s">
        <v>141</v>
      </c>
      <c r="I74" s="131"/>
      <c r="J74" s="131"/>
      <c r="K74" s="131"/>
      <c r="L74" s="131"/>
      <c r="M74" s="131"/>
      <c r="N74" s="131"/>
      <c r="O74" s="131"/>
      <c r="P74" s="131"/>
      <c r="Q74" s="131"/>
      <c r="R74" s="131"/>
      <c r="S74" s="131"/>
      <c r="T74" s="131"/>
      <c r="U74" s="131"/>
      <c r="V74" s="131"/>
      <c r="W74" s="131"/>
      <c r="X74" s="131"/>
      <c r="Y74" s="131"/>
      <c r="Z74" s="131"/>
    </row>
    <row r="75">
      <c r="A75" s="164" t="str">
        <f>hyperlink("https://issues.sierrawireless.com/browse/FWTOOLS-278", "FWTOOLS-278")</f>
        <v>FWTOOLS-278</v>
      </c>
      <c r="B75" s="40" t="s">
        <v>6401</v>
      </c>
      <c r="C75" s="40" t="s">
        <v>469</v>
      </c>
      <c r="D75" s="165">
        <v>43259.0</v>
      </c>
      <c r="E75" s="40" t="s">
        <v>92</v>
      </c>
      <c r="F75" s="40" t="s">
        <v>5987</v>
      </c>
      <c r="G75" s="40" t="s">
        <v>148</v>
      </c>
      <c r="H75" s="40" t="s">
        <v>148</v>
      </c>
      <c r="I75" s="167">
        <v>43313.0</v>
      </c>
      <c r="J75" s="131"/>
      <c r="K75" s="131"/>
      <c r="L75" s="131"/>
      <c r="M75" s="131"/>
      <c r="N75" s="131"/>
      <c r="O75" s="131"/>
      <c r="P75" s="131"/>
      <c r="Q75" s="131"/>
      <c r="R75" s="131"/>
      <c r="S75" s="131"/>
      <c r="T75" s="131"/>
      <c r="U75" s="131"/>
      <c r="V75" s="131"/>
      <c r="W75" s="131"/>
      <c r="X75" s="131"/>
      <c r="Y75" s="131"/>
      <c r="Z75" s="131"/>
    </row>
    <row r="76">
      <c r="A76" s="164" t="str">
        <f>hyperlink("https://issues.sierrawireless.com/browse/FWTOOLS-268", "FWTOOLS-268")</f>
        <v>FWTOOLS-268</v>
      </c>
      <c r="B76" s="40" t="s">
        <v>6406</v>
      </c>
      <c r="C76" s="40" t="s">
        <v>469</v>
      </c>
      <c r="D76" s="165">
        <v>43259.0</v>
      </c>
      <c r="E76" s="40" t="s">
        <v>92</v>
      </c>
      <c r="F76" s="40" t="s">
        <v>6027</v>
      </c>
      <c r="G76" s="40" t="s">
        <v>120</v>
      </c>
      <c r="H76" s="40" t="s">
        <v>253</v>
      </c>
      <c r="I76" s="167">
        <v>43262.0</v>
      </c>
      <c r="J76" s="131"/>
      <c r="K76" s="131"/>
      <c r="L76" s="131"/>
      <c r="M76" s="131"/>
      <c r="N76" s="131"/>
      <c r="O76" s="131"/>
      <c r="P76" s="131"/>
      <c r="Q76" s="131"/>
      <c r="R76" s="131"/>
      <c r="S76" s="131"/>
      <c r="T76" s="131"/>
      <c r="U76" s="131"/>
      <c r="V76" s="131"/>
      <c r="W76" s="131"/>
      <c r="X76" s="131"/>
      <c r="Y76" s="131"/>
      <c r="Z76" s="131"/>
    </row>
    <row r="77">
      <c r="A77" s="164" t="str">
        <f>hyperlink("https://issues.sierrawireless.com/browse/FWTOOLS-271", "FWTOOLS-271")</f>
        <v>FWTOOLS-271</v>
      </c>
      <c r="B77" s="40" t="s">
        <v>6411</v>
      </c>
      <c r="C77" s="40" t="s">
        <v>469</v>
      </c>
      <c r="D77" s="165">
        <v>43259.0</v>
      </c>
      <c r="E77" s="40" t="s">
        <v>92</v>
      </c>
      <c r="F77" s="40" t="s">
        <v>6027</v>
      </c>
      <c r="G77" s="40" t="s">
        <v>120</v>
      </c>
      <c r="H77" s="40" t="s">
        <v>253</v>
      </c>
      <c r="I77" s="167">
        <v>43262.0</v>
      </c>
      <c r="J77" s="131"/>
      <c r="K77" s="131"/>
      <c r="L77" s="131"/>
      <c r="M77" s="131"/>
      <c r="N77" s="131"/>
      <c r="O77" s="131"/>
      <c r="P77" s="131"/>
      <c r="Q77" s="131"/>
      <c r="R77" s="131"/>
      <c r="S77" s="131"/>
      <c r="T77" s="131"/>
      <c r="U77" s="131"/>
      <c r="V77" s="131"/>
      <c r="W77" s="131"/>
      <c r="X77" s="131"/>
      <c r="Y77" s="131"/>
      <c r="Z77" s="131"/>
    </row>
    <row r="78">
      <c r="A78" s="164" t="str">
        <f>hyperlink("https://issues.sierrawireless.com/browse/FWTOOLS-270", "FWTOOLS-270")</f>
        <v>FWTOOLS-270</v>
      </c>
      <c r="B78" s="40" t="s">
        <v>6417</v>
      </c>
      <c r="C78" s="40" t="s">
        <v>469</v>
      </c>
      <c r="D78" s="165">
        <v>43259.0</v>
      </c>
      <c r="E78" s="40" t="s">
        <v>92</v>
      </c>
      <c r="F78" s="40" t="s">
        <v>6027</v>
      </c>
      <c r="G78" s="40" t="s">
        <v>120</v>
      </c>
      <c r="H78" s="40" t="s">
        <v>253</v>
      </c>
      <c r="I78" s="167">
        <v>43262.0</v>
      </c>
      <c r="J78" s="131"/>
      <c r="K78" s="131"/>
      <c r="L78" s="131"/>
      <c r="M78" s="131"/>
      <c r="N78" s="131"/>
      <c r="O78" s="131"/>
      <c r="P78" s="131"/>
      <c r="Q78" s="131"/>
      <c r="R78" s="131"/>
      <c r="S78" s="131"/>
      <c r="T78" s="131"/>
      <c r="U78" s="131"/>
      <c r="V78" s="131"/>
      <c r="W78" s="131"/>
      <c r="X78" s="131"/>
      <c r="Y78" s="131"/>
      <c r="Z78" s="131"/>
    </row>
    <row r="79">
      <c r="A79" s="164" t="str">
        <f>hyperlink("https://issues.sierrawireless.com/browse/FWTOOLS-273", "FWTOOLS-273")</f>
        <v>FWTOOLS-273</v>
      </c>
      <c r="B79" s="40" t="s">
        <v>6422</v>
      </c>
      <c r="C79" s="40" t="s">
        <v>469</v>
      </c>
      <c r="D79" s="165">
        <v>43259.0</v>
      </c>
      <c r="E79" s="40" t="s">
        <v>92</v>
      </c>
      <c r="F79" s="40" t="s">
        <v>6027</v>
      </c>
      <c r="G79" s="40" t="s">
        <v>120</v>
      </c>
      <c r="H79" s="40" t="s">
        <v>253</v>
      </c>
      <c r="I79" s="167">
        <v>43262.0</v>
      </c>
      <c r="J79" s="131"/>
      <c r="K79" s="131"/>
      <c r="L79" s="131"/>
      <c r="M79" s="131"/>
      <c r="N79" s="131"/>
      <c r="O79" s="131"/>
      <c r="P79" s="131"/>
      <c r="Q79" s="131"/>
      <c r="R79" s="131"/>
      <c r="S79" s="131"/>
      <c r="T79" s="131"/>
      <c r="U79" s="131"/>
      <c r="V79" s="131"/>
      <c r="W79" s="131"/>
      <c r="X79" s="131"/>
      <c r="Y79" s="131"/>
      <c r="Z79" s="131"/>
    </row>
    <row r="80">
      <c r="A80" s="164" t="str">
        <f>hyperlink("https://issues.sierrawireless.com/browse/FWTOOLS-272", "FWTOOLS-272")</f>
        <v>FWTOOLS-272</v>
      </c>
      <c r="B80" s="40" t="s">
        <v>6428</v>
      </c>
      <c r="C80" s="40" t="s">
        <v>469</v>
      </c>
      <c r="D80" s="165">
        <v>43259.0</v>
      </c>
      <c r="E80" s="40" t="s">
        <v>92</v>
      </c>
      <c r="F80" s="40" t="s">
        <v>6027</v>
      </c>
      <c r="G80" s="40" t="s">
        <v>120</v>
      </c>
      <c r="H80" s="40" t="s">
        <v>253</v>
      </c>
      <c r="I80" s="167">
        <v>43262.0</v>
      </c>
      <c r="J80" s="131"/>
      <c r="K80" s="131"/>
      <c r="L80" s="131"/>
      <c r="M80" s="131"/>
      <c r="N80" s="131"/>
      <c r="O80" s="131"/>
      <c r="P80" s="131"/>
      <c r="Q80" s="131"/>
      <c r="R80" s="131"/>
      <c r="S80" s="131"/>
      <c r="T80" s="131"/>
      <c r="U80" s="131"/>
      <c r="V80" s="131"/>
      <c r="W80" s="131"/>
      <c r="X80" s="131"/>
      <c r="Y80" s="131"/>
      <c r="Z80" s="131"/>
    </row>
    <row r="81">
      <c r="A81" s="164" t="str">
        <f>hyperlink("https://issues.sierrawireless.com/browse/FWTOOLS-275", "FWTOOLS-275")</f>
        <v>FWTOOLS-275</v>
      </c>
      <c r="B81" s="40" t="s">
        <v>6435</v>
      </c>
      <c r="C81" s="40" t="s">
        <v>469</v>
      </c>
      <c r="D81" s="165">
        <v>43259.0</v>
      </c>
      <c r="E81" s="40" t="s">
        <v>92</v>
      </c>
      <c r="F81" s="40" t="s">
        <v>6027</v>
      </c>
      <c r="G81" s="40" t="s">
        <v>120</v>
      </c>
      <c r="H81" s="40" t="s">
        <v>253</v>
      </c>
      <c r="I81" s="167">
        <v>43262.0</v>
      </c>
      <c r="J81" s="131"/>
      <c r="K81" s="131"/>
      <c r="L81" s="131"/>
      <c r="M81" s="131"/>
      <c r="N81" s="131"/>
      <c r="O81" s="131"/>
      <c r="P81" s="131"/>
      <c r="Q81" s="131"/>
      <c r="R81" s="131"/>
      <c r="S81" s="131"/>
      <c r="T81" s="131"/>
      <c r="U81" s="131"/>
      <c r="V81" s="131"/>
      <c r="W81" s="131"/>
      <c r="X81" s="131"/>
      <c r="Y81" s="131"/>
      <c r="Z81" s="131"/>
    </row>
    <row r="82">
      <c r="A82" s="164" t="str">
        <f>hyperlink("https://issues.sierrawireless.com/browse/FWTOOLS-274", "FWTOOLS-274")</f>
        <v>FWTOOLS-274</v>
      </c>
      <c r="B82" s="40" t="s">
        <v>6442</v>
      </c>
      <c r="C82" s="40" t="s">
        <v>469</v>
      </c>
      <c r="D82" s="165">
        <v>43259.0</v>
      </c>
      <c r="E82" s="40" t="s">
        <v>92</v>
      </c>
      <c r="F82" s="40" t="s">
        <v>6027</v>
      </c>
      <c r="G82" s="40" t="s">
        <v>120</v>
      </c>
      <c r="H82" s="40" t="s">
        <v>253</v>
      </c>
      <c r="I82" s="167">
        <v>43262.0</v>
      </c>
      <c r="J82" s="131"/>
      <c r="K82" s="131"/>
      <c r="L82" s="131"/>
      <c r="M82" s="131"/>
      <c r="N82" s="131"/>
      <c r="O82" s="131"/>
      <c r="P82" s="131"/>
      <c r="Q82" s="131"/>
      <c r="R82" s="131"/>
      <c r="S82" s="131"/>
      <c r="T82" s="131"/>
      <c r="U82" s="131"/>
      <c r="V82" s="131"/>
      <c r="W82" s="131"/>
      <c r="X82" s="131"/>
      <c r="Y82" s="131"/>
      <c r="Z82" s="131"/>
    </row>
    <row r="83">
      <c r="A83" s="164" t="str">
        <f>hyperlink("https://issues.sierrawireless.com/browse/FWTOOLS-269", "FWTOOLS-269")</f>
        <v>FWTOOLS-269</v>
      </c>
      <c r="B83" s="40" t="s">
        <v>6450</v>
      </c>
      <c r="C83" s="40" t="s">
        <v>469</v>
      </c>
      <c r="D83" s="165">
        <v>43259.0</v>
      </c>
      <c r="E83" s="40" t="s">
        <v>92</v>
      </c>
      <c r="F83" s="40" t="s">
        <v>6027</v>
      </c>
      <c r="G83" s="40" t="s">
        <v>120</v>
      </c>
      <c r="H83" s="40" t="s">
        <v>253</v>
      </c>
      <c r="I83" s="167">
        <v>43262.0</v>
      </c>
      <c r="J83" s="131"/>
      <c r="K83" s="131"/>
      <c r="L83" s="131"/>
      <c r="M83" s="131"/>
      <c r="N83" s="131"/>
      <c r="O83" s="131"/>
      <c r="P83" s="131"/>
      <c r="Q83" s="131"/>
      <c r="R83" s="131"/>
      <c r="S83" s="131"/>
      <c r="T83" s="131"/>
      <c r="U83" s="131"/>
      <c r="V83" s="131"/>
      <c r="W83" s="131"/>
      <c r="X83" s="131"/>
      <c r="Y83" s="131"/>
      <c r="Z83" s="131"/>
    </row>
    <row r="84">
      <c r="A84" s="164" t="str">
        <f>hyperlink("https://issues.sierrawireless.com/browse/FWTOOLS-277", "FWTOOLS-277")</f>
        <v>FWTOOLS-277</v>
      </c>
      <c r="B84" s="40" t="s">
        <v>6457</v>
      </c>
      <c r="C84" s="40" t="s">
        <v>469</v>
      </c>
      <c r="D84" s="165">
        <v>43259.0</v>
      </c>
      <c r="E84" s="40" t="s">
        <v>92</v>
      </c>
      <c r="F84" s="40" t="s">
        <v>6027</v>
      </c>
      <c r="G84" s="40" t="s">
        <v>120</v>
      </c>
      <c r="H84" s="40" t="s">
        <v>253</v>
      </c>
      <c r="I84" s="167">
        <v>43262.0</v>
      </c>
      <c r="J84" s="131"/>
      <c r="K84" s="131"/>
      <c r="L84" s="131"/>
      <c r="M84" s="131"/>
      <c r="N84" s="131"/>
      <c r="O84" s="131"/>
      <c r="P84" s="131"/>
      <c r="Q84" s="131"/>
      <c r="R84" s="131"/>
      <c r="S84" s="131"/>
      <c r="T84" s="131"/>
      <c r="U84" s="131"/>
      <c r="V84" s="131"/>
      <c r="W84" s="131"/>
      <c r="X84" s="131"/>
      <c r="Y84" s="131"/>
      <c r="Z84" s="131"/>
    </row>
    <row r="85">
      <c r="A85" s="164" t="str">
        <f>hyperlink("https://issues.sierrawireless.com/browse/FWTOOLS-276", "FWTOOLS-276")</f>
        <v>FWTOOLS-276</v>
      </c>
      <c r="B85" s="40" t="s">
        <v>6465</v>
      </c>
      <c r="C85" s="40" t="s">
        <v>469</v>
      </c>
      <c r="D85" s="165">
        <v>43259.0</v>
      </c>
      <c r="E85" s="40" t="s">
        <v>92</v>
      </c>
      <c r="F85" s="40" t="s">
        <v>6027</v>
      </c>
      <c r="G85" s="40" t="s">
        <v>120</v>
      </c>
      <c r="H85" s="40" t="s">
        <v>253</v>
      </c>
      <c r="I85" s="167">
        <v>43262.0</v>
      </c>
      <c r="J85" s="131"/>
      <c r="K85" s="131"/>
      <c r="L85" s="131"/>
      <c r="M85" s="131"/>
      <c r="N85" s="131"/>
      <c r="O85" s="131"/>
      <c r="P85" s="131"/>
      <c r="Q85" s="131"/>
      <c r="R85" s="131"/>
      <c r="S85" s="131"/>
      <c r="T85" s="131"/>
      <c r="U85" s="131"/>
      <c r="V85" s="131"/>
      <c r="W85" s="131"/>
      <c r="X85" s="131"/>
      <c r="Y85" s="131"/>
      <c r="Z85" s="131"/>
    </row>
    <row r="86">
      <c r="A86" s="164" t="str">
        <f>hyperlink("https://issues.sierrawireless.com/browse/FWTOOLS-279", "FWTOOLS-279")</f>
        <v>FWTOOLS-279</v>
      </c>
      <c r="B86" s="40" t="s">
        <v>6470</v>
      </c>
      <c r="C86" s="40" t="s">
        <v>469</v>
      </c>
      <c r="D86" s="165">
        <v>43259.0</v>
      </c>
      <c r="E86" s="40" t="s">
        <v>92</v>
      </c>
      <c r="F86" s="40" t="s">
        <v>5987</v>
      </c>
      <c r="G86" s="40" t="s">
        <v>148</v>
      </c>
      <c r="H86" s="40" t="s">
        <v>148</v>
      </c>
      <c r="I86" s="167">
        <v>43313.0</v>
      </c>
      <c r="J86" s="131"/>
      <c r="K86" s="131"/>
      <c r="L86" s="131"/>
      <c r="M86" s="131"/>
      <c r="N86" s="131"/>
      <c r="O86" s="131"/>
      <c r="P86" s="131"/>
      <c r="Q86" s="131"/>
      <c r="R86" s="131"/>
      <c r="S86" s="131"/>
      <c r="T86" s="131"/>
      <c r="U86" s="131"/>
      <c r="V86" s="131"/>
      <c r="W86" s="131"/>
      <c r="X86" s="131"/>
      <c r="Y86" s="131"/>
      <c r="Z86" s="131"/>
    </row>
    <row r="87">
      <c r="A87" s="164" t="str">
        <f>hyperlink("https://issues.sierrawireless.com/browse/FWTOOLS-266", "FWTOOLS-266")</f>
        <v>FWTOOLS-266</v>
      </c>
      <c r="B87" s="40" t="s">
        <v>6478</v>
      </c>
      <c r="C87" s="40" t="s">
        <v>469</v>
      </c>
      <c r="D87" s="165">
        <v>43258.0</v>
      </c>
      <c r="E87" s="40" t="s">
        <v>92</v>
      </c>
      <c r="F87" s="40" t="s">
        <v>5987</v>
      </c>
      <c r="G87" s="40" t="s">
        <v>490</v>
      </c>
      <c r="H87" s="40" t="s">
        <v>490</v>
      </c>
      <c r="I87" s="167">
        <v>43265.0</v>
      </c>
      <c r="J87" s="131"/>
      <c r="K87" s="131"/>
      <c r="L87" s="131"/>
      <c r="M87" s="131"/>
      <c r="N87" s="131"/>
      <c r="O87" s="131"/>
      <c r="P87" s="131"/>
      <c r="Q87" s="131"/>
      <c r="R87" s="131"/>
      <c r="S87" s="131"/>
      <c r="T87" s="131"/>
      <c r="U87" s="131"/>
      <c r="V87" s="131"/>
      <c r="W87" s="131"/>
      <c r="X87" s="131"/>
      <c r="Y87" s="131"/>
      <c r="Z87" s="131"/>
    </row>
    <row r="88">
      <c r="A88" s="168" t="str">
        <f>hyperlink("https://issues.sierrawireless.com/browse/FWTOOLS-267", "FWTOOLS-267")</f>
        <v>FWTOOLS-267</v>
      </c>
      <c r="B88" s="30" t="s">
        <v>6485</v>
      </c>
      <c r="C88" s="30" t="s">
        <v>496</v>
      </c>
      <c r="D88" s="35">
        <v>43258.0</v>
      </c>
      <c r="E88" s="30" t="s">
        <v>92</v>
      </c>
      <c r="F88" s="30" t="s">
        <v>5987</v>
      </c>
      <c r="G88" s="30" t="s">
        <v>6237</v>
      </c>
      <c r="H88" s="30" t="s">
        <v>6237</v>
      </c>
    </row>
    <row r="89">
      <c r="A89" s="164" t="str">
        <f>hyperlink("https://issues.sierrawireless.com/browse/FWTOOLS-264", "FWTOOLS-264")</f>
        <v>FWTOOLS-264</v>
      </c>
      <c r="B89" s="40" t="s">
        <v>6491</v>
      </c>
      <c r="C89" s="40" t="s">
        <v>469</v>
      </c>
      <c r="D89" s="165">
        <v>43257.0</v>
      </c>
      <c r="E89" s="40" t="s">
        <v>92</v>
      </c>
      <c r="F89" s="40" t="s">
        <v>5987</v>
      </c>
      <c r="G89" s="40" t="s">
        <v>148</v>
      </c>
      <c r="H89" s="40" t="s">
        <v>148</v>
      </c>
      <c r="I89" s="167">
        <v>43306.0</v>
      </c>
      <c r="J89" s="131"/>
      <c r="K89" s="131"/>
      <c r="L89" s="131"/>
      <c r="M89" s="131"/>
      <c r="N89" s="131"/>
      <c r="O89" s="131"/>
      <c r="P89" s="131"/>
      <c r="Q89" s="131"/>
      <c r="R89" s="131"/>
      <c r="S89" s="131"/>
      <c r="T89" s="131"/>
      <c r="U89" s="131"/>
      <c r="V89" s="131"/>
      <c r="W89" s="131"/>
      <c r="X89" s="131"/>
      <c r="Y89" s="131"/>
      <c r="Z89" s="131"/>
    </row>
    <row r="90">
      <c r="A90" s="164" t="str">
        <f>hyperlink("https://issues.sierrawireless.com/browse/FWTOOLS-263", "FWTOOLS-263")</f>
        <v>FWTOOLS-263</v>
      </c>
      <c r="B90" s="40" t="s">
        <v>6500</v>
      </c>
      <c r="C90" s="40" t="s">
        <v>469</v>
      </c>
      <c r="D90" s="165">
        <v>43257.0</v>
      </c>
      <c r="E90" s="40" t="s">
        <v>92</v>
      </c>
      <c r="F90" s="40" t="s">
        <v>5987</v>
      </c>
      <c r="G90" s="40" t="s">
        <v>148</v>
      </c>
      <c r="H90" s="40" t="s">
        <v>148</v>
      </c>
      <c r="I90" s="167">
        <v>43306.0</v>
      </c>
      <c r="J90" s="131"/>
      <c r="K90" s="131"/>
      <c r="L90" s="131"/>
      <c r="M90" s="131"/>
      <c r="N90" s="131"/>
      <c r="O90" s="131"/>
      <c r="P90" s="131"/>
      <c r="Q90" s="131"/>
      <c r="R90" s="131"/>
      <c r="S90" s="131"/>
      <c r="T90" s="131"/>
      <c r="U90" s="131"/>
      <c r="V90" s="131"/>
      <c r="W90" s="131"/>
      <c r="X90" s="131"/>
      <c r="Y90" s="131"/>
      <c r="Z90" s="131"/>
    </row>
    <row r="91">
      <c r="A91" s="164" t="str">
        <f>hyperlink("https://issues.sierrawireless.com/browse/FWTOOLS-265", "FWTOOLS-265")</f>
        <v>FWTOOLS-265</v>
      </c>
      <c r="B91" s="40" t="s">
        <v>6507</v>
      </c>
      <c r="C91" s="40" t="s">
        <v>469</v>
      </c>
      <c r="D91" s="165">
        <v>43257.0</v>
      </c>
      <c r="E91" s="40" t="s">
        <v>92</v>
      </c>
      <c r="F91" s="40" t="s">
        <v>5987</v>
      </c>
      <c r="G91" s="40" t="s">
        <v>148</v>
      </c>
      <c r="H91" s="40" t="s">
        <v>148</v>
      </c>
      <c r="I91" s="167">
        <v>43306.0</v>
      </c>
      <c r="J91" s="131"/>
      <c r="K91" s="131"/>
      <c r="L91" s="131"/>
      <c r="M91" s="131"/>
      <c r="N91" s="131"/>
      <c r="O91" s="131"/>
      <c r="P91" s="131"/>
      <c r="Q91" s="131"/>
      <c r="R91" s="131"/>
      <c r="S91" s="131"/>
      <c r="T91" s="131"/>
      <c r="U91" s="131"/>
      <c r="V91" s="131"/>
      <c r="W91" s="131"/>
      <c r="X91" s="131"/>
      <c r="Y91" s="131"/>
      <c r="Z91" s="131"/>
    </row>
    <row r="92">
      <c r="A92" s="164" t="str">
        <f>hyperlink("https://issues.sierrawireless.com/browse/FWTOOLS-262", "FWTOOLS-262")</f>
        <v>FWTOOLS-262</v>
      </c>
      <c r="B92" s="40" t="s">
        <v>6514</v>
      </c>
      <c r="C92" s="40" t="s">
        <v>469</v>
      </c>
      <c r="D92" s="165">
        <v>43256.0</v>
      </c>
      <c r="E92" s="40" t="s">
        <v>92</v>
      </c>
      <c r="F92" s="40" t="s">
        <v>6027</v>
      </c>
      <c r="G92" s="40" t="s">
        <v>120</v>
      </c>
      <c r="H92" s="40" t="s">
        <v>253</v>
      </c>
      <c r="I92" s="167">
        <v>43255.0</v>
      </c>
      <c r="J92" s="167">
        <v>43259.0</v>
      </c>
      <c r="K92" s="131"/>
      <c r="L92" s="131"/>
      <c r="M92" s="131"/>
      <c r="N92" s="131"/>
      <c r="O92" s="131"/>
      <c r="P92" s="131"/>
      <c r="Q92" s="131"/>
      <c r="R92" s="131"/>
      <c r="S92" s="131"/>
      <c r="T92" s="131"/>
      <c r="U92" s="131"/>
      <c r="V92" s="131"/>
      <c r="W92" s="131"/>
      <c r="X92" s="131"/>
      <c r="Y92" s="131"/>
      <c r="Z92" s="131"/>
    </row>
    <row r="93">
      <c r="A93" s="164" t="str">
        <f>hyperlink("https://issues.sierrawireless.com/browse/FWTOOLS-261", "FWTOOLS-261")</f>
        <v>FWTOOLS-261</v>
      </c>
      <c r="B93" s="40" t="s">
        <v>6521</v>
      </c>
      <c r="C93" s="40" t="s">
        <v>196</v>
      </c>
      <c r="D93" s="165">
        <v>43255.0</v>
      </c>
      <c r="E93" s="166">
        <v>43238.0</v>
      </c>
      <c r="F93" s="40" t="s">
        <v>166</v>
      </c>
      <c r="G93" s="40" t="s">
        <v>6192</v>
      </c>
      <c r="H93" s="40" t="s">
        <v>6192</v>
      </c>
      <c r="I93" s="131"/>
      <c r="J93" s="131"/>
      <c r="K93" s="131"/>
      <c r="L93" s="131"/>
      <c r="M93" s="131"/>
      <c r="N93" s="131"/>
      <c r="O93" s="131"/>
      <c r="P93" s="131"/>
      <c r="Q93" s="131"/>
      <c r="R93" s="131"/>
      <c r="S93" s="131"/>
      <c r="T93" s="131"/>
      <c r="U93" s="131"/>
      <c r="V93" s="131"/>
      <c r="W93" s="131"/>
      <c r="X93" s="131"/>
      <c r="Y93" s="131"/>
      <c r="Z93" s="131"/>
    </row>
    <row r="94">
      <c r="A94" s="164" t="str">
        <f>hyperlink("https://issues.sierrawireless.com/browse/FWTOOLS-253", "FWTOOLS-253")</f>
        <v>FWTOOLS-253</v>
      </c>
      <c r="B94" s="40" t="s">
        <v>6528</v>
      </c>
      <c r="C94" s="40" t="s">
        <v>139</v>
      </c>
      <c r="D94" s="165">
        <v>43252.0</v>
      </c>
      <c r="E94" s="40" t="s">
        <v>92</v>
      </c>
      <c r="F94" s="40" t="s">
        <v>6027</v>
      </c>
      <c r="G94" s="40" t="s">
        <v>140</v>
      </c>
      <c r="H94" s="40" t="s">
        <v>140</v>
      </c>
      <c r="I94" s="167">
        <v>43255.0</v>
      </c>
      <c r="J94" s="131"/>
      <c r="K94" s="131"/>
      <c r="L94" s="131"/>
      <c r="M94" s="131"/>
      <c r="N94" s="131"/>
      <c r="O94" s="131"/>
      <c r="P94" s="131"/>
      <c r="Q94" s="131"/>
      <c r="R94" s="131"/>
      <c r="S94" s="131"/>
      <c r="T94" s="131"/>
      <c r="U94" s="131"/>
      <c r="V94" s="131"/>
      <c r="W94" s="131"/>
      <c r="X94" s="131"/>
      <c r="Y94" s="131"/>
      <c r="Z94" s="131"/>
    </row>
    <row r="95">
      <c r="A95" s="164" t="str">
        <f>hyperlink("https://issues.sierrawireless.com/browse/FWTOOLS-258", "FWTOOLS-258")</f>
        <v>FWTOOLS-258</v>
      </c>
      <c r="B95" s="180" t="s">
        <v>6537</v>
      </c>
      <c r="C95" s="40" t="s">
        <v>469</v>
      </c>
      <c r="D95" s="165">
        <v>43252.0</v>
      </c>
      <c r="E95" s="40" t="s">
        <v>92</v>
      </c>
      <c r="F95" s="40" t="s">
        <v>6027</v>
      </c>
      <c r="G95" s="40" t="s">
        <v>120</v>
      </c>
      <c r="H95" s="40" t="s">
        <v>253</v>
      </c>
      <c r="I95" s="167">
        <v>43241.0</v>
      </c>
      <c r="J95" s="167">
        <v>43252.0</v>
      </c>
      <c r="K95" s="131"/>
      <c r="L95" s="131"/>
      <c r="M95" s="131"/>
      <c r="N95" s="131"/>
      <c r="O95" s="131"/>
      <c r="P95" s="131"/>
      <c r="Q95" s="131"/>
      <c r="R95" s="131"/>
      <c r="S95" s="131"/>
      <c r="T95" s="131"/>
      <c r="U95" s="131"/>
      <c r="V95" s="131"/>
      <c r="W95" s="131"/>
      <c r="X95" s="131"/>
      <c r="Y95" s="131"/>
      <c r="Z95" s="131"/>
    </row>
    <row r="96">
      <c r="A96" s="164" t="str">
        <f>hyperlink("https://issues.sierrawireless.com/browse/FWTOOLS-259", "FWTOOLS-259")</f>
        <v>FWTOOLS-259</v>
      </c>
      <c r="B96" s="40" t="s">
        <v>6551</v>
      </c>
      <c r="C96" s="40" t="s">
        <v>469</v>
      </c>
      <c r="D96" s="165">
        <v>43252.0</v>
      </c>
      <c r="E96" s="40" t="s">
        <v>92</v>
      </c>
      <c r="F96" s="40" t="s">
        <v>6027</v>
      </c>
      <c r="G96" s="40" t="s">
        <v>140</v>
      </c>
      <c r="H96" s="40" t="s">
        <v>140</v>
      </c>
      <c r="I96" s="167">
        <v>43248.0</v>
      </c>
      <c r="J96" s="167">
        <v>43258.0</v>
      </c>
      <c r="K96" s="131"/>
      <c r="L96" s="131"/>
      <c r="M96" s="131"/>
      <c r="N96" s="131"/>
      <c r="O96" s="131"/>
      <c r="P96" s="131"/>
      <c r="Q96" s="131"/>
      <c r="R96" s="131"/>
      <c r="S96" s="131"/>
      <c r="T96" s="131"/>
      <c r="U96" s="131"/>
      <c r="V96" s="131"/>
      <c r="W96" s="131"/>
      <c r="X96" s="131"/>
      <c r="Y96" s="131"/>
      <c r="Z96" s="131"/>
    </row>
    <row r="97">
      <c r="A97" s="164" t="str">
        <f>hyperlink("https://issues.sierrawireless.com/browse/FWTOOLS-255", "FWTOOLS-255")</f>
        <v>FWTOOLS-255</v>
      </c>
      <c r="B97" s="40" t="s">
        <v>6559</v>
      </c>
      <c r="C97" s="40" t="s">
        <v>469</v>
      </c>
      <c r="D97" s="165">
        <v>43252.0</v>
      </c>
      <c r="E97" s="40" t="s">
        <v>92</v>
      </c>
      <c r="F97" s="40" t="s">
        <v>6027</v>
      </c>
      <c r="G97" s="40" t="s">
        <v>140</v>
      </c>
      <c r="H97" s="40" t="s">
        <v>140</v>
      </c>
      <c r="I97" s="167">
        <v>43255.0</v>
      </c>
      <c r="J97" s="131"/>
      <c r="K97" s="131"/>
      <c r="L97" s="131"/>
      <c r="M97" s="131"/>
      <c r="N97" s="131"/>
      <c r="O97" s="131"/>
      <c r="P97" s="131"/>
      <c r="Q97" s="131"/>
      <c r="R97" s="131"/>
      <c r="S97" s="131"/>
      <c r="T97" s="131"/>
      <c r="U97" s="131"/>
      <c r="V97" s="131"/>
      <c r="W97" s="131"/>
      <c r="X97" s="131"/>
      <c r="Y97" s="131"/>
      <c r="Z97" s="131"/>
    </row>
    <row r="98">
      <c r="A98" s="164" t="str">
        <f>hyperlink("https://issues.sierrawireless.com/browse/FWTOOLS-257", "FWTOOLS-257")</f>
        <v>FWTOOLS-257</v>
      </c>
      <c r="B98" s="40" t="s">
        <v>6567</v>
      </c>
      <c r="C98" s="40" t="s">
        <v>469</v>
      </c>
      <c r="D98" s="165">
        <v>43252.0</v>
      </c>
      <c r="E98" s="40" t="s">
        <v>92</v>
      </c>
      <c r="F98" s="40" t="s">
        <v>6027</v>
      </c>
      <c r="G98" s="40" t="s">
        <v>140</v>
      </c>
      <c r="H98" s="40" t="s">
        <v>140</v>
      </c>
      <c r="I98" s="167">
        <v>43255.0</v>
      </c>
      <c r="J98" s="131"/>
      <c r="K98" s="131"/>
      <c r="L98" s="131"/>
      <c r="M98" s="131"/>
      <c r="N98" s="131"/>
      <c r="O98" s="131"/>
      <c r="P98" s="131"/>
      <c r="Q98" s="131"/>
      <c r="R98" s="131"/>
      <c r="S98" s="131"/>
      <c r="T98" s="131"/>
      <c r="U98" s="131"/>
      <c r="V98" s="131"/>
      <c r="W98" s="131"/>
      <c r="X98" s="131"/>
      <c r="Y98" s="131"/>
      <c r="Z98" s="131"/>
    </row>
    <row r="99">
      <c r="A99" s="164" t="str">
        <f>hyperlink("https://issues.sierrawireless.com/browse/FWTOOLS-256", "FWTOOLS-256")</f>
        <v>FWTOOLS-256</v>
      </c>
      <c r="B99" s="40" t="s">
        <v>6572</v>
      </c>
      <c r="C99" s="40" t="s">
        <v>469</v>
      </c>
      <c r="D99" s="165">
        <v>43252.0</v>
      </c>
      <c r="E99" s="40" t="s">
        <v>92</v>
      </c>
      <c r="F99" s="40" t="s">
        <v>6027</v>
      </c>
      <c r="G99" s="40" t="s">
        <v>140</v>
      </c>
      <c r="H99" s="40" t="s">
        <v>140</v>
      </c>
      <c r="I99" s="167">
        <v>43255.0</v>
      </c>
      <c r="J99" s="131"/>
      <c r="K99" s="131"/>
      <c r="L99" s="131"/>
      <c r="M99" s="131"/>
      <c r="N99" s="131"/>
      <c r="O99" s="131"/>
      <c r="P99" s="131"/>
      <c r="Q99" s="131"/>
      <c r="R99" s="131"/>
      <c r="S99" s="131"/>
      <c r="T99" s="131"/>
      <c r="U99" s="131"/>
      <c r="V99" s="131"/>
      <c r="W99" s="131"/>
      <c r="X99" s="131"/>
      <c r="Y99" s="131"/>
      <c r="Z99" s="131"/>
    </row>
    <row r="100">
      <c r="A100" s="164" t="str">
        <f>hyperlink("https://issues.sierrawireless.com/browse/FWTOOLS-254", "FWTOOLS-254")</f>
        <v>FWTOOLS-254</v>
      </c>
      <c r="B100" s="40" t="s">
        <v>6578</v>
      </c>
      <c r="C100" s="40" t="s">
        <v>469</v>
      </c>
      <c r="D100" s="165">
        <v>43252.0</v>
      </c>
      <c r="E100" s="40" t="s">
        <v>92</v>
      </c>
      <c r="F100" s="40" t="s">
        <v>6027</v>
      </c>
      <c r="G100" s="40" t="s">
        <v>120</v>
      </c>
      <c r="H100" s="40" t="s">
        <v>140</v>
      </c>
      <c r="I100" s="167">
        <v>43255.0</v>
      </c>
      <c r="J100" s="131"/>
      <c r="K100" s="131"/>
      <c r="L100" s="131"/>
      <c r="M100" s="131"/>
      <c r="N100" s="131"/>
      <c r="O100" s="131"/>
      <c r="P100" s="131"/>
      <c r="Q100" s="131"/>
      <c r="R100" s="131"/>
      <c r="S100" s="131"/>
      <c r="T100" s="131"/>
      <c r="U100" s="131"/>
      <c r="V100" s="131"/>
      <c r="W100" s="131"/>
      <c r="X100" s="131"/>
      <c r="Y100" s="131"/>
      <c r="Z100" s="131"/>
    </row>
    <row r="101">
      <c r="A101" s="164" t="str">
        <f>hyperlink("https://issues.sierrawireless.com/browse/FWTOOLS-252", "FWTOOLS-252")</f>
        <v>FWTOOLS-252</v>
      </c>
      <c r="B101" s="40" t="s">
        <v>6582</v>
      </c>
      <c r="C101" s="40" t="s">
        <v>139</v>
      </c>
      <c r="D101" s="165">
        <v>43252.0</v>
      </c>
      <c r="E101" s="40" t="s">
        <v>92</v>
      </c>
      <c r="F101" s="40" t="s">
        <v>6027</v>
      </c>
      <c r="G101" s="40" t="s">
        <v>140</v>
      </c>
      <c r="H101" s="40" t="s">
        <v>140</v>
      </c>
      <c r="I101" s="167">
        <v>43255.0</v>
      </c>
      <c r="J101" s="131"/>
      <c r="K101" s="131"/>
      <c r="L101" s="131"/>
      <c r="M101" s="131"/>
      <c r="N101" s="131"/>
      <c r="O101" s="131"/>
      <c r="P101" s="131"/>
      <c r="Q101" s="131"/>
      <c r="R101" s="131"/>
      <c r="S101" s="131"/>
      <c r="T101" s="131"/>
      <c r="U101" s="131"/>
      <c r="V101" s="131"/>
      <c r="W101" s="131"/>
      <c r="X101" s="131"/>
      <c r="Y101" s="131"/>
      <c r="Z101" s="131"/>
    </row>
    <row r="102">
      <c r="A102" s="164" t="str">
        <f>hyperlink("https://issues.sierrawireless.com/browse/FWTOOLS-251", "FWTOOLS-251")</f>
        <v>FWTOOLS-251</v>
      </c>
      <c r="B102" s="40" t="s">
        <v>6590</v>
      </c>
      <c r="C102" s="40" t="s">
        <v>139</v>
      </c>
      <c r="D102" s="165">
        <v>43252.0</v>
      </c>
      <c r="E102" s="40" t="s">
        <v>92</v>
      </c>
      <c r="F102" s="40" t="s">
        <v>6027</v>
      </c>
      <c r="G102" s="40" t="s">
        <v>140</v>
      </c>
      <c r="H102" s="40" t="s">
        <v>140</v>
      </c>
      <c r="I102" s="167">
        <v>43255.0</v>
      </c>
      <c r="J102" s="131"/>
      <c r="K102" s="131"/>
      <c r="L102" s="131"/>
      <c r="M102" s="131"/>
      <c r="N102" s="131"/>
      <c r="O102" s="131"/>
      <c r="P102" s="131"/>
      <c r="Q102" s="131"/>
      <c r="R102" s="131"/>
      <c r="S102" s="131"/>
      <c r="T102" s="131"/>
      <c r="U102" s="131"/>
      <c r="V102" s="131"/>
      <c r="W102" s="131"/>
      <c r="X102" s="131"/>
      <c r="Y102" s="131"/>
      <c r="Z102" s="131"/>
    </row>
    <row r="103">
      <c r="A103" s="164" t="str">
        <f>hyperlink("https://issues.sierrawireless.com/browse/FWTOOLS-250", "FWTOOLS-250")</f>
        <v>FWTOOLS-250</v>
      </c>
      <c r="B103" s="40" t="s">
        <v>6600</v>
      </c>
      <c r="C103" s="40" t="s">
        <v>139</v>
      </c>
      <c r="D103" s="165">
        <v>43252.0</v>
      </c>
      <c r="E103" s="40" t="s">
        <v>92</v>
      </c>
      <c r="F103" s="40" t="s">
        <v>6027</v>
      </c>
      <c r="G103" s="40" t="s">
        <v>140</v>
      </c>
      <c r="H103" s="40" t="s">
        <v>140</v>
      </c>
      <c r="I103" s="167">
        <v>43255.0</v>
      </c>
      <c r="J103" s="131"/>
      <c r="K103" s="131"/>
      <c r="L103" s="131"/>
      <c r="M103" s="131"/>
      <c r="N103" s="131"/>
      <c r="O103" s="131"/>
      <c r="P103" s="131"/>
      <c r="Q103" s="131"/>
      <c r="R103" s="131"/>
      <c r="S103" s="131"/>
      <c r="T103" s="131"/>
      <c r="U103" s="131"/>
      <c r="V103" s="131"/>
      <c r="W103" s="131"/>
      <c r="X103" s="131"/>
      <c r="Y103" s="131"/>
      <c r="Z103" s="131"/>
    </row>
    <row r="104">
      <c r="A104" s="164" t="str">
        <f>hyperlink("https://issues.sierrawireless.com/browse/FWTOOLS-260", "FWTOOLS-260")</f>
        <v>FWTOOLS-260</v>
      </c>
      <c r="B104" s="40" t="s">
        <v>6607</v>
      </c>
      <c r="C104" s="40" t="s">
        <v>139</v>
      </c>
      <c r="D104" s="165">
        <v>43252.0</v>
      </c>
      <c r="E104" s="40" t="s">
        <v>92</v>
      </c>
      <c r="F104" s="40" t="s">
        <v>5987</v>
      </c>
      <c r="G104" s="40" t="s">
        <v>1235</v>
      </c>
      <c r="H104" s="40" t="s">
        <v>1235</v>
      </c>
      <c r="I104" s="167">
        <v>43306.0</v>
      </c>
      <c r="J104" s="131"/>
      <c r="K104" s="131"/>
      <c r="L104" s="131"/>
      <c r="M104" s="131"/>
      <c r="N104" s="131"/>
      <c r="O104" s="131"/>
      <c r="P104" s="131"/>
      <c r="Q104" s="131"/>
      <c r="R104" s="131"/>
      <c r="S104" s="131"/>
      <c r="T104" s="131"/>
      <c r="U104" s="131"/>
      <c r="V104" s="131"/>
      <c r="W104" s="131"/>
      <c r="X104" s="131"/>
      <c r="Y104" s="131"/>
      <c r="Z104" s="131"/>
    </row>
    <row r="105">
      <c r="A105" s="168" t="str">
        <f>hyperlink("https://issues.sierrawireless.com/browse/FWTOOLS-246", "FWTOOLS-246")</f>
        <v>FWTOOLS-246</v>
      </c>
      <c r="B105" s="30" t="s">
        <v>6613</v>
      </c>
      <c r="C105" s="30" t="s">
        <v>469</v>
      </c>
      <c r="D105" s="35">
        <v>43251.0</v>
      </c>
      <c r="E105" s="30" t="s">
        <v>92</v>
      </c>
      <c r="F105" s="30" t="s">
        <v>3804</v>
      </c>
      <c r="G105" s="30" t="s">
        <v>148</v>
      </c>
      <c r="H105" s="30" t="s">
        <v>148</v>
      </c>
    </row>
    <row r="106">
      <c r="A106" s="168" t="str">
        <f>hyperlink("https://issues.sierrawireless.com/browse/FWTOOLS-247", "FWTOOLS-247")</f>
        <v>FWTOOLS-247</v>
      </c>
      <c r="B106" s="30" t="s">
        <v>6617</v>
      </c>
      <c r="C106" s="30" t="s">
        <v>417</v>
      </c>
      <c r="D106" s="35">
        <v>43251.0</v>
      </c>
      <c r="E106" s="30" t="s">
        <v>92</v>
      </c>
      <c r="F106" s="30" t="s">
        <v>3804</v>
      </c>
      <c r="G106" s="30" t="s">
        <v>148</v>
      </c>
      <c r="H106" s="30" t="s">
        <v>148</v>
      </c>
    </row>
    <row r="107">
      <c r="A107" s="164" t="str">
        <f>hyperlink("https://issues.sierrawireless.com/browse/FWTOOLS-245", "FWTOOLS-245")</f>
        <v>FWTOOLS-245</v>
      </c>
      <c r="B107" s="40" t="s">
        <v>6622</v>
      </c>
      <c r="C107" s="40" t="s">
        <v>139</v>
      </c>
      <c r="D107" s="165">
        <v>43251.0</v>
      </c>
      <c r="E107" s="40" t="s">
        <v>92</v>
      </c>
      <c r="F107" s="40" t="s">
        <v>5987</v>
      </c>
      <c r="G107" s="40" t="s">
        <v>1891</v>
      </c>
      <c r="H107" s="40" t="s">
        <v>1891</v>
      </c>
      <c r="I107" s="167">
        <v>43251.0</v>
      </c>
      <c r="J107" s="131"/>
      <c r="K107" s="131"/>
      <c r="L107" s="131"/>
      <c r="M107" s="131"/>
      <c r="N107" s="131"/>
      <c r="O107" s="131"/>
      <c r="P107" s="131"/>
      <c r="Q107" s="131"/>
      <c r="R107" s="131"/>
      <c r="S107" s="131"/>
      <c r="T107" s="131"/>
      <c r="U107" s="131"/>
      <c r="V107" s="131"/>
      <c r="W107" s="131"/>
      <c r="X107" s="131"/>
      <c r="Y107" s="131"/>
      <c r="Z107" s="131"/>
    </row>
    <row r="108">
      <c r="A108" s="164" t="str">
        <f>hyperlink("https://issues.sierrawireless.com/browse/FWTOOLS-244", "FWTOOLS-244")</f>
        <v>FWTOOLS-244</v>
      </c>
      <c r="B108" s="40" t="s">
        <v>6630</v>
      </c>
      <c r="C108" s="40" t="s">
        <v>469</v>
      </c>
      <c r="D108" s="165">
        <v>43249.0</v>
      </c>
      <c r="E108" s="40" t="s">
        <v>92</v>
      </c>
      <c r="F108" s="40" t="s">
        <v>6027</v>
      </c>
      <c r="G108" s="40" t="s">
        <v>120</v>
      </c>
      <c r="H108" s="40" t="s">
        <v>140</v>
      </c>
      <c r="I108" s="167">
        <v>43255.0</v>
      </c>
      <c r="J108" s="131"/>
      <c r="K108" s="131"/>
      <c r="L108" s="131"/>
      <c r="M108" s="131"/>
      <c r="N108" s="131"/>
      <c r="O108" s="131"/>
      <c r="P108" s="131"/>
      <c r="Q108" s="131"/>
      <c r="R108" s="131"/>
      <c r="S108" s="131"/>
      <c r="T108" s="131"/>
      <c r="U108" s="131"/>
      <c r="V108" s="131"/>
      <c r="W108" s="131"/>
      <c r="X108" s="131"/>
      <c r="Y108" s="131"/>
      <c r="Z108" s="131"/>
    </row>
    <row r="109">
      <c r="A109" s="164" t="str">
        <f>hyperlink("https://issues.sierrawireless.com/browse/FWTOOLS-243", "FWTOOLS-243")</f>
        <v>FWTOOLS-243</v>
      </c>
      <c r="B109" s="40" t="s">
        <v>6636</v>
      </c>
      <c r="C109" s="40" t="s">
        <v>469</v>
      </c>
      <c r="D109" s="165">
        <v>43248.0</v>
      </c>
      <c r="E109" s="40" t="s">
        <v>92</v>
      </c>
      <c r="F109" s="40" t="s">
        <v>3804</v>
      </c>
      <c r="G109" s="40" t="s">
        <v>148</v>
      </c>
      <c r="H109" s="40" t="s">
        <v>148</v>
      </c>
      <c r="I109" s="131"/>
      <c r="J109" s="131"/>
      <c r="K109" s="131"/>
      <c r="L109" s="131"/>
      <c r="M109" s="131"/>
      <c r="N109" s="131"/>
      <c r="O109" s="131"/>
      <c r="P109" s="131"/>
      <c r="Q109" s="131"/>
      <c r="R109" s="131"/>
      <c r="S109" s="131"/>
      <c r="T109" s="131"/>
      <c r="U109" s="131"/>
      <c r="V109" s="131"/>
      <c r="W109" s="131"/>
      <c r="X109" s="131"/>
      <c r="Y109" s="131"/>
      <c r="Z109" s="131"/>
    </row>
    <row r="110">
      <c r="A110" s="164" t="str">
        <f>hyperlink("https://issues.sierrawireless.com/browse/FWTOOLS-231", "FWTOOLS-231")</f>
        <v>FWTOOLS-231</v>
      </c>
      <c r="B110" s="40" t="s">
        <v>6642</v>
      </c>
      <c r="C110" s="40" t="s">
        <v>469</v>
      </c>
      <c r="D110" s="165">
        <v>43244.0</v>
      </c>
      <c r="E110" s="40" t="s">
        <v>92</v>
      </c>
      <c r="F110" s="40" t="s">
        <v>6027</v>
      </c>
      <c r="G110" s="40" t="s">
        <v>120</v>
      </c>
      <c r="H110" s="40" t="s">
        <v>253</v>
      </c>
      <c r="I110" s="167">
        <v>43248.0</v>
      </c>
      <c r="J110" s="167">
        <v>43252.0</v>
      </c>
      <c r="K110" s="131"/>
      <c r="L110" s="131"/>
      <c r="M110" s="131"/>
      <c r="N110" s="131"/>
      <c r="O110" s="131"/>
      <c r="P110" s="131"/>
      <c r="Q110" s="131"/>
      <c r="R110" s="131"/>
      <c r="S110" s="131"/>
      <c r="T110" s="131"/>
      <c r="U110" s="131"/>
      <c r="V110" s="131"/>
      <c r="W110" s="131"/>
      <c r="X110" s="131"/>
      <c r="Y110" s="131"/>
      <c r="Z110" s="131"/>
    </row>
    <row r="111">
      <c r="A111" s="164" t="str">
        <f>hyperlink("https://issues.sierrawireless.com/browse/FWTOOLS-230", "FWTOOLS-230")</f>
        <v>FWTOOLS-230</v>
      </c>
      <c r="B111" s="40" t="s">
        <v>6648</v>
      </c>
      <c r="C111" s="40" t="s">
        <v>469</v>
      </c>
      <c r="D111" s="165">
        <v>43244.0</v>
      </c>
      <c r="E111" s="40" t="s">
        <v>92</v>
      </c>
      <c r="F111" s="40" t="s">
        <v>6027</v>
      </c>
      <c r="G111" s="40" t="s">
        <v>120</v>
      </c>
      <c r="H111" s="40" t="s">
        <v>253</v>
      </c>
      <c r="I111" s="167">
        <v>43241.0</v>
      </c>
      <c r="J111" s="167">
        <v>43252.0</v>
      </c>
      <c r="K111" s="131"/>
      <c r="L111" s="131"/>
      <c r="M111" s="131"/>
      <c r="N111" s="131"/>
      <c r="O111" s="131"/>
      <c r="P111" s="131"/>
      <c r="Q111" s="131"/>
      <c r="R111" s="131"/>
      <c r="S111" s="131"/>
      <c r="T111" s="131"/>
      <c r="U111" s="131"/>
      <c r="V111" s="131"/>
      <c r="W111" s="131"/>
      <c r="X111" s="131"/>
      <c r="Y111" s="131"/>
      <c r="Z111" s="131"/>
    </row>
    <row r="112">
      <c r="A112" s="164" t="str">
        <f>hyperlink("https://issues.sierrawireless.com/browse/FWTOOLS-229", "FWTOOLS-229")</f>
        <v>FWTOOLS-229</v>
      </c>
      <c r="B112" s="40" t="s">
        <v>6653</v>
      </c>
      <c r="C112" s="40" t="s">
        <v>469</v>
      </c>
      <c r="D112" s="165">
        <v>43244.0</v>
      </c>
      <c r="E112" s="40" t="s">
        <v>92</v>
      </c>
      <c r="F112" s="40" t="s">
        <v>6027</v>
      </c>
      <c r="G112" s="40" t="s">
        <v>120</v>
      </c>
      <c r="H112" s="40" t="s">
        <v>253</v>
      </c>
      <c r="I112" s="167">
        <v>43241.0</v>
      </c>
      <c r="J112" s="167">
        <v>43245.0</v>
      </c>
      <c r="K112" s="131"/>
      <c r="L112" s="131"/>
      <c r="M112" s="131"/>
      <c r="N112" s="131"/>
      <c r="O112" s="131"/>
      <c r="P112" s="131"/>
      <c r="Q112" s="131"/>
      <c r="R112" s="131"/>
      <c r="S112" s="131"/>
      <c r="T112" s="131"/>
      <c r="U112" s="131"/>
      <c r="V112" s="131"/>
      <c r="W112" s="131"/>
      <c r="X112" s="131"/>
      <c r="Y112" s="131"/>
      <c r="Z112" s="131"/>
    </row>
    <row r="113">
      <c r="A113" s="164" t="str">
        <f>hyperlink("https://issues.sierrawireless.com/browse/FWTOOLS-232", "FWTOOLS-232")</f>
        <v>FWTOOLS-232</v>
      </c>
      <c r="B113" s="40" t="s">
        <v>6663</v>
      </c>
      <c r="C113" s="40" t="s">
        <v>469</v>
      </c>
      <c r="D113" s="165">
        <v>43244.0</v>
      </c>
      <c r="E113" s="40" t="s">
        <v>92</v>
      </c>
      <c r="F113" s="40" t="s">
        <v>6027</v>
      </c>
      <c r="G113" s="40" t="s">
        <v>120</v>
      </c>
      <c r="H113" s="40" t="s">
        <v>253</v>
      </c>
      <c r="I113" s="167">
        <v>43241.0</v>
      </c>
      <c r="J113" s="167">
        <v>43245.0</v>
      </c>
      <c r="K113" s="131"/>
      <c r="L113" s="131"/>
      <c r="M113" s="131"/>
      <c r="N113" s="131"/>
      <c r="O113" s="131"/>
      <c r="P113" s="131"/>
      <c r="Q113" s="131"/>
      <c r="R113" s="131"/>
      <c r="S113" s="131"/>
      <c r="T113" s="131"/>
      <c r="U113" s="131"/>
      <c r="V113" s="131"/>
      <c r="W113" s="131"/>
      <c r="X113" s="131"/>
      <c r="Y113" s="131"/>
      <c r="Z113" s="131"/>
    </row>
    <row r="114">
      <c r="A114" s="164" t="str">
        <f>hyperlink("https://issues.sierrawireless.com/browse/FWTOOLS-233", "FWTOOLS-233")</f>
        <v>FWTOOLS-233</v>
      </c>
      <c r="B114" s="40" t="s">
        <v>6669</v>
      </c>
      <c r="C114" s="40" t="s">
        <v>469</v>
      </c>
      <c r="D114" s="165">
        <v>43244.0</v>
      </c>
      <c r="E114" s="40" t="s">
        <v>92</v>
      </c>
      <c r="F114" s="40" t="s">
        <v>6027</v>
      </c>
      <c r="G114" s="40" t="s">
        <v>120</v>
      </c>
      <c r="H114" s="40" t="s">
        <v>253</v>
      </c>
      <c r="I114" s="167">
        <v>43241.0</v>
      </c>
      <c r="J114" s="167">
        <v>43245.0</v>
      </c>
      <c r="K114" s="131"/>
      <c r="L114" s="131"/>
      <c r="M114" s="131"/>
      <c r="N114" s="131"/>
      <c r="O114" s="131"/>
      <c r="P114" s="131"/>
      <c r="Q114" s="131"/>
      <c r="R114" s="131"/>
      <c r="S114" s="131"/>
      <c r="T114" s="131"/>
      <c r="U114" s="131"/>
      <c r="V114" s="131"/>
      <c r="W114" s="131"/>
      <c r="X114" s="131"/>
      <c r="Y114" s="131"/>
      <c r="Z114" s="131"/>
    </row>
    <row r="115">
      <c r="A115" s="164" t="str">
        <f>hyperlink("https://issues.sierrawireless.com/browse/FWTOOLS-235", "FWTOOLS-235")</f>
        <v>FWTOOLS-235</v>
      </c>
      <c r="B115" s="40" t="s">
        <v>6674</v>
      </c>
      <c r="C115" s="40" t="s">
        <v>139</v>
      </c>
      <c r="D115" s="165">
        <v>43244.0</v>
      </c>
      <c r="E115" s="40" t="s">
        <v>92</v>
      </c>
      <c r="F115" s="40" t="s">
        <v>6027</v>
      </c>
      <c r="G115" s="40" t="s">
        <v>253</v>
      </c>
      <c r="H115" s="40" t="s">
        <v>253</v>
      </c>
      <c r="I115" s="167">
        <v>43241.0</v>
      </c>
      <c r="J115" s="167">
        <v>43252.0</v>
      </c>
      <c r="K115" s="131"/>
      <c r="L115" s="131"/>
      <c r="M115" s="131"/>
      <c r="N115" s="131"/>
      <c r="O115" s="131"/>
      <c r="P115" s="131"/>
      <c r="Q115" s="131"/>
      <c r="R115" s="131"/>
      <c r="S115" s="131"/>
      <c r="T115" s="131"/>
      <c r="U115" s="131"/>
      <c r="V115" s="131"/>
      <c r="W115" s="131"/>
      <c r="X115" s="131"/>
      <c r="Y115" s="131"/>
      <c r="Z115" s="131"/>
    </row>
    <row r="116">
      <c r="A116" s="164" t="str">
        <f>hyperlink("https://issues.sierrawireless.com/browse/FWTOOLS-234", "FWTOOLS-234")</f>
        <v>FWTOOLS-234</v>
      </c>
      <c r="B116" s="40" t="s">
        <v>6680</v>
      </c>
      <c r="C116" s="40" t="s">
        <v>139</v>
      </c>
      <c r="D116" s="165">
        <v>43244.0</v>
      </c>
      <c r="E116" s="40" t="s">
        <v>92</v>
      </c>
      <c r="F116" s="40" t="s">
        <v>6027</v>
      </c>
      <c r="G116" s="40" t="s">
        <v>253</v>
      </c>
      <c r="H116" s="40" t="s">
        <v>253</v>
      </c>
      <c r="I116" s="167">
        <v>43241.0</v>
      </c>
      <c r="J116" s="167">
        <v>43252.0</v>
      </c>
      <c r="K116" s="131"/>
      <c r="L116" s="131"/>
      <c r="M116" s="131"/>
      <c r="N116" s="131"/>
      <c r="O116" s="131"/>
      <c r="P116" s="131"/>
      <c r="Q116" s="131"/>
      <c r="R116" s="131"/>
      <c r="S116" s="131"/>
      <c r="T116" s="131"/>
      <c r="U116" s="131"/>
      <c r="V116" s="131"/>
      <c r="W116" s="131"/>
      <c r="X116" s="131"/>
      <c r="Y116" s="131"/>
      <c r="Z116" s="131"/>
    </row>
    <row r="117">
      <c r="A117" s="164" t="str">
        <f>hyperlink("https://issues.sierrawireless.com/browse/FWTOOLS-239", "FWTOOLS-239")</f>
        <v>FWTOOLS-239</v>
      </c>
      <c r="B117" s="40" t="s">
        <v>6688</v>
      </c>
      <c r="C117" s="40" t="s">
        <v>469</v>
      </c>
      <c r="D117" s="165">
        <v>43244.0</v>
      </c>
      <c r="E117" s="40" t="s">
        <v>92</v>
      </c>
      <c r="F117" s="40" t="s">
        <v>6027</v>
      </c>
      <c r="G117" s="40" t="s">
        <v>120</v>
      </c>
      <c r="H117" s="40" t="s">
        <v>253</v>
      </c>
      <c r="I117" s="167">
        <v>43248.0</v>
      </c>
      <c r="J117" s="167">
        <v>43252.0</v>
      </c>
      <c r="K117" s="131"/>
      <c r="L117" s="131"/>
      <c r="M117" s="131"/>
      <c r="N117" s="131"/>
      <c r="O117" s="131"/>
      <c r="P117" s="131"/>
      <c r="Q117" s="131"/>
      <c r="R117" s="131"/>
      <c r="S117" s="131"/>
      <c r="T117" s="131"/>
      <c r="U117" s="131"/>
      <c r="V117" s="131"/>
      <c r="W117" s="131"/>
      <c r="X117" s="131"/>
      <c r="Y117" s="131"/>
      <c r="Z117" s="131"/>
    </row>
    <row r="118">
      <c r="A118" s="164" t="str">
        <f>hyperlink("https://issues.sierrawireless.com/browse/FWTOOLS-238", "FWTOOLS-238")</f>
        <v>FWTOOLS-238</v>
      </c>
      <c r="B118" s="40" t="s">
        <v>6693</v>
      </c>
      <c r="C118" s="40" t="s">
        <v>139</v>
      </c>
      <c r="D118" s="165">
        <v>43244.0</v>
      </c>
      <c r="E118" s="40" t="s">
        <v>92</v>
      </c>
      <c r="F118" s="40" t="s">
        <v>6027</v>
      </c>
      <c r="G118" s="40" t="s">
        <v>253</v>
      </c>
      <c r="H118" s="40" t="s">
        <v>253</v>
      </c>
      <c r="I118" s="167">
        <v>43241.0</v>
      </c>
      <c r="J118" s="167">
        <v>43252.0</v>
      </c>
      <c r="K118" s="131"/>
      <c r="L118" s="131"/>
      <c r="M118" s="131"/>
      <c r="N118" s="131"/>
      <c r="O118" s="131"/>
      <c r="P118" s="131"/>
      <c r="Q118" s="131"/>
      <c r="R118" s="131"/>
      <c r="S118" s="131"/>
      <c r="T118" s="131"/>
      <c r="U118" s="131"/>
      <c r="V118" s="131"/>
      <c r="W118" s="131"/>
      <c r="X118" s="131"/>
      <c r="Y118" s="131"/>
      <c r="Z118" s="131"/>
    </row>
    <row r="119">
      <c r="A119" s="164" t="str">
        <f>hyperlink("https://issues.sierrawireless.com/browse/FWTOOLS-237", "FWTOOLS-237")</f>
        <v>FWTOOLS-237</v>
      </c>
      <c r="B119" s="40" t="s">
        <v>6698</v>
      </c>
      <c r="C119" s="40" t="s">
        <v>469</v>
      </c>
      <c r="D119" s="165">
        <v>43244.0</v>
      </c>
      <c r="E119" s="40" t="s">
        <v>92</v>
      </c>
      <c r="F119" s="40" t="s">
        <v>6027</v>
      </c>
      <c r="G119" s="40" t="s">
        <v>120</v>
      </c>
      <c r="H119" s="40" t="s">
        <v>253</v>
      </c>
      <c r="I119" s="167">
        <v>43241.0</v>
      </c>
      <c r="J119" s="167">
        <v>43252.0</v>
      </c>
      <c r="K119" s="131"/>
      <c r="L119" s="131"/>
      <c r="M119" s="131"/>
      <c r="N119" s="131"/>
      <c r="O119" s="131"/>
      <c r="P119" s="131"/>
      <c r="Q119" s="131"/>
      <c r="R119" s="131"/>
      <c r="S119" s="131"/>
      <c r="T119" s="131"/>
      <c r="U119" s="131"/>
      <c r="V119" s="131"/>
      <c r="W119" s="131"/>
      <c r="X119" s="131"/>
      <c r="Y119" s="131"/>
      <c r="Z119" s="131"/>
    </row>
    <row r="120">
      <c r="A120" s="164" t="str">
        <f>hyperlink("https://issues.sierrawireless.com/browse/FWTOOLS-236", "FWTOOLS-236")</f>
        <v>FWTOOLS-236</v>
      </c>
      <c r="B120" s="40" t="s">
        <v>6702</v>
      </c>
      <c r="C120" s="40" t="s">
        <v>469</v>
      </c>
      <c r="D120" s="165">
        <v>43244.0</v>
      </c>
      <c r="E120" s="40" t="s">
        <v>92</v>
      </c>
      <c r="F120" s="40" t="s">
        <v>6027</v>
      </c>
      <c r="G120" s="40" t="s">
        <v>120</v>
      </c>
      <c r="H120" s="40" t="s">
        <v>253</v>
      </c>
      <c r="I120" s="167">
        <v>43248.0</v>
      </c>
      <c r="J120" s="167">
        <v>43252.0</v>
      </c>
      <c r="K120" s="131"/>
      <c r="L120" s="131"/>
      <c r="M120" s="131"/>
      <c r="N120" s="131"/>
      <c r="O120" s="131"/>
      <c r="P120" s="131"/>
      <c r="Q120" s="131"/>
      <c r="R120" s="131"/>
      <c r="S120" s="131"/>
      <c r="T120" s="131"/>
      <c r="U120" s="131"/>
      <c r="V120" s="131"/>
      <c r="W120" s="131"/>
      <c r="X120" s="131"/>
      <c r="Y120" s="131"/>
      <c r="Z120" s="131"/>
    </row>
    <row r="121">
      <c r="A121" s="164" t="str">
        <f>hyperlink("https://issues.sierrawireless.com/browse/FWTOOLS-240", "FWTOOLS-240")</f>
        <v>FWTOOLS-240</v>
      </c>
      <c r="B121" s="40" t="s">
        <v>6708</v>
      </c>
      <c r="C121" s="40" t="s">
        <v>469</v>
      </c>
      <c r="D121" s="165">
        <v>43244.0</v>
      </c>
      <c r="E121" s="40" t="s">
        <v>92</v>
      </c>
      <c r="F121" s="40" t="s">
        <v>6027</v>
      </c>
      <c r="G121" s="40" t="s">
        <v>140</v>
      </c>
      <c r="H121" s="40" t="s">
        <v>253</v>
      </c>
      <c r="I121" s="167">
        <v>43248.0</v>
      </c>
      <c r="J121" s="167">
        <v>43266.0</v>
      </c>
      <c r="K121" s="131"/>
      <c r="L121" s="131"/>
      <c r="M121" s="131"/>
      <c r="N121" s="131"/>
      <c r="O121" s="131"/>
      <c r="P121" s="131"/>
      <c r="Q121" s="131"/>
      <c r="R121" s="131"/>
      <c r="S121" s="131"/>
      <c r="T121" s="131"/>
      <c r="U121" s="131"/>
      <c r="V121" s="131"/>
      <c r="W121" s="131"/>
      <c r="X121" s="131"/>
      <c r="Y121" s="131"/>
      <c r="Z121" s="131"/>
    </row>
    <row r="122">
      <c r="A122" s="164" t="str">
        <f>hyperlink("https://issues.sierrawireless.com/browse/FWTOOLS-228", "FWTOOLS-228")</f>
        <v>FWTOOLS-228</v>
      </c>
      <c r="B122" s="40" t="s">
        <v>6713</v>
      </c>
      <c r="C122" s="40" t="s">
        <v>469</v>
      </c>
      <c r="D122" s="165">
        <v>43243.0</v>
      </c>
      <c r="E122" s="40" t="s">
        <v>92</v>
      </c>
      <c r="F122" s="40" t="s">
        <v>6027</v>
      </c>
      <c r="G122" s="40" t="s">
        <v>120</v>
      </c>
      <c r="H122" s="40" t="s">
        <v>120</v>
      </c>
      <c r="I122" s="167">
        <v>43241.0</v>
      </c>
      <c r="J122" s="167">
        <v>43245.0</v>
      </c>
      <c r="K122" s="131"/>
      <c r="L122" s="131"/>
      <c r="M122" s="131"/>
      <c r="N122" s="131"/>
      <c r="O122" s="131"/>
      <c r="P122" s="131"/>
      <c r="Q122" s="131"/>
      <c r="R122" s="131"/>
      <c r="S122" s="131"/>
      <c r="T122" s="131"/>
      <c r="U122" s="131"/>
      <c r="V122" s="131"/>
      <c r="W122" s="131"/>
      <c r="X122" s="131"/>
      <c r="Y122" s="131"/>
      <c r="Z122" s="131"/>
    </row>
    <row r="123">
      <c r="A123" s="168" t="str">
        <f>hyperlink("https://issues.sierrawireless.com/browse/FWTOOLS-226", "FWTOOLS-226")</f>
        <v>FWTOOLS-226</v>
      </c>
      <c r="B123" s="30" t="s">
        <v>6719</v>
      </c>
      <c r="C123" s="30" t="s">
        <v>417</v>
      </c>
      <c r="D123" s="35">
        <v>43242.0</v>
      </c>
      <c r="E123" s="30" t="s">
        <v>92</v>
      </c>
      <c r="F123" s="30" t="s">
        <v>3804</v>
      </c>
      <c r="G123" s="30" t="s">
        <v>148</v>
      </c>
      <c r="H123" s="30" t="s">
        <v>148</v>
      </c>
    </row>
    <row r="124">
      <c r="A124" s="164" t="str">
        <f>hyperlink("https://issues.sierrawireless.com/browse/FWTOOLS-225", "FWTOOLS-225")</f>
        <v>FWTOOLS-225</v>
      </c>
      <c r="B124" s="40" t="s">
        <v>6724</v>
      </c>
      <c r="C124" s="40" t="s">
        <v>469</v>
      </c>
      <c r="D124" s="165">
        <v>43238.0</v>
      </c>
      <c r="E124" s="40" t="s">
        <v>92</v>
      </c>
      <c r="F124" s="40" t="s">
        <v>5987</v>
      </c>
      <c r="G124" s="40" t="s">
        <v>148</v>
      </c>
      <c r="H124" s="40" t="s">
        <v>148</v>
      </c>
      <c r="I124" s="167">
        <v>43241.0</v>
      </c>
      <c r="J124" s="131"/>
      <c r="K124" s="131"/>
      <c r="L124" s="131"/>
      <c r="M124" s="131"/>
      <c r="N124" s="131"/>
      <c r="O124" s="131"/>
      <c r="P124" s="131"/>
      <c r="Q124" s="131"/>
      <c r="R124" s="131"/>
      <c r="S124" s="131"/>
      <c r="T124" s="131"/>
      <c r="U124" s="131"/>
      <c r="V124" s="131"/>
      <c r="W124" s="131"/>
      <c r="X124" s="131"/>
      <c r="Y124" s="131"/>
      <c r="Z124" s="131"/>
    </row>
    <row r="125">
      <c r="A125" s="164" t="str">
        <f>hyperlink("https://issues.sierrawireless.com/browse/FWTOOLS-224", "FWTOOLS-224")</f>
        <v>FWTOOLS-224</v>
      </c>
      <c r="B125" s="40" t="s">
        <v>6727</v>
      </c>
      <c r="C125" s="40" t="s">
        <v>469</v>
      </c>
      <c r="D125" s="165">
        <v>43237.0</v>
      </c>
      <c r="E125" s="40" t="s">
        <v>92</v>
      </c>
      <c r="F125" s="40" t="s">
        <v>3804</v>
      </c>
      <c r="G125" s="40" t="s">
        <v>148</v>
      </c>
      <c r="H125" s="40" t="s">
        <v>148</v>
      </c>
      <c r="I125" s="131"/>
      <c r="J125" s="131"/>
      <c r="K125" s="131"/>
      <c r="L125" s="131"/>
      <c r="M125" s="131"/>
      <c r="N125" s="131"/>
      <c r="O125" s="131"/>
      <c r="P125" s="131"/>
      <c r="Q125" s="131"/>
      <c r="R125" s="131"/>
      <c r="S125" s="131"/>
      <c r="T125" s="131"/>
      <c r="U125" s="131"/>
      <c r="V125" s="131"/>
      <c r="W125" s="131"/>
      <c r="X125" s="131"/>
      <c r="Y125" s="131"/>
      <c r="Z125" s="131"/>
    </row>
    <row r="126">
      <c r="A126" s="164" t="str">
        <f>hyperlink("https://issues.sierrawireless.com/browse/FWTOOLS-219", "FWTOOLS-219")</f>
        <v>FWTOOLS-219</v>
      </c>
      <c r="B126" s="40" t="s">
        <v>6733</v>
      </c>
      <c r="C126" s="40" t="s">
        <v>469</v>
      </c>
      <c r="D126" s="165">
        <v>43235.0</v>
      </c>
      <c r="E126" s="40" t="s">
        <v>92</v>
      </c>
      <c r="F126" s="40" t="s">
        <v>166</v>
      </c>
      <c r="G126" s="40" t="s">
        <v>148</v>
      </c>
      <c r="H126" s="40" t="s">
        <v>6735</v>
      </c>
      <c r="I126" s="131"/>
      <c r="J126" s="131"/>
      <c r="K126" s="131"/>
      <c r="L126" s="131"/>
      <c r="M126" s="131"/>
      <c r="N126" s="131"/>
      <c r="O126" s="131"/>
      <c r="P126" s="131"/>
      <c r="Q126" s="131"/>
      <c r="R126" s="131"/>
      <c r="S126" s="131"/>
      <c r="T126" s="131"/>
      <c r="U126" s="131"/>
      <c r="V126" s="131"/>
      <c r="W126" s="131"/>
      <c r="X126" s="131"/>
      <c r="Y126" s="131"/>
      <c r="Z126" s="131"/>
    </row>
    <row r="127">
      <c r="A127" s="164" t="str">
        <f>hyperlink("https://issues.sierrawireless.com/browse/FWTOOLS-220", "FWTOOLS-220")</f>
        <v>FWTOOLS-220</v>
      </c>
      <c r="B127" s="40" t="s">
        <v>6739</v>
      </c>
      <c r="C127" s="40" t="s">
        <v>469</v>
      </c>
      <c r="D127" s="165">
        <v>43235.0</v>
      </c>
      <c r="E127" s="40" t="s">
        <v>92</v>
      </c>
      <c r="F127" s="40" t="s">
        <v>166</v>
      </c>
      <c r="G127" s="40" t="s">
        <v>148</v>
      </c>
      <c r="H127" s="40" t="s">
        <v>285</v>
      </c>
      <c r="I127" s="131"/>
      <c r="J127" s="131"/>
      <c r="K127" s="131"/>
      <c r="L127" s="131"/>
      <c r="M127" s="131"/>
      <c r="N127" s="131"/>
      <c r="O127" s="131"/>
      <c r="P127" s="131"/>
      <c r="Q127" s="131"/>
      <c r="R127" s="131"/>
      <c r="S127" s="131"/>
      <c r="T127" s="131"/>
      <c r="U127" s="131"/>
      <c r="V127" s="131"/>
      <c r="W127" s="131"/>
      <c r="X127" s="131"/>
      <c r="Y127" s="131"/>
      <c r="Z127" s="131"/>
    </row>
    <row r="128">
      <c r="A128" s="164" t="str">
        <f>hyperlink("https://issues.sierrawireless.com/browse/FWTOOLS-221", "FWTOOLS-221")</f>
        <v>FWTOOLS-221</v>
      </c>
      <c r="B128" s="40" t="s">
        <v>6743</v>
      </c>
      <c r="C128" s="40" t="s">
        <v>196</v>
      </c>
      <c r="D128" s="165">
        <v>43235.0</v>
      </c>
      <c r="E128" s="166">
        <v>43238.0</v>
      </c>
      <c r="F128" s="40" t="s">
        <v>166</v>
      </c>
      <c r="G128" s="40" t="s">
        <v>6192</v>
      </c>
      <c r="H128" s="40" t="s">
        <v>6192</v>
      </c>
      <c r="I128" s="131"/>
      <c r="J128" s="131"/>
      <c r="K128" s="131"/>
      <c r="L128" s="131"/>
      <c r="M128" s="131"/>
      <c r="N128" s="131"/>
      <c r="O128" s="131"/>
      <c r="P128" s="131"/>
      <c r="Q128" s="131"/>
      <c r="R128" s="131"/>
      <c r="S128" s="131"/>
      <c r="T128" s="131"/>
      <c r="U128" s="131"/>
      <c r="V128" s="131"/>
      <c r="W128" s="131"/>
      <c r="X128" s="131"/>
      <c r="Y128" s="131"/>
      <c r="Z128" s="131"/>
    </row>
    <row r="129">
      <c r="A129" s="164" t="str">
        <f>hyperlink("https://issues.sierrawireless.com/browse/FWTOOLS-217", "FWTOOLS-217")</f>
        <v>FWTOOLS-217</v>
      </c>
      <c r="B129" s="40" t="s">
        <v>6749</v>
      </c>
      <c r="C129" s="40" t="s">
        <v>469</v>
      </c>
      <c r="D129" s="165">
        <v>43230.0</v>
      </c>
      <c r="E129" s="40" t="s">
        <v>92</v>
      </c>
      <c r="F129" s="40" t="s">
        <v>6027</v>
      </c>
      <c r="G129" s="40" t="s">
        <v>148</v>
      </c>
      <c r="H129" s="40" t="s">
        <v>148</v>
      </c>
      <c r="I129" s="167">
        <v>43227.0</v>
      </c>
      <c r="J129" s="167">
        <v>43230.0</v>
      </c>
      <c r="K129" s="131"/>
      <c r="L129" s="131"/>
      <c r="M129" s="131"/>
      <c r="N129" s="131"/>
      <c r="O129" s="131"/>
      <c r="P129" s="131"/>
      <c r="Q129" s="131"/>
      <c r="R129" s="131"/>
      <c r="S129" s="131"/>
      <c r="T129" s="131"/>
      <c r="U129" s="131"/>
      <c r="V129" s="131"/>
      <c r="W129" s="131"/>
      <c r="X129" s="131"/>
      <c r="Y129" s="131"/>
      <c r="Z129" s="131"/>
    </row>
    <row r="130">
      <c r="A130" s="164" t="str">
        <f>hyperlink("https://issues.sierrawireless.com/browse/FWTOOLS-215", "FWTOOLS-215")</f>
        <v>FWTOOLS-215</v>
      </c>
      <c r="B130" s="40" t="s">
        <v>6755</v>
      </c>
      <c r="C130" s="40" t="s">
        <v>469</v>
      </c>
      <c r="D130" s="165">
        <v>43214.0</v>
      </c>
      <c r="E130" s="40" t="s">
        <v>92</v>
      </c>
      <c r="F130" s="40" t="s">
        <v>5987</v>
      </c>
      <c r="G130" s="40" t="s">
        <v>148</v>
      </c>
      <c r="H130" s="40" t="s">
        <v>148</v>
      </c>
      <c r="I130" s="167">
        <v>43214.0</v>
      </c>
      <c r="J130" s="167">
        <v>43214.0</v>
      </c>
      <c r="K130" s="131"/>
      <c r="L130" s="131"/>
      <c r="M130" s="131"/>
      <c r="N130" s="131"/>
      <c r="O130" s="131"/>
      <c r="P130" s="131"/>
      <c r="Q130" s="131"/>
      <c r="R130" s="131"/>
      <c r="S130" s="131"/>
      <c r="T130" s="131"/>
      <c r="U130" s="131"/>
      <c r="V130" s="131"/>
      <c r="W130" s="131"/>
      <c r="X130" s="131"/>
      <c r="Y130" s="131"/>
      <c r="Z130" s="131"/>
    </row>
    <row r="131">
      <c r="A131" s="164" t="str">
        <f>hyperlink("https://issues.sierrawireless.com/browse/FWTOOLS-216", "FWTOOLS-216")</f>
        <v>FWTOOLS-216</v>
      </c>
      <c r="B131" s="40" t="s">
        <v>6759</v>
      </c>
      <c r="C131" s="40" t="s">
        <v>469</v>
      </c>
      <c r="D131" s="165">
        <v>43210.0</v>
      </c>
      <c r="E131" s="40" t="s">
        <v>92</v>
      </c>
      <c r="F131" s="40" t="s">
        <v>166</v>
      </c>
      <c r="G131" s="40" t="s">
        <v>148</v>
      </c>
      <c r="H131" s="40" t="s">
        <v>1196</v>
      </c>
      <c r="I131" s="131"/>
      <c r="J131" s="131"/>
      <c r="K131" s="131"/>
      <c r="L131" s="131"/>
      <c r="M131" s="131"/>
      <c r="N131" s="131"/>
      <c r="O131" s="131"/>
      <c r="P131" s="131"/>
      <c r="Q131" s="131"/>
      <c r="R131" s="131"/>
      <c r="S131" s="131"/>
      <c r="T131" s="131"/>
      <c r="U131" s="131"/>
      <c r="V131" s="131"/>
      <c r="W131" s="131"/>
      <c r="X131" s="131"/>
      <c r="Y131" s="131"/>
      <c r="Z131" s="131"/>
    </row>
    <row r="132">
      <c r="A132" s="164" t="str">
        <f>hyperlink("https://issues.sierrawireless.com/browse/FWTOOLS-211", "FWTOOLS-211")</f>
        <v>FWTOOLS-211</v>
      </c>
      <c r="B132" s="40" t="s">
        <v>6767</v>
      </c>
      <c r="C132" s="40" t="s">
        <v>469</v>
      </c>
      <c r="D132" s="165">
        <v>43209.0</v>
      </c>
      <c r="E132" s="40" t="s">
        <v>92</v>
      </c>
      <c r="F132" s="40" t="s">
        <v>5987</v>
      </c>
      <c r="G132" s="40" t="s">
        <v>148</v>
      </c>
      <c r="H132" s="40" t="s">
        <v>148</v>
      </c>
      <c r="I132" s="167">
        <v>43206.0</v>
      </c>
      <c r="J132" s="167">
        <v>43210.0</v>
      </c>
      <c r="K132" s="131"/>
      <c r="L132" s="131"/>
      <c r="M132" s="131"/>
      <c r="N132" s="131"/>
      <c r="O132" s="131"/>
      <c r="P132" s="131"/>
      <c r="Q132" s="131"/>
      <c r="R132" s="131"/>
      <c r="S132" s="131"/>
      <c r="T132" s="131"/>
      <c r="U132" s="131"/>
      <c r="V132" s="131"/>
      <c r="W132" s="131"/>
      <c r="X132" s="131"/>
      <c r="Y132" s="131"/>
      <c r="Z132" s="131"/>
    </row>
    <row r="133">
      <c r="A133" s="164" t="str">
        <f>hyperlink("https://issues.sierrawireless.com/browse/FWTOOLS-210", "FWTOOLS-210")</f>
        <v>FWTOOLS-210</v>
      </c>
      <c r="B133" s="40" t="s">
        <v>6771</v>
      </c>
      <c r="C133" s="40" t="s">
        <v>469</v>
      </c>
      <c r="D133" s="165">
        <v>43206.0</v>
      </c>
      <c r="E133" s="40" t="s">
        <v>92</v>
      </c>
      <c r="F133" s="40" t="s">
        <v>5987</v>
      </c>
      <c r="G133" s="40" t="s">
        <v>148</v>
      </c>
      <c r="H133" s="40" t="s">
        <v>148</v>
      </c>
      <c r="I133" s="167">
        <v>43206.0</v>
      </c>
      <c r="J133" s="167">
        <v>43209.0</v>
      </c>
      <c r="K133" s="131"/>
      <c r="L133" s="131"/>
      <c r="M133" s="131"/>
      <c r="N133" s="131"/>
      <c r="O133" s="131"/>
      <c r="P133" s="131"/>
      <c r="Q133" s="131"/>
      <c r="R133" s="131"/>
      <c r="S133" s="131"/>
      <c r="T133" s="131"/>
      <c r="U133" s="131"/>
      <c r="V133" s="131"/>
      <c r="W133" s="131"/>
      <c r="X133" s="131"/>
      <c r="Y133" s="131"/>
      <c r="Z133" s="131"/>
    </row>
    <row r="134">
      <c r="A134" s="164" t="str">
        <f>hyperlink("https://issues.sierrawireless.com/browse/FWTOOLS-207", "FWTOOLS-207")</f>
        <v>FWTOOLS-207</v>
      </c>
      <c r="B134" s="40" t="s">
        <v>6775</v>
      </c>
      <c r="C134" s="40" t="s">
        <v>469</v>
      </c>
      <c r="D134" s="165">
        <v>43200.0</v>
      </c>
      <c r="E134" s="40" t="s">
        <v>92</v>
      </c>
      <c r="F134" s="40" t="s">
        <v>5987</v>
      </c>
      <c r="G134" s="40" t="s">
        <v>148</v>
      </c>
      <c r="H134" s="40" t="s">
        <v>148</v>
      </c>
      <c r="I134" s="167">
        <v>43199.0</v>
      </c>
      <c r="J134" s="167">
        <v>43200.0</v>
      </c>
      <c r="K134" s="131"/>
      <c r="L134" s="131"/>
      <c r="M134" s="131"/>
      <c r="N134" s="131"/>
      <c r="O134" s="131"/>
      <c r="P134" s="131"/>
      <c r="Q134" s="131"/>
      <c r="R134" s="131"/>
      <c r="S134" s="131"/>
      <c r="T134" s="131"/>
      <c r="U134" s="131"/>
      <c r="V134" s="131"/>
      <c r="W134" s="131"/>
      <c r="X134" s="131"/>
      <c r="Y134" s="131"/>
      <c r="Z134" s="131"/>
    </row>
    <row r="135">
      <c r="A135" s="164" t="str">
        <f>hyperlink("https://issues.sierrawireless.com/browse/FWTOOLS-208", "FWTOOLS-208")</f>
        <v>FWTOOLS-208</v>
      </c>
      <c r="B135" s="40" t="s">
        <v>6782</v>
      </c>
      <c r="C135" s="40" t="s">
        <v>469</v>
      </c>
      <c r="D135" s="165">
        <v>43200.0</v>
      </c>
      <c r="E135" s="40" t="s">
        <v>92</v>
      </c>
      <c r="F135" s="40" t="s">
        <v>5987</v>
      </c>
      <c r="G135" s="40" t="s">
        <v>148</v>
      </c>
      <c r="H135" s="40" t="s">
        <v>148</v>
      </c>
      <c r="I135" s="167">
        <v>43199.0</v>
      </c>
      <c r="J135" s="167">
        <v>43200.0</v>
      </c>
      <c r="K135" s="131"/>
      <c r="L135" s="131"/>
      <c r="M135" s="131"/>
      <c r="N135" s="131"/>
      <c r="O135" s="131"/>
      <c r="P135" s="131"/>
      <c r="Q135" s="131"/>
      <c r="R135" s="131"/>
      <c r="S135" s="131"/>
      <c r="T135" s="131"/>
      <c r="U135" s="131"/>
      <c r="V135" s="131"/>
      <c r="W135" s="131"/>
      <c r="X135" s="131"/>
      <c r="Y135" s="131"/>
      <c r="Z135" s="131"/>
    </row>
    <row r="136">
      <c r="A136" s="164" t="str">
        <f>hyperlink("https://issues.sierrawireless.com/browse/FWTOOLS-206", "FWTOOLS-206")</f>
        <v>FWTOOLS-206</v>
      </c>
      <c r="B136" s="40" t="s">
        <v>6788</v>
      </c>
      <c r="C136" s="40" t="s">
        <v>469</v>
      </c>
      <c r="D136" s="165">
        <v>43198.0</v>
      </c>
      <c r="E136" s="40" t="s">
        <v>92</v>
      </c>
      <c r="F136" s="40" t="s">
        <v>5987</v>
      </c>
      <c r="G136" s="40" t="s">
        <v>148</v>
      </c>
      <c r="H136" s="40" t="s">
        <v>148</v>
      </c>
      <c r="I136" s="167">
        <v>43192.0</v>
      </c>
      <c r="J136" s="167">
        <v>43200.0</v>
      </c>
      <c r="K136" s="131"/>
      <c r="L136" s="131"/>
      <c r="M136" s="131"/>
      <c r="N136" s="131"/>
      <c r="O136" s="131"/>
      <c r="P136" s="131"/>
      <c r="Q136" s="131"/>
      <c r="R136" s="131"/>
      <c r="S136" s="131"/>
      <c r="T136" s="131"/>
      <c r="U136" s="131"/>
      <c r="V136" s="131"/>
      <c r="W136" s="131"/>
      <c r="X136" s="131"/>
      <c r="Y136" s="131"/>
      <c r="Z136" s="131"/>
    </row>
    <row r="137">
      <c r="A137" s="164" t="str">
        <f>hyperlink("https://issues.sierrawireless.com/browse/FWTOOLS-202", "FWTOOLS-202")</f>
        <v>FWTOOLS-202</v>
      </c>
      <c r="B137" s="40" t="s">
        <v>6795</v>
      </c>
      <c r="C137" s="40" t="s">
        <v>139</v>
      </c>
      <c r="D137" s="165">
        <v>43193.0</v>
      </c>
      <c r="E137" s="40" t="s">
        <v>92</v>
      </c>
      <c r="F137" s="40" t="s">
        <v>5987</v>
      </c>
      <c r="G137" s="40" t="s">
        <v>148</v>
      </c>
      <c r="H137" s="40" t="s">
        <v>148</v>
      </c>
      <c r="I137" s="167">
        <v>43192.0</v>
      </c>
      <c r="J137" s="167">
        <v>43203.0</v>
      </c>
      <c r="K137" s="131"/>
      <c r="L137" s="131"/>
      <c r="M137" s="131"/>
      <c r="N137" s="131"/>
      <c r="O137" s="131"/>
      <c r="P137" s="131"/>
      <c r="Q137" s="131"/>
      <c r="R137" s="131"/>
      <c r="S137" s="131"/>
      <c r="T137" s="131"/>
      <c r="U137" s="131"/>
      <c r="V137" s="131"/>
      <c r="W137" s="131"/>
      <c r="X137" s="131"/>
      <c r="Y137" s="131"/>
      <c r="Z137" s="131"/>
    </row>
    <row r="138">
      <c r="A138" s="164" t="str">
        <f>hyperlink("https://issues.sierrawireless.com/browse/FWTOOLS-201", "FWTOOLS-201")</f>
        <v>FWTOOLS-201</v>
      </c>
      <c r="B138" s="40" t="s">
        <v>6800</v>
      </c>
      <c r="C138" s="40" t="s">
        <v>469</v>
      </c>
      <c r="D138" s="165">
        <v>43193.0</v>
      </c>
      <c r="E138" s="40" t="s">
        <v>92</v>
      </c>
      <c r="F138" s="40" t="s">
        <v>5987</v>
      </c>
      <c r="G138" s="40" t="s">
        <v>148</v>
      </c>
      <c r="H138" s="40" t="s">
        <v>148</v>
      </c>
      <c r="I138" s="167">
        <v>43192.0</v>
      </c>
      <c r="J138" s="167">
        <v>43203.0</v>
      </c>
      <c r="K138" s="131"/>
      <c r="L138" s="131"/>
      <c r="M138" s="131"/>
      <c r="N138" s="131"/>
      <c r="O138" s="131"/>
      <c r="P138" s="131"/>
      <c r="Q138" s="131"/>
      <c r="R138" s="131"/>
      <c r="S138" s="131"/>
      <c r="T138" s="131"/>
      <c r="U138" s="131"/>
      <c r="V138" s="131"/>
      <c r="W138" s="131"/>
      <c r="X138" s="131"/>
      <c r="Y138" s="131"/>
      <c r="Z138" s="131"/>
    </row>
    <row r="139">
      <c r="A139" s="164" t="str">
        <f>hyperlink("https://issues.sierrawireless.com/browse/FWTOOLS-203", "FWTOOLS-203")</f>
        <v>FWTOOLS-203</v>
      </c>
      <c r="B139" s="40" t="s">
        <v>6804</v>
      </c>
      <c r="C139" s="40" t="s">
        <v>469</v>
      </c>
      <c r="D139" s="165">
        <v>43193.0</v>
      </c>
      <c r="E139" s="40" t="s">
        <v>92</v>
      </c>
      <c r="F139" s="40" t="s">
        <v>5987</v>
      </c>
      <c r="G139" s="40" t="s">
        <v>148</v>
      </c>
      <c r="H139" s="40" t="s">
        <v>148</v>
      </c>
      <c r="I139" s="167">
        <v>43192.0</v>
      </c>
      <c r="J139" s="167">
        <v>43203.0</v>
      </c>
      <c r="K139" s="131"/>
      <c r="L139" s="131"/>
      <c r="M139" s="131"/>
      <c r="N139" s="131"/>
      <c r="O139" s="131"/>
      <c r="P139" s="131"/>
      <c r="Q139" s="131"/>
      <c r="R139" s="131"/>
      <c r="S139" s="131"/>
      <c r="T139" s="131"/>
      <c r="U139" s="131"/>
      <c r="V139" s="131"/>
      <c r="W139" s="131"/>
      <c r="X139" s="131"/>
      <c r="Y139" s="131"/>
      <c r="Z139" s="131"/>
    </row>
    <row r="140">
      <c r="A140" s="164" t="str">
        <f>hyperlink("https://issues.sierrawireless.com/browse/FWTOOLS-200", "FWTOOLS-200")</f>
        <v>FWTOOLS-200</v>
      </c>
      <c r="B140" s="40" t="s">
        <v>6811</v>
      </c>
      <c r="C140" s="40" t="s">
        <v>139</v>
      </c>
      <c r="D140" s="165">
        <v>43189.0</v>
      </c>
      <c r="E140" s="40" t="s">
        <v>92</v>
      </c>
      <c r="F140" s="40" t="s">
        <v>6813</v>
      </c>
      <c r="G140" s="40" t="s">
        <v>6192</v>
      </c>
      <c r="H140" s="40" t="s">
        <v>6192</v>
      </c>
      <c r="I140" s="131"/>
      <c r="J140" s="131"/>
      <c r="K140" s="131"/>
      <c r="L140" s="131"/>
      <c r="M140" s="131"/>
      <c r="N140" s="131"/>
      <c r="O140" s="131"/>
      <c r="P140" s="131"/>
      <c r="Q140" s="131"/>
      <c r="R140" s="131"/>
      <c r="S140" s="131"/>
      <c r="T140" s="131"/>
      <c r="U140" s="131"/>
      <c r="V140" s="131"/>
      <c r="W140" s="131"/>
      <c r="X140" s="131"/>
      <c r="Y140" s="131"/>
      <c r="Z140" s="131"/>
    </row>
    <row r="141">
      <c r="A141" s="164" t="str">
        <f>hyperlink("https://issues.sierrawireless.com/browse/FWTOOLS-191", "FWTOOLS-191")</f>
        <v>FWTOOLS-191</v>
      </c>
      <c r="B141" s="40" t="s">
        <v>6820</v>
      </c>
      <c r="C141" s="40" t="s">
        <v>417</v>
      </c>
      <c r="D141" s="165">
        <v>43185.0</v>
      </c>
      <c r="E141" s="40" t="s">
        <v>92</v>
      </c>
      <c r="F141" s="40" t="s">
        <v>5987</v>
      </c>
      <c r="G141" s="40" t="s">
        <v>140</v>
      </c>
      <c r="H141" s="40" t="s">
        <v>140</v>
      </c>
      <c r="I141" s="167">
        <v>43192.0</v>
      </c>
      <c r="J141" s="167">
        <v>43203.0</v>
      </c>
      <c r="K141" s="131"/>
      <c r="L141" s="131"/>
      <c r="M141" s="131"/>
      <c r="N141" s="131"/>
      <c r="O141" s="131"/>
      <c r="P141" s="131"/>
      <c r="Q141" s="131"/>
      <c r="R141" s="131"/>
      <c r="S141" s="131"/>
      <c r="T141" s="131"/>
      <c r="U141" s="131"/>
      <c r="V141" s="131"/>
      <c r="W141" s="131"/>
      <c r="X141" s="131"/>
      <c r="Y141" s="131"/>
      <c r="Z141" s="131"/>
    </row>
    <row r="142">
      <c r="A142" s="164" t="str">
        <f>hyperlink("https://issues.sierrawireless.com/browse/FWTOOLS-192", "FWTOOLS-192")</f>
        <v>FWTOOLS-192</v>
      </c>
      <c r="B142" s="40" t="s">
        <v>6826</v>
      </c>
      <c r="C142" s="40" t="s">
        <v>496</v>
      </c>
      <c r="D142" s="165">
        <v>43185.0</v>
      </c>
      <c r="E142" s="40" t="s">
        <v>92</v>
      </c>
      <c r="F142" s="40" t="s">
        <v>5987</v>
      </c>
      <c r="G142" s="40" t="s">
        <v>148</v>
      </c>
      <c r="H142" s="40" t="s">
        <v>140</v>
      </c>
      <c r="I142" s="167">
        <v>43192.0</v>
      </c>
      <c r="J142" s="167">
        <v>43210.0</v>
      </c>
      <c r="K142" s="131"/>
      <c r="L142" s="131"/>
      <c r="M142" s="131"/>
      <c r="N142" s="131"/>
      <c r="O142" s="131"/>
      <c r="P142" s="131"/>
      <c r="Q142" s="131"/>
      <c r="R142" s="131"/>
      <c r="S142" s="131"/>
      <c r="T142" s="131"/>
      <c r="U142" s="131"/>
      <c r="V142" s="131"/>
      <c r="W142" s="131"/>
      <c r="X142" s="131"/>
      <c r="Y142" s="131"/>
      <c r="Z142" s="131"/>
    </row>
    <row r="143">
      <c r="A143" s="168" t="str">
        <f>hyperlink("https://issues.sierrawireless.com/browse/FWTOOLS-194", "FWTOOLS-194")</f>
        <v>FWTOOLS-194</v>
      </c>
      <c r="B143" s="30" t="s">
        <v>6831</v>
      </c>
      <c r="C143" s="30" t="s">
        <v>496</v>
      </c>
      <c r="D143" s="35">
        <v>43185.0</v>
      </c>
      <c r="E143" s="30" t="s">
        <v>92</v>
      </c>
      <c r="F143" s="30" t="s">
        <v>5987</v>
      </c>
      <c r="G143" s="30" t="s">
        <v>148</v>
      </c>
      <c r="H143" s="30" t="s">
        <v>148</v>
      </c>
      <c r="I143" s="181">
        <v>43227.0</v>
      </c>
    </row>
    <row r="144">
      <c r="A144" s="168" t="str">
        <f>hyperlink("https://issues.sierrawireless.com/browse/FWTOOLS-195", "FWTOOLS-195")</f>
        <v>FWTOOLS-195</v>
      </c>
      <c r="B144" s="30" t="s">
        <v>6841</v>
      </c>
      <c r="C144" s="30" t="s">
        <v>496</v>
      </c>
      <c r="D144" s="35">
        <v>43185.0</v>
      </c>
      <c r="E144" s="30" t="s">
        <v>92</v>
      </c>
      <c r="F144" s="30" t="s">
        <v>5987</v>
      </c>
      <c r="G144" s="30" t="s">
        <v>148</v>
      </c>
      <c r="H144" s="30" t="s">
        <v>148</v>
      </c>
      <c r="I144" s="181">
        <v>43227.0</v>
      </c>
    </row>
    <row r="145">
      <c r="A145" s="176" t="str">
        <f>hyperlink("https://issues.sierrawireless.com/browse/FWTOOLS-196", "FWTOOLS-196")</f>
        <v>FWTOOLS-196</v>
      </c>
      <c r="B145" s="94" t="s">
        <v>6845</v>
      </c>
      <c r="C145" s="94" t="s">
        <v>3803</v>
      </c>
      <c r="D145" s="177">
        <v>43185.0</v>
      </c>
      <c r="E145" s="94" t="s">
        <v>92</v>
      </c>
      <c r="F145" s="94" t="s">
        <v>5987</v>
      </c>
      <c r="G145" s="94" t="s">
        <v>148</v>
      </c>
      <c r="H145" s="94" t="s">
        <v>148</v>
      </c>
      <c r="I145" s="182">
        <v>43192.0</v>
      </c>
      <c r="J145" s="182">
        <v>43217.0</v>
      </c>
      <c r="K145" s="179"/>
      <c r="L145" s="179"/>
      <c r="M145" s="179"/>
      <c r="N145" s="179"/>
      <c r="O145" s="179"/>
      <c r="P145" s="179"/>
      <c r="Q145" s="179"/>
      <c r="R145" s="179"/>
      <c r="S145" s="179"/>
      <c r="T145" s="179"/>
      <c r="U145" s="179"/>
      <c r="V145" s="179"/>
      <c r="W145" s="179"/>
      <c r="X145" s="179"/>
      <c r="Y145" s="179"/>
      <c r="Z145" s="179"/>
    </row>
    <row r="146">
      <c r="A146" s="164" t="str">
        <f>hyperlink("https://issues.sierrawireless.com/browse/FWTOOLS-187", "FWTOOLS-187")</f>
        <v>FWTOOLS-187</v>
      </c>
      <c r="B146" s="40" t="s">
        <v>6853</v>
      </c>
      <c r="C146" s="40" t="s">
        <v>469</v>
      </c>
      <c r="D146" s="165">
        <v>43173.0</v>
      </c>
      <c r="E146" s="40" t="s">
        <v>92</v>
      </c>
      <c r="F146" s="40" t="s">
        <v>5987</v>
      </c>
      <c r="G146" s="40" t="s">
        <v>148</v>
      </c>
      <c r="H146" s="40" t="s">
        <v>140</v>
      </c>
      <c r="I146" s="167">
        <v>43199.0</v>
      </c>
      <c r="J146" s="167">
        <v>43202.0</v>
      </c>
      <c r="K146" s="131"/>
      <c r="L146" s="131"/>
      <c r="M146" s="131"/>
      <c r="N146" s="131"/>
      <c r="O146" s="131"/>
      <c r="P146" s="131"/>
      <c r="Q146" s="131"/>
      <c r="R146" s="131"/>
      <c r="S146" s="131"/>
      <c r="T146" s="131"/>
      <c r="U146" s="131"/>
      <c r="V146" s="131"/>
      <c r="W146" s="131"/>
      <c r="X146" s="131"/>
      <c r="Y146" s="131"/>
      <c r="Z146" s="131"/>
    </row>
    <row r="147">
      <c r="A147" s="164" t="str">
        <f>hyperlink("https://issues.sierrawireless.com/browse/FWTOOLS-188", "FWTOOLS-188")</f>
        <v>FWTOOLS-188</v>
      </c>
      <c r="B147" s="40" t="s">
        <v>6860</v>
      </c>
      <c r="C147" s="40" t="s">
        <v>469</v>
      </c>
      <c r="D147" s="165">
        <v>43173.0</v>
      </c>
      <c r="E147" s="40" t="s">
        <v>92</v>
      </c>
      <c r="F147" s="40" t="s">
        <v>5987</v>
      </c>
      <c r="G147" s="40" t="s">
        <v>148</v>
      </c>
      <c r="H147" s="40" t="s">
        <v>140</v>
      </c>
      <c r="I147" s="167">
        <v>43199.0</v>
      </c>
      <c r="J147" s="167">
        <v>43202.0</v>
      </c>
      <c r="K147" s="131"/>
      <c r="L147" s="131"/>
      <c r="M147" s="131"/>
      <c r="N147" s="131"/>
      <c r="O147" s="131"/>
      <c r="P147" s="131"/>
      <c r="Q147" s="131"/>
      <c r="R147" s="131"/>
      <c r="S147" s="131"/>
      <c r="T147" s="131"/>
      <c r="U147" s="131"/>
      <c r="V147" s="131"/>
      <c r="W147" s="131"/>
      <c r="X147" s="131"/>
      <c r="Y147" s="131"/>
      <c r="Z147" s="131"/>
    </row>
    <row r="148">
      <c r="A148" s="164" t="str">
        <f>hyperlink("https://issues.sierrawireless.com/browse/FWTOOLS-177", "FWTOOLS-177")</f>
        <v>FWTOOLS-177</v>
      </c>
      <c r="B148" s="40" t="s">
        <v>6863</v>
      </c>
      <c r="C148" s="40" t="s">
        <v>469</v>
      </c>
      <c r="D148" s="165">
        <v>43172.0</v>
      </c>
      <c r="E148" s="40" t="s">
        <v>92</v>
      </c>
      <c r="F148" s="40" t="s">
        <v>5987</v>
      </c>
      <c r="G148" s="40" t="s">
        <v>140</v>
      </c>
      <c r="H148" s="40" t="s">
        <v>490</v>
      </c>
      <c r="I148" s="167">
        <v>43192.0</v>
      </c>
      <c r="J148" s="167">
        <v>43203.0</v>
      </c>
      <c r="K148" s="131"/>
      <c r="L148" s="131"/>
      <c r="M148" s="131"/>
      <c r="N148" s="131"/>
      <c r="O148" s="131"/>
      <c r="P148" s="131"/>
      <c r="Q148" s="131"/>
      <c r="R148" s="131"/>
      <c r="S148" s="131"/>
      <c r="T148" s="131"/>
      <c r="U148" s="131"/>
      <c r="V148" s="131"/>
      <c r="W148" s="131"/>
      <c r="X148" s="131"/>
      <c r="Y148" s="131"/>
      <c r="Z148" s="131"/>
    </row>
    <row r="149">
      <c r="A149" s="164" t="str">
        <f>hyperlink("https://issues.sierrawireless.com/browse/FWTOOLS-175", "FWTOOLS-175")</f>
        <v>FWTOOLS-175</v>
      </c>
      <c r="B149" s="40" t="s">
        <v>6868</v>
      </c>
      <c r="C149" s="40" t="s">
        <v>469</v>
      </c>
      <c r="D149" s="165">
        <v>43171.0</v>
      </c>
      <c r="E149" s="40" t="s">
        <v>92</v>
      </c>
      <c r="F149" s="40" t="s">
        <v>5987</v>
      </c>
      <c r="G149" s="40" t="s">
        <v>233</v>
      </c>
      <c r="H149" s="40" t="s">
        <v>233</v>
      </c>
      <c r="I149" s="167">
        <v>43192.0</v>
      </c>
      <c r="J149" s="167">
        <v>43203.0</v>
      </c>
      <c r="K149" s="131"/>
      <c r="L149" s="131"/>
      <c r="M149" s="131"/>
      <c r="N149" s="131"/>
      <c r="O149" s="131"/>
      <c r="P149" s="131"/>
      <c r="Q149" s="131"/>
      <c r="R149" s="131"/>
      <c r="S149" s="131"/>
      <c r="T149" s="131"/>
      <c r="U149" s="131"/>
      <c r="V149" s="131"/>
      <c r="W149" s="131"/>
      <c r="X149" s="131"/>
      <c r="Y149" s="131"/>
      <c r="Z149" s="131"/>
    </row>
    <row r="150">
      <c r="A150" s="164" t="str">
        <f>hyperlink("https://issues.sierrawireless.com/browse/FWTOOLS-178", "FWTOOLS-178")</f>
        <v>FWTOOLS-178</v>
      </c>
      <c r="B150" s="40" t="s">
        <v>6873</v>
      </c>
      <c r="C150" s="40" t="s">
        <v>469</v>
      </c>
      <c r="D150" s="165">
        <v>43159.0</v>
      </c>
      <c r="E150" s="40" t="s">
        <v>92</v>
      </c>
      <c r="F150" s="40" t="s">
        <v>5987</v>
      </c>
      <c r="G150" s="40" t="s">
        <v>140</v>
      </c>
      <c r="H150" s="40" t="s">
        <v>140</v>
      </c>
      <c r="I150" s="167">
        <v>43192.0</v>
      </c>
      <c r="J150" s="167">
        <v>43203.0</v>
      </c>
      <c r="K150" s="131"/>
      <c r="L150" s="131"/>
      <c r="M150" s="131"/>
      <c r="N150" s="131"/>
      <c r="O150" s="131"/>
      <c r="P150" s="131"/>
      <c r="Q150" s="131"/>
      <c r="R150" s="131"/>
      <c r="S150" s="131"/>
      <c r="T150" s="131"/>
      <c r="U150" s="131"/>
      <c r="V150" s="131"/>
      <c r="W150" s="131"/>
      <c r="X150" s="131"/>
      <c r="Y150" s="131"/>
      <c r="Z150" s="131"/>
    </row>
    <row r="151">
      <c r="A151" s="164" t="str">
        <f>hyperlink("https://issues.sierrawireless.com/browse/FWTOOLS-163", "FWTOOLS-163")</f>
        <v>FWTOOLS-163</v>
      </c>
      <c r="B151" s="40" t="s">
        <v>6879</v>
      </c>
      <c r="C151" s="40" t="s">
        <v>139</v>
      </c>
      <c r="D151" s="165">
        <v>43139.0</v>
      </c>
      <c r="E151" s="40" t="s">
        <v>92</v>
      </c>
      <c r="F151" s="40" t="s">
        <v>59</v>
      </c>
      <c r="G151" s="40" t="s">
        <v>6880</v>
      </c>
      <c r="H151" s="40" t="s">
        <v>6880</v>
      </c>
      <c r="I151" s="131"/>
      <c r="J151" s="131"/>
      <c r="K151" s="131"/>
      <c r="L151" s="131"/>
      <c r="M151" s="131"/>
      <c r="N151" s="131"/>
      <c r="O151" s="131"/>
      <c r="P151" s="131"/>
      <c r="Q151" s="131"/>
      <c r="R151" s="131"/>
      <c r="S151" s="131"/>
      <c r="T151" s="131"/>
      <c r="U151" s="131"/>
      <c r="V151" s="131"/>
      <c r="W151" s="131"/>
      <c r="X151" s="131"/>
      <c r="Y151" s="131"/>
      <c r="Z151" s="131"/>
    </row>
    <row r="152">
      <c r="A152" s="168" t="str">
        <f>hyperlink("https://issues.sierrawireless.com/browse/FWTOOLS-161", "FWTOOLS-161")</f>
        <v>FWTOOLS-161</v>
      </c>
      <c r="B152" s="30" t="s">
        <v>6884</v>
      </c>
      <c r="C152" s="30" t="s">
        <v>496</v>
      </c>
      <c r="D152" s="35">
        <v>43136.0</v>
      </c>
      <c r="E152" s="30" t="s">
        <v>92</v>
      </c>
      <c r="F152" s="30" t="s">
        <v>166</v>
      </c>
      <c r="G152" s="30" t="s">
        <v>148</v>
      </c>
      <c r="H152" s="30" t="s">
        <v>1128</v>
      </c>
    </row>
    <row r="153">
      <c r="A153" s="168" t="str">
        <f>hyperlink("https://issues.sierrawireless.com/browse/FWTOOLS-179", "FWTOOLS-179")</f>
        <v>FWTOOLS-179</v>
      </c>
      <c r="B153" s="30" t="s">
        <v>6887</v>
      </c>
      <c r="C153" s="30" t="s">
        <v>496</v>
      </c>
      <c r="D153" s="35">
        <v>43133.0</v>
      </c>
      <c r="E153" s="169">
        <v>43159.0</v>
      </c>
      <c r="F153" s="30" t="s">
        <v>5987</v>
      </c>
      <c r="G153" s="30" t="s">
        <v>148</v>
      </c>
      <c r="H153" s="30" t="s">
        <v>6237</v>
      </c>
    </row>
    <row r="154">
      <c r="A154" s="168" t="str">
        <f>hyperlink("https://issues.sierrawireless.com/browse/FWTOOLS-160", "FWTOOLS-160")</f>
        <v>FWTOOLS-160</v>
      </c>
      <c r="B154" s="30" t="s">
        <v>6891</v>
      </c>
      <c r="C154" s="30" t="s">
        <v>610</v>
      </c>
      <c r="D154" s="35">
        <v>43123.0</v>
      </c>
      <c r="E154" s="30" t="s">
        <v>92</v>
      </c>
      <c r="F154" s="30" t="s">
        <v>59</v>
      </c>
      <c r="G154" s="30" t="s">
        <v>6505</v>
      </c>
      <c r="H154" s="30" t="s">
        <v>6893</v>
      </c>
    </row>
    <row r="155">
      <c r="A155" s="164" t="str">
        <f>hyperlink("https://issues.sierrawireless.com/browse/FWTOOLS-155", "FWTOOLS-155")</f>
        <v>FWTOOLS-155</v>
      </c>
      <c r="B155" s="183" t="s">
        <v>6896</v>
      </c>
      <c r="C155" s="40" t="s">
        <v>139</v>
      </c>
      <c r="D155" s="165">
        <v>43116.0</v>
      </c>
      <c r="E155" s="165">
        <v>43146.0</v>
      </c>
      <c r="F155" s="40" t="s">
        <v>166</v>
      </c>
      <c r="G155" s="40" t="s">
        <v>609</v>
      </c>
      <c r="H155" s="40" t="s">
        <v>155</v>
      </c>
      <c r="I155" s="131"/>
      <c r="J155" s="131"/>
      <c r="K155" s="131"/>
      <c r="L155" s="131"/>
      <c r="M155" s="131"/>
      <c r="N155" s="131"/>
      <c r="O155" s="131"/>
      <c r="P155" s="131"/>
      <c r="Q155" s="131"/>
      <c r="R155" s="131"/>
      <c r="S155" s="131"/>
      <c r="T155" s="131"/>
      <c r="U155" s="131"/>
      <c r="V155" s="131"/>
      <c r="W155" s="131"/>
      <c r="X155" s="131"/>
      <c r="Y155" s="131"/>
      <c r="Z155" s="131"/>
    </row>
    <row r="156">
      <c r="A156" s="164" t="str">
        <f>hyperlink("https://issues.sierrawireless.com/browse/FWTOOLS-150", "FWTOOLS-150")</f>
        <v>FWTOOLS-150</v>
      </c>
      <c r="B156" s="40" t="s">
        <v>6900</v>
      </c>
      <c r="C156" s="40" t="s">
        <v>139</v>
      </c>
      <c r="D156" s="165">
        <v>43116.0</v>
      </c>
      <c r="E156" s="165">
        <v>43146.0</v>
      </c>
      <c r="F156" s="40" t="s">
        <v>166</v>
      </c>
      <c r="G156" s="40" t="s">
        <v>609</v>
      </c>
      <c r="H156" s="40" t="s">
        <v>155</v>
      </c>
      <c r="I156" s="131"/>
      <c r="J156" s="131"/>
      <c r="K156" s="131"/>
      <c r="L156" s="131"/>
      <c r="M156" s="131"/>
      <c r="N156" s="131"/>
      <c r="O156" s="131"/>
      <c r="P156" s="131"/>
      <c r="Q156" s="131"/>
      <c r="R156" s="131"/>
      <c r="S156" s="131"/>
      <c r="T156" s="131"/>
      <c r="U156" s="131"/>
      <c r="V156" s="131"/>
      <c r="W156" s="131"/>
      <c r="X156" s="131"/>
      <c r="Y156" s="131"/>
      <c r="Z156" s="131"/>
    </row>
    <row r="157">
      <c r="A157" s="164" t="str">
        <f>hyperlink("https://issues.sierrawireless.com/browse/FWTOOLS-153", "FWTOOLS-153")</f>
        <v>FWTOOLS-153</v>
      </c>
      <c r="B157" s="40" t="s">
        <v>6902</v>
      </c>
      <c r="C157" s="40" t="s">
        <v>139</v>
      </c>
      <c r="D157" s="165">
        <v>43116.0</v>
      </c>
      <c r="E157" s="165">
        <v>43146.0</v>
      </c>
      <c r="F157" s="40" t="s">
        <v>166</v>
      </c>
      <c r="G157" s="40" t="s">
        <v>609</v>
      </c>
      <c r="H157" s="40" t="s">
        <v>6735</v>
      </c>
      <c r="I157" s="131"/>
      <c r="J157" s="131"/>
      <c r="K157" s="131"/>
      <c r="L157" s="131"/>
      <c r="M157" s="131"/>
      <c r="N157" s="131"/>
      <c r="O157" s="131"/>
      <c r="P157" s="131"/>
      <c r="Q157" s="131"/>
      <c r="R157" s="131"/>
      <c r="S157" s="131"/>
      <c r="T157" s="131"/>
      <c r="U157" s="131"/>
      <c r="V157" s="131"/>
      <c r="W157" s="131"/>
      <c r="X157" s="131"/>
      <c r="Y157" s="131"/>
      <c r="Z157" s="131"/>
    </row>
    <row r="158">
      <c r="A158" s="164" t="str">
        <f>hyperlink("https://issues.sierrawireless.com/browse/FWTOOLS-158", "FWTOOLS-158")</f>
        <v>FWTOOLS-158</v>
      </c>
      <c r="B158" s="40" t="s">
        <v>6904</v>
      </c>
      <c r="C158" s="40" t="s">
        <v>139</v>
      </c>
      <c r="D158" s="165">
        <v>43116.0</v>
      </c>
      <c r="E158" s="165">
        <v>43146.0</v>
      </c>
      <c r="F158" s="40" t="s">
        <v>166</v>
      </c>
      <c r="G158" s="40" t="s">
        <v>609</v>
      </c>
      <c r="H158" s="40" t="s">
        <v>155</v>
      </c>
      <c r="I158" s="131"/>
      <c r="J158" s="131"/>
      <c r="K158" s="131"/>
      <c r="L158" s="131"/>
      <c r="M158" s="131"/>
      <c r="N158" s="131"/>
      <c r="O158" s="131"/>
      <c r="P158" s="131"/>
      <c r="Q158" s="131"/>
      <c r="R158" s="131"/>
      <c r="S158" s="131"/>
      <c r="T158" s="131"/>
      <c r="U158" s="131"/>
      <c r="V158" s="131"/>
      <c r="W158" s="131"/>
      <c r="X158" s="131"/>
      <c r="Y158" s="131"/>
      <c r="Z158" s="131"/>
    </row>
    <row r="159">
      <c r="A159" s="164" t="str">
        <f>hyperlink("https://issues.sierrawireless.com/browse/FWTOOLS-159", "FWTOOLS-159")</f>
        <v>FWTOOLS-159</v>
      </c>
      <c r="B159" s="40" t="s">
        <v>6906</v>
      </c>
      <c r="C159" s="40" t="s">
        <v>139</v>
      </c>
      <c r="D159" s="165">
        <v>43116.0</v>
      </c>
      <c r="E159" s="165">
        <v>43146.0</v>
      </c>
      <c r="F159" s="40" t="s">
        <v>166</v>
      </c>
      <c r="G159" s="40" t="s">
        <v>609</v>
      </c>
      <c r="H159" s="40" t="s">
        <v>155</v>
      </c>
      <c r="I159" s="131"/>
      <c r="J159" s="131"/>
      <c r="K159" s="131"/>
      <c r="L159" s="131"/>
      <c r="M159" s="131"/>
      <c r="N159" s="131"/>
      <c r="O159" s="131"/>
      <c r="P159" s="131"/>
      <c r="Q159" s="131"/>
      <c r="R159" s="131"/>
      <c r="S159" s="131"/>
      <c r="T159" s="131"/>
      <c r="U159" s="131"/>
      <c r="V159" s="131"/>
      <c r="W159" s="131"/>
      <c r="X159" s="131"/>
      <c r="Y159" s="131"/>
      <c r="Z159" s="131"/>
    </row>
    <row r="160">
      <c r="A160" s="164" t="str">
        <f>hyperlink("https://issues.sierrawireless.com/browse/FWTOOLS-154", "FWTOOLS-154")</f>
        <v>FWTOOLS-154</v>
      </c>
      <c r="B160" s="40" t="s">
        <v>6911</v>
      </c>
      <c r="C160" s="40" t="s">
        <v>139</v>
      </c>
      <c r="D160" s="165">
        <v>43116.0</v>
      </c>
      <c r="E160" s="165">
        <v>43146.0</v>
      </c>
      <c r="F160" s="40" t="s">
        <v>166</v>
      </c>
      <c r="G160" s="40" t="s">
        <v>609</v>
      </c>
      <c r="H160" s="40" t="s">
        <v>155</v>
      </c>
      <c r="I160" s="131"/>
      <c r="J160" s="131"/>
      <c r="K160" s="131"/>
      <c r="L160" s="131"/>
      <c r="M160" s="131"/>
      <c r="N160" s="131"/>
      <c r="O160" s="131"/>
      <c r="P160" s="131"/>
      <c r="Q160" s="131"/>
      <c r="R160" s="131"/>
      <c r="S160" s="131"/>
      <c r="T160" s="131"/>
      <c r="U160" s="131"/>
      <c r="V160" s="131"/>
      <c r="W160" s="131"/>
      <c r="X160" s="131"/>
      <c r="Y160" s="131"/>
      <c r="Z160" s="131"/>
    </row>
    <row r="161">
      <c r="A161" s="164" t="str">
        <f>hyperlink("https://issues.sierrawireless.com/browse/FWTOOLS-156", "FWTOOLS-156")</f>
        <v>FWTOOLS-156</v>
      </c>
      <c r="B161" s="40" t="s">
        <v>6913</v>
      </c>
      <c r="C161" s="40" t="s">
        <v>139</v>
      </c>
      <c r="D161" s="165">
        <v>43116.0</v>
      </c>
      <c r="E161" s="165">
        <v>43146.0</v>
      </c>
      <c r="F161" s="40" t="s">
        <v>166</v>
      </c>
      <c r="G161" s="40" t="s">
        <v>609</v>
      </c>
      <c r="H161" s="40" t="s">
        <v>155</v>
      </c>
      <c r="I161" s="131"/>
      <c r="J161" s="131"/>
      <c r="K161" s="131"/>
      <c r="L161" s="131"/>
      <c r="M161" s="131"/>
      <c r="N161" s="131"/>
      <c r="O161" s="131"/>
      <c r="P161" s="131"/>
      <c r="Q161" s="131"/>
      <c r="R161" s="131"/>
      <c r="S161" s="131"/>
      <c r="T161" s="131"/>
      <c r="U161" s="131"/>
      <c r="V161" s="131"/>
      <c r="W161" s="131"/>
      <c r="X161" s="131"/>
      <c r="Y161" s="131"/>
      <c r="Z161" s="131"/>
    </row>
    <row r="162">
      <c r="A162" s="164" t="str">
        <f>hyperlink("https://issues.sierrawireless.com/browse/FWTOOLS-157", "FWTOOLS-157")</f>
        <v>FWTOOLS-157</v>
      </c>
      <c r="B162" s="40" t="s">
        <v>6915</v>
      </c>
      <c r="C162" s="40" t="s">
        <v>139</v>
      </c>
      <c r="D162" s="165">
        <v>43116.0</v>
      </c>
      <c r="E162" s="165">
        <v>43146.0</v>
      </c>
      <c r="F162" s="40" t="s">
        <v>166</v>
      </c>
      <c r="G162" s="40" t="s">
        <v>609</v>
      </c>
      <c r="H162" s="40" t="s">
        <v>155</v>
      </c>
      <c r="I162" s="131"/>
      <c r="J162" s="131"/>
      <c r="K162" s="131"/>
      <c r="L162" s="131"/>
      <c r="M162" s="131"/>
      <c r="N162" s="131"/>
      <c r="O162" s="131"/>
      <c r="P162" s="131"/>
      <c r="Q162" s="131"/>
      <c r="R162" s="131"/>
      <c r="S162" s="131"/>
      <c r="T162" s="131"/>
      <c r="U162" s="131"/>
      <c r="V162" s="131"/>
      <c r="W162" s="131"/>
      <c r="X162" s="131"/>
      <c r="Y162" s="131"/>
      <c r="Z162" s="131"/>
    </row>
    <row r="163">
      <c r="A163" s="164" t="str">
        <f>hyperlink("https://issues.sierrawireless.com/browse/FWTOOLS-151", "FWTOOLS-151")</f>
        <v>FWTOOLS-151</v>
      </c>
      <c r="B163" s="40" t="s">
        <v>6917</v>
      </c>
      <c r="C163" s="40" t="s">
        <v>139</v>
      </c>
      <c r="D163" s="165">
        <v>43116.0</v>
      </c>
      <c r="E163" s="165">
        <v>43146.0</v>
      </c>
      <c r="F163" s="40" t="s">
        <v>166</v>
      </c>
      <c r="G163" s="40" t="s">
        <v>609</v>
      </c>
      <c r="H163" s="40" t="s">
        <v>155</v>
      </c>
      <c r="I163" s="131"/>
      <c r="J163" s="131"/>
      <c r="K163" s="131"/>
      <c r="L163" s="131"/>
      <c r="M163" s="131"/>
      <c r="N163" s="131"/>
      <c r="O163" s="131"/>
      <c r="P163" s="131"/>
      <c r="Q163" s="131"/>
      <c r="R163" s="131"/>
      <c r="S163" s="131"/>
      <c r="T163" s="131"/>
      <c r="U163" s="131"/>
      <c r="V163" s="131"/>
      <c r="W163" s="131"/>
      <c r="X163" s="131"/>
      <c r="Y163" s="131"/>
      <c r="Z163" s="131"/>
    </row>
    <row r="164">
      <c r="A164" s="164" t="str">
        <f>hyperlink("https://issues.sierrawireless.com/browse/FWTOOLS-152", "FWTOOLS-152")</f>
        <v>FWTOOLS-152</v>
      </c>
      <c r="B164" s="40" t="s">
        <v>6919</v>
      </c>
      <c r="C164" s="40" t="s">
        <v>139</v>
      </c>
      <c r="D164" s="165">
        <v>43116.0</v>
      </c>
      <c r="E164" s="165">
        <v>43146.0</v>
      </c>
      <c r="F164" s="40" t="s">
        <v>166</v>
      </c>
      <c r="G164" s="40" t="s">
        <v>609</v>
      </c>
      <c r="H164" s="40" t="s">
        <v>155</v>
      </c>
      <c r="I164" s="131"/>
      <c r="J164" s="131"/>
      <c r="K164" s="131"/>
      <c r="L164" s="131"/>
      <c r="M164" s="131"/>
      <c r="N164" s="131"/>
      <c r="O164" s="131"/>
      <c r="P164" s="131"/>
      <c r="Q164" s="131"/>
      <c r="R164" s="131"/>
      <c r="S164" s="131"/>
      <c r="T164" s="131"/>
      <c r="U164" s="131"/>
      <c r="V164" s="131"/>
      <c r="W164" s="131"/>
      <c r="X164" s="131"/>
      <c r="Y164" s="131"/>
      <c r="Z164" s="131"/>
    </row>
    <row r="165">
      <c r="A165" s="168" t="str">
        <f>hyperlink("https://issues.sierrawireless.com/browse/FWTOOLS-186", "FWTOOLS-186")</f>
        <v>FWTOOLS-186</v>
      </c>
      <c r="B165" s="30" t="s">
        <v>6921</v>
      </c>
      <c r="C165" s="30" t="s">
        <v>496</v>
      </c>
      <c r="D165" s="35">
        <v>43073.0</v>
      </c>
      <c r="E165" s="30" t="s">
        <v>92</v>
      </c>
      <c r="F165" s="30" t="s">
        <v>5987</v>
      </c>
      <c r="G165" s="30" t="s">
        <v>148</v>
      </c>
      <c r="H165" s="30" t="s">
        <v>6237</v>
      </c>
    </row>
    <row r="166">
      <c r="A166" s="168" t="str">
        <f>hyperlink("https://issues.sierrawireless.com/browse/FWTOOLS-180", "FWTOOLS-180")</f>
        <v>FWTOOLS-180</v>
      </c>
      <c r="B166" s="30" t="s">
        <v>6923</v>
      </c>
      <c r="C166" s="30" t="s">
        <v>496</v>
      </c>
      <c r="D166" s="35">
        <v>43048.0</v>
      </c>
      <c r="E166" s="30" t="s">
        <v>92</v>
      </c>
      <c r="F166" s="30" t="s">
        <v>5987</v>
      </c>
      <c r="G166" s="30" t="s">
        <v>148</v>
      </c>
      <c r="H166" s="30" t="s">
        <v>2627</v>
      </c>
    </row>
    <row r="167">
      <c r="A167" s="164" t="str">
        <f>hyperlink("https://issues.sierrawireless.com/browse/FWTOOLS-136", "FWTOOLS-136")</f>
        <v>FWTOOLS-136</v>
      </c>
      <c r="B167" s="40" t="s">
        <v>6924</v>
      </c>
      <c r="C167" s="40" t="s">
        <v>139</v>
      </c>
      <c r="D167" s="165">
        <v>43041.0</v>
      </c>
      <c r="E167" s="40" t="s">
        <v>92</v>
      </c>
      <c r="F167" s="40" t="s">
        <v>166</v>
      </c>
      <c r="G167" s="40" t="s">
        <v>6925</v>
      </c>
      <c r="H167" s="40" t="s">
        <v>6925</v>
      </c>
      <c r="I167" s="131"/>
      <c r="J167" s="131"/>
      <c r="K167" s="131"/>
      <c r="L167" s="131"/>
      <c r="M167" s="131"/>
      <c r="N167" s="131"/>
      <c r="O167" s="131"/>
      <c r="P167" s="131"/>
      <c r="Q167" s="131"/>
      <c r="R167" s="131"/>
      <c r="S167" s="131"/>
      <c r="T167" s="131"/>
      <c r="U167" s="131"/>
      <c r="V167" s="131"/>
      <c r="W167" s="131"/>
      <c r="X167" s="131"/>
      <c r="Y167" s="131"/>
      <c r="Z167" s="131"/>
    </row>
    <row r="168">
      <c r="A168" s="164" t="str">
        <f>hyperlink("https://issues.sierrawireless.com/browse/FWTOOLS-133", "FWTOOLS-133")</f>
        <v>FWTOOLS-133</v>
      </c>
      <c r="B168" s="40" t="s">
        <v>6928</v>
      </c>
      <c r="C168" s="40" t="s">
        <v>139</v>
      </c>
      <c r="D168" s="184">
        <v>43035.0</v>
      </c>
      <c r="E168" s="40" t="s">
        <v>92</v>
      </c>
      <c r="F168" s="40" t="s">
        <v>166</v>
      </c>
      <c r="G168" s="40" t="s">
        <v>164</v>
      </c>
      <c r="H168" s="40" t="s">
        <v>1380</v>
      </c>
      <c r="I168" s="131"/>
      <c r="J168" s="131"/>
      <c r="K168" s="131"/>
      <c r="L168" s="131"/>
      <c r="M168" s="131"/>
      <c r="N168" s="131"/>
      <c r="O168" s="131"/>
      <c r="P168" s="131"/>
      <c r="Q168" s="131"/>
      <c r="R168" s="131"/>
      <c r="S168" s="131"/>
      <c r="T168" s="131"/>
      <c r="U168" s="131"/>
      <c r="V168" s="131"/>
      <c r="W168" s="131"/>
      <c r="X168" s="131"/>
      <c r="Y168" s="131"/>
      <c r="Z168" s="131"/>
    </row>
    <row r="169">
      <c r="A169" s="164" t="str">
        <f>hyperlink("https://issues.sierrawireless.com/browse/FWTOOLS-135", "FWTOOLS-135")</f>
        <v>FWTOOLS-135</v>
      </c>
      <c r="B169" s="40" t="s">
        <v>6932</v>
      </c>
      <c r="C169" s="40" t="s">
        <v>469</v>
      </c>
      <c r="D169" s="184">
        <v>43035.0</v>
      </c>
      <c r="E169" s="165">
        <v>42941.0</v>
      </c>
      <c r="F169" s="40" t="s">
        <v>59</v>
      </c>
      <c r="G169" s="40" t="s">
        <v>6934</v>
      </c>
      <c r="H169" s="40" t="s">
        <v>6934</v>
      </c>
      <c r="I169" s="131"/>
      <c r="J169" s="131"/>
      <c r="K169" s="131"/>
      <c r="L169" s="131"/>
      <c r="M169" s="131"/>
      <c r="N169" s="131"/>
      <c r="O169" s="131"/>
      <c r="P169" s="131"/>
      <c r="Q169" s="131"/>
      <c r="R169" s="131"/>
      <c r="S169" s="131"/>
      <c r="T169" s="131"/>
      <c r="U169" s="131"/>
      <c r="V169" s="131"/>
      <c r="W169" s="131"/>
      <c r="X169" s="131"/>
      <c r="Y169" s="131"/>
      <c r="Z169" s="131"/>
    </row>
    <row r="170">
      <c r="A170" s="168" t="str">
        <f>hyperlink("https://issues.sierrawireless.com/browse/FWTOOLS-185", "FWTOOLS-185")</f>
        <v>FWTOOLS-185</v>
      </c>
      <c r="B170" s="30" t="s">
        <v>6937</v>
      </c>
      <c r="C170" s="30" t="s">
        <v>496</v>
      </c>
      <c r="D170" s="35">
        <v>42999.0</v>
      </c>
      <c r="E170" s="30" t="s">
        <v>92</v>
      </c>
      <c r="F170" s="30" t="s">
        <v>5987</v>
      </c>
      <c r="G170" s="30" t="s">
        <v>6939</v>
      </c>
      <c r="H170" s="30" t="s">
        <v>5621</v>
      </c>
    </row>
    <row r="171">
      <c r="A171" s="168" t="str">
        <f>hyperlink("https://issues.sierrawireless.com/browse/FWTOOLS-117", "FWTOOLS-117")</f>
        <v>FWTOOLS-117</v>
      </c>
      <c r="B171" s="30" t="s">
        <v>6942</v>
      </c>
      <c r="C171" s="30" t="s">
        <v>496</v>
      </c>
      <c r="D171" s="35">
        <v>42985.0</v>
      </c>
      <c r="E171" s="30" t="s">
        <v>92</v>
      </c>
      <c r="F171" s="30" t="s">
        <v>166</v>
      </c>
      <c r="G171" s="30" t="s">
        <v>148</v>
      </c>
      <c r="H171" s="30" t="s">
        <v>6735</v>
      </c>
    </row>
    <row r="172">
      <c r="A172" s="185" t="str">
        <f>hyperlink("https://issues.sierrawireless.com/browse/FWTOOLS-102", "FWTOOLS-102")</f>
        <v>FWTOOLS-102</v>
      </c>
      <c r="B172" s="5" t="s">
        <v>6944</v>
      </c>
      <c r="C172" s="5" t="s">
        <v>139</v>
      </c>
      <c r="D172" s="106">
        <v>42954.0</v>
      </c>
      <c r="E172" s="106" t="s">
        <v>92</v>
      </c>
      <c r="F172" s="5" t="s">
        <v>6813</v>
      </c>
      <c r="G172" s="5" t="s">
        <v>337</v>
      </c>
      <c r="H172" s="5" t="s">
        <v>337</v>
      </c>
      <c r="I172" s="138"/>
      <c r="J172" s="131"/>
      <c r="K172" s="131"/>
      <c r="L172" s="131"/>
      <c r="M172" s="131"/>
      <c r="N172" s="131"/>
      <c r="O172" s="131"/>
      <c r="P172" s="131"/>
      <c r="Q172" s="131"/>
      <c r="R172" s="131"/>
      <c r="S172" s="131"/>
      <c r="T172" s="131"/>
      <c r="U172" s="131"/>
      <c r="V172" s="131"/>
      <c r="W172" s="131"/>
      <c r="X172" s="131"/>
      <c r="Y172" s="131"/>
      <c r="Z172" s="131"/>
    </row>
    <row r="173">
      <c r="A173" s="164" t="str">
        <f>hyperlink("https://issues.sierrawireless.com/browse/FWTOOLS-101", "FWTOOLS-101")</f>
        <v>FWTOOLS-101</v>
      </c>
      <c r="B173" s="40" t="s">
        <v>3802</v>
      </c>
      <c r="C173" s="40" t="s">
        <v>139</v>
      </c>
      <c r="D173" s="165">
        <v>42951.0</v>
      </c>
      <c r="E173" s="40" t="s">
        <v>92</v>
      </c>
      <c r="F173" s="40" t="s">
        <v>3804</v>
      </c>
      <c r="G173" s="40" t="s">
        <v>233</v>
      </c>
      <c r="H173" s="40" t="s">
        <v>233</v>
      </c>
      <c r="I173" s="131"/>
      <c r="J173" s="131"/>
      <c r="K173" s="131"/>
      <c r="L173" s="131"/>
      <c r="M173" s="131"/>
      <c r="N173" s="131"/>
      <c r="O173" s="131"/>
      <c r="P173" s="131"/>
      <c r="Q173" s="131"/>
      <c r="R173" s="131"/>
      <c r="S173" s="131"/>
      <c r="T173" s="131"/>
      <c r="U173" s="131"/>
      <c r="V173" s="131"/>
      <c r="W173" s="131"/>
      <c r="X173" s="131"/>
      <c r="Y173" s="131"/>
      <c r="Z173" s="131"/>
    </row>
    <row r="174">
      <c r="A174" s="164" t="str">
        <f>hyperlink("https://issues.sierrawireless.com/browse/FWTOOLS-89", "FWTOOLS-89")</f>
        <v>FWTOOLS-89</v>
      </c>
      <c r="B174" s="40" t="s">
        <v>6948</v>
      </c>
      <c r="C174" s="40" t="s">
        <v>139</v>
      </c>
      <c r="D174" s="165">
        <v>42880.0</v>
      </c>
      <c r="E174" s="40" t="s">
        <v>92</v>
      </c>
      <c r="F174" s="40" t="s">
        <v>166</v>
      </c>
      <c r="G174" s="40" t="s">
        <v>537</v>
      </c>
      <c r="H174" s="40" t="s">
        <v>537</v>
      </c>
      <c r="I174" s="131"/>
      <c r="J174" s="131"/>
      <c r="K174" s="131"/>
      <c r="L174" s="131"/>
      <c r="M174" s="131"/>
      <c r="N174" s="131"/>
      <c r="O174" s="131"/>
      <c r="P174" s="131"/>
      <c r="Q174" s="131"/>
      <c r="R174" s="131"/>
      <c r="S174" s="131"/>
      <c r="T174" s="131"/>
      <c r="U174" s="131"/>
      <c r="V174" s="131"/>
      <c r="W174" s="131"/>
      <c r="X174" s="131"/>
      <c r="Y174" s="131"/>
      <c r="Z174" s="131"/>
    </row>
    <row r="175">
      <c r="A175" s="164" t="str">
        <f>hyperlink("https://issues.sierrawireless.com/browse/FWTOOLS-80", "FWTOOLS-80")</f>
        <v>FWTOOLS-80</v>
      </c>
      <c r="B175" s="40" t="s">
        <v>6951</v>
      </c>
      <c r="C175" s="40" t="s">
        <v>139</v>
      </c>
      <c r="D175" s="165">
        <v>42818.0</v>
      </c>
      <c r="E175" s="40" t="s">
        <v>92</v>
      </c>
      <c r="F175" s="40" t="s">
        <v>6952</v>
      </c>
      <c r="G175" s="40" t="s">
        <v>233</v>
      </c>
      <c r="H175" s="40" t="s">
        <v>233</v>
      </c>
      <c r="I175" s="131"/>
      <c r="J175" s="131"/>
      <c r="K175" s="131"/>
      <c r="L175" s="131"/>
      <c r="M175" s="131"/>
      <c r="N175" s="131"/>
      <c r="O175" s="131"/>
      <c r="P175" s="131"/>
      <c r="Q175" s="131"/>
      <c r="R175" s="131"/>
      <c r="S175" s="131"/>
      <c r="T175" s="131"/>
      <c r="U175" s="131"/>
      <c r="V175" s="131"/>
      <c r="W175" s="131"/>
      <c r="X175" s="131"/>
      <c r="Y175" s="131"/>
      <c r="Z175" s="131"/>
    </row>
    <row r="176">
      <c r="A176" s="164" t="str">
        <f>hyperlink("https://issues.sierrawireless.com/browse/FWTOOLS-184", "FWTOOLS-184")</f>
        <v>FWTOOLS-184</v>
      </c>
      <c r="B176" s="40" t="s">
        <v>6955</v>
      </c>
      <c r="C176" s="40" t="s">
        <v>139</v>
      </c>
      <c r="D176" s="165">
        <v>42788.0</v>
      </c>
      <c r="E176" s="40" t="s">
        <v>92</v>
      </c>
      <c r="F176" s="40" t="s">
        <v>5987</v>
      </c>
      <c r="G176" s="40" t="s">
        <v>6237</v>
      </c>
      <c r="H176" s="40" t="s">
        <v>6237</v>
      </c>
      <c r="I176" s="131"/>
      <c r="J176" s="131"/>
      <c r="K176" s="131"/>
      <c r="L176" s="131"/>
      <c r="M176" s="131"/>
      <c r="N176" s="131"/>
      <c r="O176" s="131"/>
      <c r="P176" s="131"/>
      <c r="Q176" s="131"/>
      <c r="R176" s="131"/>
      <c r="S176" s="131"/>
      <c r="T176" s="131"/>
      <c r="U176" s="131"/>
      <c r="V176" s="131"/>
      <c r="W176" s="131"/>
      <c r="X176" s="131"/>
      <c r="Y176" s="131"/>
      <c r="Z176" s="131"/>
    </row>
    <row r="177">
      <c r="A177" s="164" t="str">
        <f>hyperlink("https://issues.sierrawireless.com/browse/FWTOOLS-183", "FWTOOLS-183")</f>
        <v>FWTOOLS-183</v>
      </c>
      <c r="B177" s="40" t="s">
        <v>6957</v>
      </c>
      <c r="C177" s="40" t="s">
        <v>139</v>
      </c>
      <c r="D177" s="165">
        <v>42769.0</v>
      </c>
      <c r="E177" s="40" t="s">
        <v>92</v>
      </c>
      <c r="F177" s="40" t="s">
        <v>5987</v>
      </c>
      <c r="G177" s="40" t="s">
        <v>6237</v>
      </c>
      <c r="H177" s="40" t="s">
        <v>6237</v>
      </c>
      <c r="I177" s="131"/>
      <c r="J177" s="131"/>
      <c r="K177" s="131"/>
      <c r="L177" s="131"/>
      <c r="M177" s="131"/>
      <c r="N177" s="131"/>
      <c r="O177" s="131"/>
      <c r="P177" s="131"/>
      <c r="Q177" s="131"/>
      <c r="R177" s="131"/>
      <c r="S177" s="131"/>
      <c r="T177" s="131"/>
      <c r="U177" s="131"/>
      <c r="V177" s="131"/>
      <c r="W177" s="131"/>
      <c r="X177" s="131"/>
      <c r="Y177" s="131"/>
      <c r="Z177" s="131"/>
    </row>
    <row r="178">
      <c r="A178" s="164" t="str">
        <f>hyperlink("https://issues.sierrawireless.com/browse/FWTOOLS-181", "FWTOOLS-181")</f>
        <v>FWTOOLS-181</v>
      </c>
      <c r="B178" s="40" t="s">
        <v>6960</v>
      </c>
      <c r="C178" s="40" t="s">
        <v>469</v>
      </c>
      <c r="D178" s="165">
        <v>42558.0</v>
      </c>
      <c r="E178" s="40" t="s">
        <v>92</v>
      </c>
      <c r="F178" s="40" t="s">
        <v>5987</v>
      </c>
      <c r="G178" s="40" t="s">
        <v>140</v>
      </c>
      <c r="H178" s="40" t="s">
        <v>233</v>
      </c>
      <c r="I178" s="131"/>
      <c r="J178" s="131"/>
      <c r="K178" s="131"/>
      <c r="L178" s="131"/>
      <c r="M178" s="131"/>
      <c r="N178" s="131"/>
      <c r="O178" s="131"/>
      <c r="P178" s="131"/>
      <c r="Q178" s="131"/>
      <c r="R178" s="131"/>
      <c r="S178" s="131"/>
      <c r="T178" s="131"/>
      <c r="U178" s="131"/>
      <c r="V178" s="131"/>
      <c r="W178" s="131"/>
      <c r="X178" s="131"/>
      <c r="Y178" s="131"/>
      <c r="Z178" s="131"/>
    </row>
    <row r="179">
      <c r="A179" s="168" t="str">
        <f>hyperlink("https://issues.sierrawireless.com/browse/FWTOOLS-182", "FWTOOLS-182")</f>
        <v>FWTOOLS-182</v>
      </c>
      <c r="B179" s="30" t="s">
        <v>6962</v>
      </c>
      <c r="C179" s="30" t="s">
        <v>496</v>
      </c>
      <c r="D179" s="35">
        <v>42558.0</v>
      </c>
      <c r="E179" s="30" t="s">
        <v>92</v>
      </c>
      <c r="F179" s="30" t="s">
        <v>5987</v>
      </c>
      <c r="G179" s="30" t="s">
        <v>148</v>
      </c>
      <c r="H179" s="30" t="s">
        <v>6963</v>
      </c>
    </row>
    <row r="180">
      <c r="A180" s="164" t="str">
        <f>hyperlink("https://issues.sierrawireless.com/browse/FWTOOLS-18", "FWTOOLS-18")</f>
        <v>FWTOOLS-18</v>
      </c>
      <c r="B180" s="40" t="s">
        <v>6965</v>
      </c>
      <c r="C180" s="40" t="s">
        <v>139</v>
      </c>
      <c r="D180" s="165">
        <v>42552.0</v>
      </c>
      <c r="E180" s="40" t="s">
        <v>92</v>
      </c>
      <c r="F180" s="40" t="s">
        <v>59</v>
      </c>
      <c r="G180" s="40" t="s">
        <v>1235</v>
      </c>
      <c r="H180" s="40" t="s">
        <v>1235</v>
      </c>
      <c r="I180" s="131"/>
      <c r="J180" s="131"/>
      <c r="K180" s="131"/>
      <c r="L180" s="131"/>
      <c r="M180" s="131"/>
      <c r="N180" s="131"/>
      <c r="O180" s="131"/>
      <c r="P180" s="131"/>
      <c r="Q180" s="131"/>
      <c r="R180" s="131"/>
      <c r="S180" s="131"/>
      <c r="T180" s="131"/>
      <c r="U180" s="131"/>
      <c r="V180" s="131"/>
      <c r="W180" s="131"/>
      <c r="X180" s="131"/>
      <c r="Y180" s="131"/>
      <c r="Z180" s="131"/>
    </row>
    <row r="181">
      <c r="A181" s="168" t="str">
        <f>hyperlink("https://issues.sierrawireless.com/browse/FWTOOLS-373", "FWTOOLS-373")</f>
        <v>FWTOOLS-373</v>
      </c>
      <c r="B181" s="30" t="s">
        <v>6968</v>
      </c>
      <c r="C181" s="30" t="s">
        <v>277</v>
      </c>
      <c r="D181" s="35">
        <v>43318.0</v>
      </c>
      <c r="E181" s="169">
        <v>43318.0</v>
      </c>
      <c r="F181" s="30" t="s">
        <v>6013</v>
      </c>
      <c r="G181" s="30" t="s">
        <v>148</v>
      </c>
      <c r="H181" s="30" t="s">
        <v>233</v>
      </c>
    </row>
    <row r="182">
      <c r="A182" s="164" t="str">
        <f>hyperlink("https://issues.sierrawireless.com/browse/FWTOOLS-376", "FWTOOLS-376")</f>
        <v>FWTOOLS-376</v>
      </c>
      <c r="B182" s="40" t="s">
        <v>6970</v>
      </c>
      <c r="C182" s="40" t="s">
        <v>469</v>
      </c>
      <c r="D182" s="165">
        <v>43320.0</v>
      </c>
      <c r="E182" s="40" t="s">
        <v>92</v>
      </c>
      <c r="F182" s="40" t="s">
        <v>6027</v>
      </c>
      <c r="G182" s="40" t="s">
        <v>5999</v>
      </c>
      <c r="H182" s="40" t="s">
        <v>5999</v>
      </c>
      <c r="I182" s="131"/>
      <c r="J182" s="131"/>
      <c r="K182" s="131"/>
      <c r="L182" s="131"/>
      <c r="M182" s="131"/>
      <c r="N182" s="131"/>
      <c r="O182" s="131"/>
      <c r="P182" s="131"/>
      <c r="Q182" s="131"/>
      <c r="R182" s="131"/>
      <c r="S182" s="131"/>
      <c r="T182" s="131"/>
      <c r="U182" s="131"/>
      <c r="V182" s="131"/>
      <c r="W182" s="131"/>
      <c r="X182" s="131"/>
      <c r="Y182" s="131"/>
      <c r="Z182" s="131"/>
    </row>
    <row r="183">
      <c r="A183" s="164" t="str">
        <f>hyperlink("https://issues.sierrawireless.com/browse/FWTOOLS-377", "FWTOOLS-377")</f>
        <v>FWTOOLS-377</v>
      </c>
      <c r="B183" s="40" t="s">
        <v>6972</v>
      </c>
      <c r="C183" s="40" t="s">
        <v>469</v>
      </c>
      <c r="D183" s="165">
        <v>43321.0</v>
      </c>
      <c r="E183" s="40" t="s">
        <v>92</v>
      </c>
      <c r="F183" s="40" t="s">
        <v>6027</v>
      </c>
      <c r="G183" s="40" t="s">
        <v>5925</v>
      </c>
      <c r="H183" s="40" t="s">
        <v>5925</v>
      </c>
      <c r="I183" s="131"/>
      <c r="J183" s="131"/>
      <c r="K183" s="131"/>
      <c r="L183" s="131"/>
      <c r="M183" s="131"/>
      <c r="N183" s="131"/>
      <c r="O183" s="131"/>
      <c r="P183" s="131"/>
      <c r="Q183" s="131"/>
      <c r="R183" s="131"/>
      <c r="S183" s="131"/>
      <c r="T183" s="131"/>
      <c r="U183" s="131"/>
      <c r="V183" s="131"/>
      <c r="W183" s="131"/>
      <c r="X183" s="131"/>
      <c r="Y183" s="131"/>
      <c r="Z183" s="131"/>
    </row>
    <row r="184">
      <c r="A184" s="168" t="str">
        <f>hyperlink("https://issues.sierrawireless.com/browse/FWTOOLS-379", "FWTOOLS-379")</f>
        <v>FWTOOLS-379</v>
      </c>
      <c r="B184" s="30" t="s">
        <v>6974</v>
      </c>
      <c r="C184" s="30" t="s">
        <v>196</v>
      </c>
      <c r="D184" s="35">
        <v>43322.0</v>
      </c>
      <c r="E184" s="169">
        <v>43322.0</v>
      </c>
      <c r="F184" s="30" t="s">
        <v>166</v>
      </c>
      <c r="G184" s="30" t="s">
        <v>155</v>
      </c>
      <c r="H184" s="30" t="s">
        <v>155</v>
      </c>
    </row>
    <row r="185">
      <c r="A185" s="164" t="str">
        <f>hyperlink("https://issues.sierrawireless.com/browse/FWTOOLS-383", "FWTOOLS-383")</f>
        <v>FWTOOLS-383</v>
      </c>
      <c r="B185" s="40" t="s">
        <v>6975</v>
      </c>
      <c r="C185" s="40" t="s">
        <v>469</v>
      </c>
      <c r="D185" s="165">
        <v>43326.0</v>
      </c>
      <c r="E185" s="40" t="s">
        <v>92</v>
      </c>
      <c r="F185" s="40" t="s">
        <v>166</v>
      </c>
      <c r="G185" s="40" t="s">
        <v>120</v>
      </c>
      <c r="H185" s="40" t="s">
        <v>5925</v>
      </c>
      <c r="I185" s="131"/>
      <c r="J185" s="131"/>
      <c r="K185" s="131"/>
      <c r="L185" s="131"/>
      <c r="M185" s="131"/>
      <c r="N185" s="131"/>
      <c r="O185" s="131"/>
      <c r="P185" s="131"/>
      <c r="Q185" s="131"/>
      <c r="R185" s="131"/>
      <c r="S185" s="131"/>
      <c r="T185" s="131"/>
      <c r="U185" s="131"/>
      <c r="V185" s="131"/>
      <c r="W185" s="131"/>
      <c r="X185" s="131"/>
      <c r="Y185" s="131"/>
      <c r="Z185" s="131"/>
    </row>
    <row r="186">
      <c r="A186" s="164" t="str">
        <f>hyperlink("https://issues.sierrawireless.com/browse/FWTOOLS-384", "FWTOOLS-384")</f>
        <v>FWTOOLS-384</v>
      </c>
      <c r="B186" s="40" t="s">
        <v>6977</v>
      </c>
      <c r="C186" s="40" t="s">
        <v>469</v>
      </c>
      <c r="D186" s="165">
        <v>43326.0</v>
      </c>
      <c r="E186" s="40" t="s">
        <v>92</v>
      </c>
      <c r="F186" s="40" t="s">
        <v>166</v>
      </c>
      <c r="G186" s="40" t="s">
        <v>5925</v>
      </c>
      <c r="H186" s="40" t="s">
        <v>5925</v>
      </c>
      <c r="I186" s="131"/>
      <c r="J186" s="131"/>
      <c r="K186" s="131"/>
      <c r="L186" s="131"/>
      <c r="M186" s="131"/>
      <c r="N186" s="131"/>
      <c r="O186" s="131"/>
      <c r="P186" s="131"/>
      <c r="Q186" s="131"/>
      <c r="R186" s="131"/>
      <c r="S186" s="131"/>
      <c r="T186" s="131"/>
      <c r="U186" s="131"/>
      <c r="V186" s="131"/>
      <c r="W186" s="131"/>
      <c r="X186" s="131"/>
      <c r="Y186" s="131"/>
      <c r="Z186" s="131"/>
    </row>
    <row r="187">
      <c r="A187" s="168" t="str">
        <f>hyperlink("https://issues.sierrawireless.com/browse/FWTOOLS-385", "FWTOOLS-385")</f>
        <v>FWTOOLS-385</v>
      </c>
      <c r="B187" s="30" t="s">
        <v>6980</v>
      </c>
      <c r="C187" s="30" t="s">
        <v>196</v>
      </c>
      <c r="D187" s="35">
        <v>43326.0</v>
      </c>
      <c r="E187" s="169">
        <v>43326.0</v>
      </c>
      <c r="F187" s="30" t="s">
        <v>166</v>
      </c>
      <c r="G187" s="30" t="s">
        <v>155</v>
      </c>
      <c r="H187" s="30" t="s">
        <v>155</v>
      </c>
    </row>
    <row r="188">
      <c r="A188" s="168" t="str">
        <f>hyperlink("https://issues.sierrawireless.com/browse/FWTOOLS-386", "FWTOOLS-386")</f>
        <v>FWTOOLS-386</v>
      </c>
      <c r="B188" s="30" t="s">
        <v>6983</v>
      </c>
      <c r="C188" s="30" t="s">
        <v>196</v>
      </c>
      <c r="D188" s="35">
        <v>43326.0</v>
      </c>
      <c r="E188" s="169">
        <v>43326.0</v>
      </c>
      <c r="F188" s="30" t="s">
        <v>166</v>
      </c>
      <c r="G188" s="30" t="s">
        <v>155</v>
      </c>
      <c r="H188" s="30" t="s">
        <v>155</v>
      </c>
    </row>
    <row r="189">
      <c r="A189" s="168" t="str">
        <f>hyperlink("https://issues.sierrawireless.com/browse/FWTOOLS-387", "FWTOOLS-387")</f>
        <v>FWTOOLS-387</v>
      </c>
      <c r="B189" s="30" t="s">
        <v>6985</v>
      </c>
      <c r="C189" s="30" t="s">
        <v>496</v>
      </c>
      <c r="D189" s="35">
        <v>43326.0</v>
      </c>
      <c r="E189" s="30" t="s">
        <v>92</v>
      </c>
      <c r="F189" s="30" t="s">
        <v>166</v>
      </c>
      <c r="G189" s="30" t="s">
        <v>6237</v>
      </c>
      <c r="H189" s="30" t="s">
        <v>6237</v>
      </c>
    </row>
    <row r="190">
      <c r="A190" s="168" t="str">
        <f>hyperlink("https://issues.sierrawireless.com/browse/FWTOOLS-392", "FWTOOLS-392")</f>
        <v>FWTOOLS-392</v>
      </c>
      <c r="B190" s="30" t="s">
        <v>6988</v>
      </c>
      <c r="C190" s="30" t="s">
        <v>196</v>
      </c>
      <c r="D190" s="35">
        <v>43328.0</v>
      </c>
      <c r="E190" s="169">
        <v>43328.0</v>
      </c>
      <c r="F190" s="30" t="s">
        <v>166</v>
      </c>
      <c r="G190" s="30" t="s">
        <v>155</v>
      </c>
      <c r="H190" s="30" t="s">
        <v>155</v>
      </c>
    </row>
    <row r="191">
      <c r="A191" s="168" t="str">
        <f>hyperlink("https://issues.sierrawireless.com/browse/FWTOOLS-391", "FWTOOLS-391")</f>
        <v>FWTOOLS-391</v>
      </c>
      <c r="B191" s="30" t="s">
        <v>6989</v>
      </c>
      <c r="C191" s="30" t="s">
        <v>277</v>
      </c>
      <c r="D191" s="35">
        <v>43328.0</v>
      </c>
      <c r="E191" s="169">
        <v>43328.0</v>
      </c>
      <c r="F191" s="30" t="s">
        <v>166</v>
      </c>
      <c r="G191" s="30" t="s">
        <v>148</v>
      </c>
      <c r="H191" s="30" t="s">
        <v>155</v>
      </c>
    </row>
    <row r="192">
      <c r="A192" s="168" t="str">
        <f>hyperlink("https://issues.sierrawireless.com/browse/FWTOOLS-395", "FWTOOLS-395")</f>
        <v>FWTOOLS-395</v>
      </c>
      <c r="B192" s="30" t="s">
        <v>6992</v>
      </c>
      <c r="C192" s="30" t="s">
        <v>277</v>
      </c>
      <c r="D192" s="35">
        <v>43329.0</v>
      </c>
      <c r="E192" s="169">
        <v>43329.0</v>
      </c>
      <c r="F192" s="30" t="s">
        <v>166</v>
      </c>
      <c r="G192" s="30" t="s">
        <v>148</v>
      </c>
      <c r="H192" s="30" t="s">
        <v>155</v>
      </c>
    </row>
    <row r="193">
      <c r="A193" s="168" t="str">
        <f>hyperlink("https://issues.sierrawireless.com/browse/FWTOOLS-398", "FWTOOLS-398")</f>
        <v>FWTOOLS-398</v>
      </c>
      <c r="B193" s="30" t="s">
        <v>6995</v>
      </c>
      <c r="C193" s="30" t="s">
        <v>196</v>
      </c>
      <c r="D193" s="35">
        <v>43332.0</v>
      </c>
      <c r="E193" s="169">
        <v>43332.0</v>
      </c>
      <c r="F193" s="30" t="s">
        <v>166</v>
      </c>
      <c r="G193" s="30" t="s">
        <v>155</v>
      </c>
      <c r="H193" s="30" t="s">
        <v>155</v>
      </c>
    </row>
    <row r="194">
      <c r="A194" s="168" t="str">
        <f>hyperlink("https://issues.sierrawireless.com/browse/FWTOOLS-400", "FWTOOLS-400")</f>
        <v>FWTOOLS-400</v>
      </c>
      <c r="B194" s="30" t="s">
        <v>6997</v>
      </c>
      <c r="C194" s="30" t="s">
        <v>277</v>
      </c>
      <c r="D194" s="35">
        <v>43333.0</v>
      </c>
      <c r="E194" s="169">
        <v>43333.0</v>
      </c>
      <c r="F194" s="30" t="s">
        <v>166</v>
      </c>
      <c r="G194" s="30" t="s">
        <v>153</v>
      </c>
      <c r="H194" s="30" t="s">
        <v>155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12.43"/>
    <col customWidth="1" min="5" max="5" width="12.0"/>
    <col customWidth="1" min="12" max="12" width="12.57"/>
    <col customWidth="1" min="13" max="13" width="43.86"/>
    <col customWidth="1" min="14" max="14" width="49.29"/>
  </cols>
  <sheetData>
    <row r="1">
      <c r="A1" s="7" t="s">
        <v>57</v>
      </c>
      <c r="B1" s="5" t="s">
        <v>7026</v>
      </c>
      <c r="C1" s="6"/>
      <c r="D1" s="188"/>
      <c r="E1" s="6"/>
      <c r="F1" s="6"/>
      <c r="G1" s="6"/>
      <c r="H1" s="6"/>
      <c r="I1" s="6"/>
      <c r="J1" s="6"/>
      <c r="K1" s="7" t="s">
        <v>10</v>
      </c>
      <c r="L1" s="8">
        <v>43333.64113425926</v>
      </c>
    </row>
    <row r="2">
      <c r="A2" s="189" t="s">
        <v>3</v>
      </c>
      <c r="B2" s="189" t="s">
        <v>7032</v>
      </c>
      <c r="C2" s="189" t="s">
        <v>7035</v>
      </c>
      <c r="D2" s="189" t="s">
        <v>7036</v>
      </c>
      <c r="E2" s="189" t="s">
        <v>45</v>
      </c>
      <c r="F2" s="189" t="s">
        <v>46</v>
      </c>
      <c r="G2" s="189" t="s">
        <v>48</v>
      </c>
      <c r="H2" s="189" t="s">
        <v>49</v>
      </c>
      <c r="I2" s="189" t="s">
        <v>50</v>
      </c>
      <c r="J2" s="189" t="s">
        <v>51</v>
      </c>
      <c r="K2" s="189" t="s">
        <v>7</v>
      </c>
      <c r="L2" s="189" t="s">
        <v>7038</v>
      </c>
      <c r="M2" s="189" t="s">
        <v>7039</v>
      </c>
      <c r="N2" s="189" t="s">
        <v>7040</v>
      </c>
      <c r="O2" s="190"/>
      <c r="P2" s="190"/>
      <c r="Q2" s="190"/>
      <c r="R2" s="190"/>
      <c r="S2" s="190"/>
      <c r="T2" s="190"/>
      <c r="U2" s="190"/>
      <c r="V2" s="190"/>
      <c r="W2" s="190"/>
      <c r="X2" s="190"/>
      <c r="Y2" s="190"/>
      <c r="Z2" s="190"/>
      <c r="AA2" s="190"/>
      <c r="AB2" s="190"/>
    </row>
    <row r="3">
      <c r="A3" s="168" t="str">
        <f>hyperlink("https://issues.sierrawireless.com/browse/OEMPRI-8024", "OEMPRI-8024")</f>
        <v>OEMPRI-8024</v>
      </c>
      <c r="B3" s="30" t="b">
        <v>1</v>
      </c>
      <c r="C3" s="30">
        <v>1103102.0</v>
      </c>
      <c r="D3" s="191">
        <v>9906297.0</v>
      </c>
      <c r="E3" s="30" t="s">
        <v>225</v>
      </c>
      <c r="F3" s="35">
        <v>43320.0</v>
      </c>
      <c r="G3" s="43">
        <v>43329.0</v>
      </c>
      <c r="H3" s="30" t="s">
        <v>176</v>
      </c>
      <c r="I3" s="30" t="s">
        <v>120</v>
      </c>
      <c r="J3" s="30" t="s">
        <v>177</v>
      </c>
      <c r="K3" s="168" t="str">
        <f>hyperlink("https://skutracker.sierrawireless.local/projects/5968", "5968")</f>
        <v>5968</v>
      </c>
      <c r="L3" s="192" t="str">
        <f>hyperlink("https://agile.sierrawireless.com/Agile/PLMServlet?action=OpenEmailObject&amp;classid=0&amp;objid=-1", "TDN-013992")</f>
        <v>TDN-013992</v>
      </c>
      <c r="M3" s="30" t="s">
        <v>7048</v>
      </c>
      <c r="N3" s="30" t="s">
        <v>7049</v>
      </c>
    </row>
    <row r="4">
      <c r="A4" s="168" t="str">
        <f>hyperlink("https://issues.sierrawireless.com/browse/OEMPRI-8029", "OEMPRI-8029")</f>
        <v>OEMPRI-8029</v>
      </c>
      <c r="B4" s="30" t="b">
        <v>1</v>
      </c>
      <c r="C4" s="30">
        <v>1103415.0</v>
      </c>
      <c r="D4" s="191">
        <v>9906995.0</v>
      </c>
      <c r="E4" s="30" t="s">
        <v>277</v>
      </c>
      <c r="F4" s="35">
        <v>43320.0</v>
      </c>
      <c r="G4" s="43">
        <v>43329.0</v>
      </c>
      <c r="H4" s="30" t="s">
        <v>176</v>
      </c>
      <c r="I4" s="30" t="s">
        <v>120</v>
      </c>
      <c r="J4" s="30" t="s">
        <v>177</v>
      </c>
      <c r="K4" s="168" t="str">
        <f>hyperlink("https://skutracker.sierrawireless.local/projects/5969", "5969")</f>
        <v>5969</v>
      </c>
      <c r="L4" s="192" t="str">
        <f>hyperlink("https://agile.sierrawireless.com/Agile/PLMServlet?action=OpenEmailObject&amp;classid=8000&amp;objid=39579894", "TDN-013993")</f>
        <v>TDN-013993</v>
      </c>
      <c r="M4" s="30" t="s">
        <v>7053</v>
      </c>
      <c r="N4" s="30" t="s">
        <v>7049</v>
      </c>
    </row>
    <row r="5">
      <c r="A5" s="168" t="str">
        <f>hyperlink("https://issues.sierrawireless.com/browse/OEMPRI-8000", "OEMPRI-8000")</f>
        <v>OEMPRI-8000</v>
      </c>
      <c r="B5" s="30" t="b">
        <v>1</v>
      </c>
      <c r="C5" s="30">
        <v>1104163.0</v>
      </c>
      <c r="D5" s="191">
        <v>9908581.0</v>
      </c>
      <c r="E5" s="30" t="s">
        <v>175</v>
      </c>
      <c r="F5" s="35">
        <v>43318.0</v>
      </c>
      <c r="G5" s="43">
        <v>43320.0</v>
      </c>
      <c r="H5" s="30" t="s">
        <v>147</v>
      </c>
      <c r="I5" s="30" t="s">
        <v>148</v>
      </c>
      <c r="J5" s="30" t="s">
        <v>149</v>
      </c>
      <c r="K5" s="168" t="str">
        <f>hyperlink("https://skutracker.sierrawireless.local/projects/5698", "5698")</f>
        <v>5698</v>
      </c>
      <c r="L5" s="168" t="str">
        <f>hyperlink("https://agile.sierrawireless.com/Agile/PLMServlet?action=OpenEmailObject&amp;classid=6000&amp;objid=36845639", "ECO-027444")</f>
        <v>ECO-027444</v>
      </c>
      <c r="M5" s="30" t="s">
        <v>7058</v>
      </c>
      <c r="N5" s="30" t="s">
        <v>7060</v>
      </c>
    </row>
    <row r="6">
      <c r="A6" s="168" t="str">
        <f>hyperlink("https://issues.sierrawireless.com/browse/OEMPRI-7970", "OEMPRI-7970")</f>
        <v>OEMPRI-7970</v>
      </c>
      <c r="B6" s="30" t="b">
        <v>1</v>
      </c>
      <c r="C6" s="30">
        <v>1103996.0</v>
      </c>
      <c r="D6" s="191">
        <v>9908136.0</v>
      </c>
      <c r="E6" s="30" t="s">
        <v>175</v>
      </c>
      <c r="F6" s="35">
        <v>43314.0</v>
      </c>
      <c r="G6" s="30" t="s">
        <v>92</v>
      </c>
      <c r="H6" s="30" t="s">
        <v>176</v>
      </c>
      <c r="I6" s="30" t="s">
        <v>148</v>
      </c>
      <c r="J6" s="30" t="s">
        <v>177</v>
      </c>
      <c r="K6" s="168" t="str">
        <f>hyperlink("https://skutracker.sierrawireless.local/projects/5892", "5892")</f>
        <v>5892</v>
      </c>
      <c r="L6" s="168" t="str">
        <f>hyperlink("https://agile.sierrawireless.com/Agile/PLMServlet?action=OpenEmailObject&amp;classid=8000&amp;objid=38837239", "TDN-013952")</f>
        <v>TDN-013952</v>
      </c>
      <c r="M6" s="30" t="s">
        <v>7066</v>
      </c>
      <c r="N6" s="30" t="s">
        <v>7067</v>
      </c>
    </row>
    <row r="7">
      <c r="A7" s="168" t="str">
        <f>hyperlink("https://issues.sierrawireless.com/browse/OEMPRI-7965", "OEMPRI-7965")</f>
        <v>OEMPRI-7965</v>
      </c>
      <c r="B7" s="30" t="b">
        <v>1</v>
      </c>
      <c r="C7" s="30">
        <v>1103992.0</v>
      </c>
      <c r="D7" s="191">
        <v>9908132.0</v>
      </c>
      <c r="E7" s="30" t="s">
        <v>175</v>
      </c>
      <c r="F7" s="35">
        <v>43314.0</v>
      </c>
      <c r="G7" s="43">
        <v>43021.0</v>
      </c>
      <c r="H7" s="30" t="s">
        <v>176</v>
      </c>
      <c r="I7" s="30" t="s">
        <v>148</v>
      </c>
      <c r="J7" s="30" t="s">
        <v>177</v>
      </c>
      <c r="K7" s="168" t="str">
        <f>hyperlink("https://skutracker.sierrawireless.local/projects/5890", "5890")</f>
        <v>5890</v>
      </c>
      <c r="L7" s="168" t="str">
        <f>hyperlink("https://agile.sierrawireless.com/Agile/PLMServlet?action=OpenEmailObject&amp;classid=8000&amp;objid=38836508", "TDN-013950")</f>
        <v>TDN-013950</v>
      </c>
      <c r="M7" s="30" t="s">
        <v>7074</v>
      </c>
      <c r="N7" s="30" t="s">
        <v>7067</v>
      </c>
    </row>
    <row r="8">
      <c r="A8" s="168" t="str">
        <f>hyperlink("https://issues.sierrawireless.com/browse/OEMPRI-7943", "OEMPRI-7943")</f>
        <v>OEMPRI-7943</v>
      </c>
      <c r="B8" s="30" t="b">
        <v>1</v>
      </c>
      <c r="C8" s="30">
        <v>1103993.0</v>
      </c>
      <c r="D8" s="191">
        <v>9908133.0</v>
      </c>
      <c r="E8" s="30" t="s">
        <v>175</v>
      </c>
      <c r="F8" s="35">
        <v>43313.0</v>
      </c>
      <c r="G8" s="35" t="s">
        <v>92</v>
      </c>
      <c r="H8" s="30" t="s">
        <v>176</v>
      </c>
      <c r="I8" s="30" t="s">
        <v>148</v>
      </c>
      <c r="J8" s="30" t="s">
        <v>177</v>
      </c>
      <c r="K8" s="168" t="str">
        <f>hyperlink("https://skutracker.sierrawireless.local/projects/5891", "5891")</f>
        <v>5891</v>
      </c>
      <c r="L8" s="192" t="str">
        <f>hyperlink("https://agile.sierrawireless.com/Agile/PLMServlet?action=OpenEmailObject&amp;classid=8000&amp;objid=38836516", "TDN-013951")</f>
        <v>TDN-013951</v>
      </c>
      <c r="M8" s="30" t="s">
        <v>7066</v>
      </c>
      <c r="N8" s="30" t="s">
        <v>7078</v>
      </c>
    </row>
    <row r="9">
      <c r="A9" s="168" t="str">
        <f>hyperlink("https://issues.sierrawireless.com/browse/OEMPRI-7912", "OEMPRI-7912")</f>
        <v>OEMPRI-7912</v>
      </c>
      <c r="B9" s="30" t="b">
        <v>1</v>
      </c>
      <c r="C9" s="30">
        <v>1103049.0</v>
      </c>
      <c r="D9" s="191">
        <v>9906093.0</v>
      </c>
      <c r="E9" s="30" t="s">
        <v>175</v>
      </c>
      <c r="F9" s="35">
        <v>43311.0</v>
      </c>
      <c r="G9" s="35">
        <v>42978.0</v>
      </c>
      <c r="H9" s="30" t="s">
        <v>176</v>
      </c>
      <c r="I9" s="30" t="s">
        <v>148</v>
      </c>
      <c r="J9" s="30" t="s">
        <v>177</v>
      </c>
      <c r="K9" s="168" t="str">
        <f>hyperlink("https://skutracker.sierrawireless.local/projects/5896", "5896")</f>
        <v>5896</v>
      </c>
      <c r="L9" s="192" t="str">
        <f>hyperlink("https://agile.sierrawireless.com/Agile/PLMServlet?action=OpenEmailObject&amp;classid=6000&amp;objid=39149466", "ECO-027726")</f>
        <v>ECO-027726</v>
      </c>
      <c r="M9" s="30" t="s">
        <v>7053</v>
      </c>
      <c r="N9" s="30" t="s">
        <v>7049</v>
      </c>
    </row>
    <row r="10">
      <c r="A10" s="168" t="str">
        <f>hyperlink("https://issues.sierrawireless.com/browse/OEMPRI-7925", "OEMPRI-7925")</f>
        <v>OEMPRI-7925</v>
      </c>
      <c r="B10" s="30" t="b">
        <v>1</v>
      </c>
      <c r="C10" s="30">
        <v>1103996.0</v>
      </c>
      <c r="D10" s="191">
        <v>9908136.0</v>
      </c>
      <c r="E10" s="30" t="s">
        <v>175</v>
      </c>
      <c r="F10" s="35">
        <v>43311.0</v>
      </c>
      <c r="G10" s="35" t="s">
        <v>92</v>
      </c>
      <c r="H10" s="30" t="s">
        <v>176</v>
      </c>
      <c r="I10" s="30" t="s">
        <v>170</v>
      </c>
      <c r="J10" s="30" t="s">
        <v>170</v>
      </c>
      <c r="K10" s="168" t="str">
        <f>hyperlink("https://skutracker.sierrawireless.local/projects/4871", "4871")</f>
        <v>4871</v>
      </c>
      <c r="L10" s="192" t="str">
        <f>hyperlink("https://agile.sierrawireless.com/Agile/PLMServlet?action=OpenEmailObject&amp;classid=8000&amp;objid=28326805", "TDN-013065")</f>
        <v>TDN-013065</v>
      </c>
      <c r="M10" s="30" t="s">
        <v>7066</v>
      </c>
      <c r="N10" s="30" t="s">
        <v>7067</v>
      </c>
    </row>
    <row r="11">
      <c r="A11" s="168" t="str">
        <f>hyperlink("https://issues.sierrawireless.com/browse/OEMPRI-7834", "OEMPRI-7834")</f>
        <v>OEMPRI-7834</v>
      </c>
      <c r="B11" s="30" t="b">
        <v>1</v>
      </c>
      <c r="C11" s="30">
        <v>1103367.0</v>
      </c>
      <c r="D11" s="191">
        <v>9906982.0</v>
      </c>
      <c r="E11" s="30" t="s">
        <v>175</v>
      </c>
      <c r="F11" s="35">
        <v>43305.0</v>
      </c>
      <c r="G11" s="35">
        <v>43313.0</v>
      </c>
      <c r="H11" s="30" t="s">
        <v>160</v>
      </c>
      <c r="I11" s="30" t="s">
        <v>148</v>
      </c>
      <c r="J11" s="30" t="s">
        <v>244</v>
      </c>
      <c r="K11" s="168" t="str">
        <f>hyperlink("https://skutracker.sierrawireless.local/projects/5726", "5726")</f>
        <v>5726</v>
      </c>
      <c r="L11" s="192" t="str">
        <f>hyperlink("https://agile.sierrawireless.com/Agile/PLMServlet?action=OpenEmailObject&amp;classid=8000&amp;objid=37515714", "TDN-013828")</f>
        <v>TDN-013828</v>
      </c>
      <c r="M11" s="30" t="s">
        <v>7088</v>
      </c>
      <c r="N11" s="30" t="s">
        <v>7089</v>
      </c>
    </row>
    <row r="12">
      <c r="A12" s="168" t="str">
        <f>hyperlink("https://issues.sierrawireless.com/browse/OEMPRI-7835", "OEMPRI-7835")</f>
        <v>OEMPRI-7835</v>
      </c>
      <c r="B12" s="30" t="b">
        <v>1</v>
      </c>
      <c r="C12" s="30">
        <v>1103151.0</v>
      </c>
      <c r="D12" s="191">
        <v>9906435.0</v>
      </c>
      <c r="E12" s="30" t="s">
        <v>175</v>
      </c>
      <c r="F12" s="35">
        <v>43305.0</v>
      </c>
      <c r="G12" s="35">
        <v>43313.0</v>
      </c>
      <c r="H12" s="30" t="s">
        <v>160</v>
      </c>
      <c r="I12" s="30" t="s">
        <v>148</v>
      </c>
      <c r="J12" s="30" t="s">
        <v>244</v>
      </c>
      <c r="K12" s="168" t="str">
        <f>hyperlink("https://skutracker.sierrawireless.local/projects/5727", "5727")</f>
        <v>5727</v>
      </c>
      <c r="L12" s="192" t="str">
        <f>hyperlink("https://agile.sierrawireless.com/Agile/PLMServlet?action=OpenEmailObject&amp;classid=8000&amp;objid=37561399", "TDN-013833")</f>
        <v>TDN-013833</v>
      </c>
      <c r="M12" s="30" t="s">
        <v>7093</v>
      </c>
      <c r="N12" s="30" t="s">
        <v>7089</v>
      </c>
    </row>
    <row r="13">
      <c r="A13" s="168" t="str">
        <f>hyperlink("https://issues.sierrawireless.com/browse/OEMPRI-7807", "OEMPRI-7807")</f>
        <v>OEMPRI-7807</v>
      </c>
      <c r="B13" s="30" t="b">
        <v>1</v>
      </c>
      <c r="C13" s="30">
        <v>1102803.0</v>
      </c>
      <c r="D13" s="191">
        <v>9908379.0</v>
      </c>
      <c r="E13" s="30" t="s">
        <v>139</v>
      </c>
      <c r="F13" s="35">
        <v>43304.0</v>
      </c>
      <c r="G13" s="35">
        <v>43305.0</v>
      </c>
      <c r="H13" s="30" t="s">
        <v>5635</v>
      </c>
      <c r="I13" s="30" t="s">
        <v>148</v>
      </c>
      <c r="J13" s="30" t="s">
        <v>122</v>
      </c>
      <c r="K13" s="168" t="str">
        <f>hyperlink("https://skutracker.sierrawireless.local/projects/5759", "5759")</f>
        <v>5759</v>
      </c>
      <c r="L13" s="192" t="str">
        <f>hyperlink("https://agile.sierrawireless.com/Agile/PLMServlet?action=OpenEmailObject&amp;classid=8000&amp;objid=37625761", "TDN-013838")</f>
        <v>TDN-013838</v>
      </c>
      <c r="M13" s="30" t="s">
        <v>7095</v>
      </c>
      <c r="N13" s="30" t="s">
        <v>166</v>
      </c>
    </row>
    <row r="14">
      <c r="A14" s="168" t="str">
        <f>hyperlink("https://issues.sierrawireless.com/browse/OEMPRI-7795", "OEMPRI-7795")</f>
        <v>OEMPRI-7795</v>
      </c>
      <c r="B14" s="30" t="b">
        <v>1</v>
      </c>
      <c r="C14" s="30">
        <v>1102626.0</v>
      </c>
      <c r="D14" s="191">
        <v>1102626.0</v>
      </c>
      <c r="E14" s="30" t="s">
        <v>139</v>
      </c>
      <c r="F14" s="35">
        <v>43301.0</v>
      </c>
      <c r="G14" s="35">
        <v>43308.0</v>
      </c>
      <c r="H14" s="30" t="s">
        <v>119</v>
      </c>
      <c r="I14" s="30" t="s">
        <v>148</v>
      </c>
      <c r="J14" s="30" t="s">
        <v>122</v>
      </c>
      <c r="K14" s="168" t="str">
        <f>hyperlink("https://skutracker.sierrawireless.local/projects/5850", "5850")</f>
        <v>5850</v>
      </c>
      <c r="L14" s="192" t="str">
        <f>hyperlink("https://agile.sierrawireless.com/Agile/PLMServlet?action=OpenEmailObject&amp;classid=8000&amp;objid=38583461", "TDN-013923")</f>
        <v>TDN-013923</v>
      </c>
      <c r="M14" s="30" t="s">
        <v>7099</v>
      </c>
      <c r="N14" s="30" t="s">
        <v>7100</v>
      </c>
    </row>
    <row r="15">
      <c r="A15" s="168" t="str">
        <f>hyperlink("https://issues.sierrawireless.com/browse/OEMPRI-7757", "OEMPRI-7757")</f>
        <v>OEMPRI-7757</v>
      </c>
      <c r="B15" s="30" t="b">
        <v>1</v>
      </c>
      <c r="C15" s="30">
        <v>1103049.0</v>
      </c>
      <c r="D15" s="191">
        <v>9906093.0</v>
      </c>
      <c r="E15" s="30" t="s">
        <v>139</v>
      </c>
      <c r="F15" s="35">
        <v>43299.0</v>
      </c>
      <c r="G15" s="35">
        <v>43304.0</v>
      </c>
      <c r="H15" s="30" t="s">
        <v>176</v>
      </c>
      <c r="I15" s="30" t="s">
        <v>170</v>
      </c>
      <c r="J15" s="30" t="s">
        <v>170</v>
      </c>
      <c r="K15" s="168" t="str">
        <f>hyperlink("https://skutracker.sierrawireless.local/projects/4962", "4962")</f>
        <v>4962</v>
      </c>
      <c r="L15" s="192" t="str">
        <f>hyperlink("https://agile.sierrawireless.com/Agile/PLMServlet?action=OpenEmailObject&amp;classid=6000&amp;objid=30982598", "ECO-026674")</f>
        <v>ECO-026674</v>
      </c>
      <c r="M15" s="30" t="s">
        <v>7053</v>
      </c>
      <c r="N15" s="30" t="s">
        <v>7049</v>
      </c>
    </row>
    <row r="16">
      <c r="A16" s="168" t="str">
        <f>hyperlink("https://issues.sierrawireless.com/browse/OEMPRI-7770", "OEMPRI-7770")</f>
        <v>OEMPRI-7770</v>
      </c>
      <c r="B16" s="30" t="b">
        <v>1</v>
      </c>
      <c r="C16" s="30">
        <v>1103831.0</v>
      </c>
      <c r="D16" s="191">
        <v>9907853.0</v>
      </c>
      <c r="E16" s="30" t="s">
        <v>175</v>
      </c>
      <c r="F16" s="35">
        <v>43299.0</v>
      </c>
      <c r="G16" s="35">
        <v>43315.0</v>
      </c>
      <c r="H16" s="30" t="s">
        <v>160</v>
      </c>
      <c r="I16" s="30" t="s">
        <v>148</v>
      </c>
      <c r="J16" s="30" t="s">
        <v>244</v>
      </c>
      <c r="K16" s="168" t="str">
        <f>hyperlink("https://skutracker.sierrawireless.local/projects/5741", "5741")</f>
        <v>5741</v>
      </c>
      <c r="L16" s="192" t="str">
        <f>hyperlink("https://agile.sierrawireless.com/Agile/PLMServlet?action=OpenEmailObject&amp;classid=8000&amp;objid=39276425", "TDN-013980")</f>
        <v>TDN-013980</v>
      </c>
      <c r="M16" s="30" t="s">
        <v>7105</v>
      </c>
      <c r="N16" s="30" t="s">
        <v>7106</v>
      </c>
    </row>
    <row r="17">
      <c r="A17" s="168" t="str">
        <f>hyperlink("https://issues.sierrawireless.com/browse/OEMPRI-7620", "OEMPRI-7620")</f>
        <v>OEMPRI-7620</v>
      </c>
      <c r="B17" s="30" t="b">
        <v>1</v>
      </c>
      <c r="C17" s="30">
        <v>1103373.0</v>
      </c>
      <c r="D17" s="191">
        <v>9906988.0</v>
      </c>
      <c r="E17" s="30" t="s">
        <v>139</v>
      </c>
      <c r="F17" s="35">
        <v>43286.0</v>
      </c>
      <c r="G17" s="35">
        <v>43300.0</v>
      </c>
      <c r="H17" s="30" t="s">
        <v>160</v>
      </c>
      <c r="I17" s="30" t="s">
        <v>148</v>
      </c>
      <c r="J17" s="30" t="s">
        <v>244</v>
      </c>
      <c r="K17" s="168" t="str">
        <f>hyperlink("https://skutracker.sierrawireless.local/projects/5204", "5204")</f>
        <v>5204</v>
      </c>
      <c r="L17" s="192" t="str">
        <f>hyperlink("https://agile.sierrawireless.com/Agile/PLMServlet?action=OpenEmailObject&amp;classid=8000&amp;objid=37628158", "TDN-013841")</f>
        <v>TDN-013841</v>
      </c>
      <c r="M17" s="30" t="s">
        <v>7112</v>
      </c>
      <c r="N17" s="30" t="s">
        <v>7113</v>
      </c>
    </row>
    <row r="18">
      <c r="A18" s="168" t="str">
        <f>hyperlink("https://issues.sierrawireless.com/browse/OEMPRI-7563", "OEMPRI-7563")</f>
        <v>OEMPRI-7563</v>
      </c>
      <c r="B18" s="30" t="b">
        <v>1</v>
      </c>
      <c r="C18" s="30">
        <v>1103367.0</v>
      </c>
      <c r="D18" s="191">
        <v>9906982.0</v>
      </c>
      <c r="E18" s="30" t="s">
        <v>175</v>
      </c>
      <c r="F18" s="35">
        <v>43279.0</v>
      </c>
      <c r="G18" s="35">
        <v>43287.0</v>
      </c>
      <c r="H18" s="30" t="s">
        <v>160</v>
      </c>
      <c r="I18" s="30" t="s">
        <v>148</v>
      </c>
      <c r="J18" s="30" t="s">
        <v>244</v>
      </c>
      <c r="K18" s="168" t="str">
        <f>hyperlink("https://skutracker.sierrawireless.local/projects/5726", "5726")</f>
        <v>5726</v>
      </c>
      <c r="L18" s="192" t="str">
        <f>hyperlink("https://agile.sierrawireless.com/Agile/PLMServlet?action=OpenEmailObject&amp;classid=8000&amp;objid=37515714", "TDN-013828")</f>
        <v>TDN-013828</v>
      </c>
      <c r="M18" s="30" t="s">
        <v>7088</v>
      </c>
      <c r="N18" s="30" t="s">
        <v>7113</v>
      </c>
    </row>
    <row r="19">
      <c r="A19" s="168" t="str">
        <f>hyperlink("https://issues.sierrawireless.com/browse/OEMPRI-7564", "OEMPRI-7564")</f>
        <v>OEMPRI-7564</v>
      </c>
      <c r="B19" s="30" t="b">
        <v>1</v>
      </c>
      <c r="C19" s="30">
        <v>1103151.0</v>
      </c>
      <c r="D19" s="191">
        <v>9906435.0</v>
      </c>
      <c r="E19" s="30" t="s">
        <v>175</v>
      </c>
      <c r="F19" s="35">
        <v>43279.0</v>
      </c>
      <c r="G19" s="35">
        <v>43287.0</v>
      </c>
      <c r="H19" s="30" t="s">
        <v>160</v>
      </c>
      <c r="I19" s="30" t="s">
        <v>148</v>
      </c>
      <c r="J19" s="30" t="s">
        <v>244</v>
      </c>
      <c r="K19" s="168" t="str">
        <f>hyperlink("https://skutracker.sierrawireless.local/projects/5727", "5727")</f>
        <v>5727</v>
      </c>
      <c r="L19" s="192" t="str">
        <f>hyperlink("https://agile.sierrawireless.com/Agile/PLMServlet?action=OpenEmailObject&amp;classid=8000&amp;objid=37561399", "TDN-013833")</f>
        <v>TDN-013833</v>
      </c>
      <c r="M19" s="30" t="s">
        <v>7093</v>
      </c>
      <c r="N19" s="30" t="s">
        <v>7113</v>
      </c>
    </row>
    <row r="20">
      <c r="A20" s="168" t="str">
        <f>hyperlink("https://issues.sierrawireless.com/browse/OEMPRI-7497", "OEMPRI-7497")</f>
        <v>OEMPRI-7497</v>
      </c>
      <c r="B20" s="30" t="b">
        <v>1</v>
      </c>
      <c r="C20" s="30">
        <v>1103204.0</v>
      </c>
      <c r="D20" s="191">
        <v>9906619.0</v>
      </c>
      <c r="E20" s="30" t="s">
        <v>175</v>
      </c>
      <c r="F20" s="35">
        <v>43273.0</v>
      </c>
      <c r="G20" s="35" t="s">
        <v>92</v>
      </c>
      <c r="H20" s="30" t="s">
        <v>176</v>
      </c>
      <c r="I20" s="30" t="s">
        <v>148</v>
      </c>
      <c r="J20" s="30" t="s">
        <v>177</v>
      </c>
      <c r="K20" s="168" t="str">
        <f>hyperlink("https://skutracker.sierrawireless.local/projects/5729", "5729")</f>
        <v>5729</v>
      </c>
      <c r="L20" s="192" t="str">
        <f>hyperlink("https://agile.sierrawireless.com/Agile/PLMServlet?action=OpenEmailObject&amp;classid=8000&amp;objid=37233963", "TDN-013810")</f>
        <v>TDN-013810</v>
      </c>
      <c r="M20" s="30" t="s">
        <v>7066</v>
      </c>
      <c r="N20" s="30" t="s">
        <v>7124</v>
      </c>
    </row>
    <row r="21">
      <c r="A21" s="168" t="str">
        <f>hyperlink("https://issues.sierrawireless.com/browse/OEMPRI-7508", "OEMPRI-7508")</f>
        <v>OEMPRI-7508</v>
      </c>
      <c r="B21" s="30" t="b">
        <v>1</v>
      </c>
      <c r="C21" s="30">
        <v>1103207.0</v>
      </c>
      <c r="D21" s="191">
        <v>9906620.0</v>
      </c>
      <c r="E21" s="30" t="s">
        <v>175</v>
      </c>
      <c r="F21" s="35">
        <v>43273.0</v>
      </c>
      <c r="G21" s="35" t="s">
        <v>92</v>
      </c>
      <c r="H21" s="30" t="s">
        <v>176</v>
      </c>
      <c r="I21" s="30" t="s">
        <v>148</v>
      </c>
      <c r="J21" s="30" t="s">
        <v>177</v>
      </c>
      <c r="K21" s="168" t="str">
        <f>hyperlink("https://skutracker.sierrawireless.local/projects/5730", "5730")</f>
        <v>5730</v>
      </c>
      <c r="L21" s="192" t="str">
        <f>hyperlink("https://agile.sierrawireless.com/Agile/PLMServlet?action=OpenEmailObject&amp;classid=8000&amp;objid=37233990", "TDN-013811")</f>
        <v>TDN-013811</v>
      </c>
      <c r="M21" s="30" t="s">
        <v>7066</v>
      </c>
      <c r="N21" s="30" t="s">
        <v>7124</v>
      </c>
    </row>
    <row r="22">
      <c r="A22" s="168" t="str">
        <f>hyperlink("https://issues.sierrawireless.com/browse/OEMPRI-7503", "OEMPRI-7503")</f>
        <v>OEMPRI-7503</v>
      </c>
      <c r="B22" s="30" t="b">
        <v>1</v>
      </c>
      <c r="C22" s="30">
        <v>1103210.0</v>
      </c>
      <c r="D22" s="191">
        <v>9906623.0</v>
      </c>
      <c r="E22" s="30" t="s">
        <v>175</v>
      </c>
      <c r="F22" s="35">
        <v>43273.0</v>
      </c>
      <c r="G22" s="35">
        <v>43248.0</v>
      </c>
      <c r="H22" s="30" t="s">
        <v>176</v>
      </c>
      <c r="I22" s="30" t="s">
        <v>148</v>
      </c>
      <c r="J22" s="30" t="s">
        <v>177</v>
      </c>
      <c r="K22" s="168" t="str">
        <f>hyperlink("https://skutracker.sierrawireless.local/projects/5728", "5728")</f>
        <v>5728</v>
      </c>
      <c r="L22" s="192" t="str">
        <f>hyperlink("https://agile.sierrawireless.com/Agile/PLMServlet?action=OpenEmailObject&amp;classid=8000&amp;objid=37233727", "TDN-013809")</f>
        <v>TDN-013809</v>
      </c>
      <c r="M22" s="30" t="s">
        <v>7074</v>
      </c>
      <c r="N22" s="30" t="s">
        <v>7124</v>
      </c>
    </row>
    <row r="23">
      <c r="A23" s="168" t="str">
        <f>hyperlink("https://issues.sierrawireless.com/browse/OEMPRI-7514", "OEMPRI-7514")</f>
        <v>OEMPRI-7514</v>
      </c>
      <c r="B23" s="30" t="b">
        <v>1</v>
      </c>
      <c r="C23" s="30">
        <v>1103211.0</v>
      </c>
      <c r="D23" s="191">
        <v>9906625.0</v>
      </c>
      <c r="E23" s="30" t="s">
        <v>175</v>
      </c>
      <c r="F23" s="35">
        <v>43273.0</v>
      </c>
      <c r="G23" s="35">
        <v>43251.0</v>
      </c>
      <c r="H23" s="30" t="s">
        <v>176</v>
      </c>
      <c r="I23" s="30" t="s">
        <v>148</v>
      </c>
      <c r="J23" s="30" t="s">
        <v>177</v>
      </c>
      <c r="K23" s="168" t="str">
        <f>hyperlink("https://skutracker.sierrawireless.local/projects/5731", "5731")</f>
        <v>5731</v>
      </c>
      <c r="L23" s="192" t="str">
        <f>hyperlink("https://agile.sierrawireless.com/Agile/PLMServlet?action=OpenEmailObject&amp;classid=8000&amp;objid=37234533", "TDN-013812")</f>
        <v>TDN-013812</v>
      </c>
      <c r="M23" s="30" t="s">
        <v>7066</v>
      </c>
      <c r="N23" s="30" t="s">
        <v>7124</v>
      </c>
    </row>
    <row r="24">
      <c r="A24" s="168" t="str">
        <f>hyperlink("https://issues.sierrawireless.com/browse/OEMPRI-7453", "OEMPRI-7453")</f>
        <v>OEMPRI-7453</v>
      </c>
      <c r="B24" s="30" t="b">
        <v>1</v>
      </c>
      <c r="C24" s="30">
        <v>1103367.0</v>
      </c>
      <c r="D24" s="191">
        <v>9906982.0</v>
      </c>
      <c r="E24" s="30" t="s">
        <v>139</v>
      </c>
      <c r="F24" s="35">
        <v>43265.0</v>
      </c>
      <c r="G24" s="35">
        <v>43272.0</v>
      </c>
      <c r="H24" s="30" t="s">
        <v>160</v>
      </c>
      <c r="I24" s="30" t="s">
        <v>148</v>
      </c>
      <c r="J24" s="30" t="s">
        <v>244</v>
      </c>
      <c r="K24" s="168" t="str">
        <f>hyperlink("https://skutracker.sierrawireless.local/projects/5667", "5667")</f>
        <v>5667</v>
      </c>
      <c r="L24" s="168" t="str">
        <f>hyperlink("https://agile.sierrawireless.com/Agile/PLMServlet?action=OpenEmailObject&amp;classid=8000&amp;objid=36663389", "TDN-013741")</f>
        <v>TDN-013741</v>
      </c>
      <c r="M24" s="30" t="s">
        <v>7088</v>
      </c>
      <c r="N24" s="30" t="s">
        <v>7132</v>
      </c>
    </row>
    <row r="25">
      <c r="A25" s="168" t="str">
        <f>hyperlink("https://issues.sierrawireless.com/browse/OEMPRI-7400", "OEMPRI-7400")</f>
        <v>OEMPRI-7400</v>
      </c>
      <c r="B25" s="30" t="b">
        <v>1</v>
      </c>
      <c r="C25" s="30">
        <v>1103151.0</v>
      </c>
      <c r="D25" s="191">
        <v>9906435.0</v>
      </c>
      <c r="E25" s="30" t="s">
        <v>175</v>
      </c>
      <c r="F25" s="35">
        <v>43262.0</v>
      </c>
      <c r="G25" s="35">
        <v>43273.0</v>
      </c>
      <c r="H25" s="30" t="s">
        <v>160</v>
      </c>
      <c r="I25" s="30" t="s">
        <v>148</v>
      </c>
      <c r="J25" s="30" t="s">
        <v>244</v>
      </c>
      <c r="K25" s="168" t="str">
        <f>hyperlink("https://skutracker.sierrawireless.local/projects/5668", "5668")</f>
        <v>5668</v>
      </c>
      <c r="L25" s="168" t="str">
        <f>hyperlink("https://agile.sierrawireless.com/Agile/PLMServlet?action=OpenEmailObject&amp;classid=8000&amp;objid=36663396", "TDN-013742")</f>
        <v>TDN-013742</v>
      </c>
      <c r="M25" s="30" t="s">
        <v>7093</v>
      </c>
      <c r="N25" s="30" t="s">
        <v>7132</v>
      </c>
    </row>
    <row r="26">
      <c r="A26" s="168" t="str">
        <f>hyperlink("https://issues.sierrawireless.com/browse/OEMPRI-7315", "OEMPRI-7315")</f>
        <v>OEMPRI-7315</v>
      </c>
      <c r="B26" s="30" t="b">
        <v>1</v>
      </c>
      <c r="C26" s="30">
        <v>1102626.0</v>
      </c>
      <c r="D26" s="191" t="s">
        <v>7134</v>
      </c>
      <c r="E26" s="30" t="s">
        <v>139</v>
      </c>
      <c r="F26" s="35">
        <v>43255.0</v>
      </c>
      <c r="G26" s="35" t="s">
        <v>92</v>
      </c>
      <c r="H26" s="30" t="s">
        <v>119</v>
      </c>
      <c r="I26" s="30" t="s">
        <v>148</v>
      </c>
      <c r="J26" s="30" t="s">
        <v>122</v>
      </c>
      <c r="K26" s="168" t="str">
        <f>hyperlink("https://skutracker.sierrawireless.local/projects/5224", "5224")</f>
        <v>5224</v>
      </c>
      <c r="L26" s="192" t="str">
        <f>hyperlink("https://agile.sierrawireless.com/Agile/PLMServlet?action=OpenEmailObject&amp;classid=8000&amp;objid=31411762", "TDN-013328")</f>
        <v>TDN-013328</v>
      </c>
      <c r="M26" s="30" t="s">
        <v>7136</v>
      </c>
      <c r="N26" s="30" t="s">
        <v>166</v>
      </c>
    </row>
    <row r="27">
      <c r="A27" s="168" t="str">
        <f>hyperlink("https://issues.sierrawireless.com/browse/OEMPRI-7316", "OEMPRI-7316")</f>
        <v>OEMPRI-7316</v>
      </c>
      <c r="B27" s="30" t="b">
        <v>1</v>
      </c>
      <c r="C27" s="30">
        <v>1103207.0</v>
      </c>
      <c r="D27" s="191">
        <v>9906620.0</v>
      </c>
      <c r="E27" s="30" t="s">
        <v>139</v>
      </c>
      <c r="F27" s="35">
        <v>43255.0</v>
      </c>
      <c r="G27" s="30" t="s">
        <v>92</v>
      </c>
      <c r="H27" s="30" t="s">
        <v>176</v>
      </c>
      <c r="I27" s="30" t="s">
        <v>148</v>
      </c>
      <c r="J27" s="30" t="s">
        <v>177</v>
      </c>
      <c r="K27" s="168" t="str">
        <f>hyperlink("https://skutracker.sierrawireless.local/projects/5342", "5342")</f>
        <v>5342</v>
      </c>
      <c r="L27" s="168" t="str">
        <f>hyperlink("https://agile.sierrawireless.com/Agile/PLMServlet?action=OpenEmailObject&amp;classid=8000&amp;objid=32895720", "TDN-013461")</f>
        <v>TDN-013461</v>
      </c>
      <c r="M27" s="30" t="s">
        <v>7066</v>
      </c>
      <c r="N27" s="30" t="s">
        <v>7137</v>
      </c>
    </row>
    <row r="28">
      <c r="A28" s="168" t="str">
        <f>hyperlink("https://issues.sierrawireless.com/browse/OEMPRI-7289", "OEMPRI-7289")</f>
        <v>OEMPRI-7289</v>
      </c>
      <c r="B28" s="30" t="b">
        <v>1</v>
      </c>
      <c r="C28" s="30">
        <v>1103925.0</v>
      </c>
      <c r="D28" s="191">
        <v>9908218.0</v>
      </c>
      <c r="E28" s="30" t="s">
        <v>139</v>
      </c>
      <c r="F28" s="35">
        <v>43251.0</v>
      </c>
      <c r="G28" s="35">
        <v>43259.0</v>
      </c>
      <c r="H28" s="30" t="s">
        <v>215</v>
      </c>
      <c r="I28" s="30" t="s">
        <v>148</v>
      </c>
      <c r="J28" s="30" t="s">
        <v>216</v>
      </c>
      <c r="K28" s="168" t="str">
        <f>hyperlink("https://skutracker.sierrawireless.local/projects/5595", "5595")</f>
        <v>5595</v>
      </c>
      <c r="L28" s="192" t="str">
        <f>hyperlink("https://agile.sierrawireless.com/Agile/PLMServlet?action=OpenEmailObject&amp;classid=6000&amp;objid=35628990", "ECO-027284")</f>
        <v>ECO-027284</v>
      </c>
      <c r="M28" s="30" t="s">
        <v>7139</v>
      </c>
      <c r="N28" s="30" t="s">
        <v>7140</v>
      </c>
    </row>
    <row r="29">
      <c r="A29" s="168" t="str">
        <f>hyperlink("https://issues.sierrawireless.com/browse/OEMPRI-7199", "OEMPRI-7199")</f>
        <v>OEMPRI-7199</v>
      </c>
      <c r="B29" s="30" t="b">
        <v>1</v>
      </c>
      <c r="C29" s="30">
        <v>1103210.0</v>
      </c>
      <c r="D29" s="191">
        <v>9906623.0</v>
      </c>
      <c r="E29" s="30" t="s">
        <v>175</v>
      </c>
      <c r="F29" s="35">
        <v>43242.0</v>
      </c>
      <c r="G29" s="35">
        <v>43248.0</v>
      </c>
      <c r="H29" s="30" t="s">
        <v>176</v>
      </c>
      <c r="I29" s="30" t="s">
        <v>148</v>
      </c>
      <c r="J29" s="30" t="s">
        <v>177</v>
      </c>
      <c r="K29" s="168" t="str">
        <f>hyperlink("https://skutracker.sierrawireless.local/projects/5340", "5340")</f>
        <v>5340</v>
      </c>
      <c r="L29" s="168" t="str">
        <f>hyperlink("https://agile.sierrawireless.com/Agile/PLMServlet?action=OpenEmailObject&amp;classid=8000&amp;objid=32895705", "TDN-013459")</f>
        <v>TDN-013459</v>
      </c>
      <c r="M29" s="30" t="s">
        <v>7074</v>
      </c>
      <c r="N29" s="30" t="s">
        <v>7137</v>
      </c>
    </row>
    <row r="30">
      <c r="A30" s="168" t="str">
        <f>hyperlink("https://issues.sierrawireless.com/browse/OEMPRI-7204", "OEMPRI-7204")</f>
        <v>OEMPRI-7204</v>
      </c>
      <c r="B30" s="30" t="b">
        <v>1</v>
      </c>
      <c r="C30" s="30">
        <v>1103204.0</v>
      </c>
      <c r="D30" s="191">
        <v>9906619.0</v>
      </c>
      <c r="E30" s="30" t="s">
        <v>139</v>
      </c>
      <c r="F30" s="35">
        <v>43242.0</v>
      </c>
      <c r="G30" s="35" t="s">
        <v>92</v>
      </c>
      <c r="H30" s="30" t="s">
        <v>176</v>
      </c>
      <c r="I30" s="30" t="s">
        <v>148</v>
      </c>
      <c r="J30" s="30" t="s">
        <v>177</v>
      </c>
      <c r="K30" s="168" t="str">
        <f>hyperlink("https://skutracker.sierrawireless.local/projects/5341", "5341")</f>
        <v>5341</v>
      </c>
      <c r="L30" s="168" t="str">
        <f>hyperlink("https://agile.sierrawireless.com/Agile/PLMServlet?action=OpenEmailObject&amp;classid=8000&amp;objid=32895718", "TDN-013460")</f>
        <v>TDN-013460</v>
      </c>
      <c r="M30" s="30" t="s">
        <v>7066</v>
      </c>
      <c r="N30" s="30" t="s">
        <v>7137</v>
      </c>
    </row>
    <row r="31">
      <c r="A31" s="168" t="str">
        <f>hyperlink("https://issues.sierrawireless.com/browse/OEMPRI-7210", "OEMPRI-7210")</f>
        <v>OEMPRI-7210</v>
      </c>
      <c r="B31" s="30" t="b">
        <v>1</v>
      </c>
      <c r="C31" s="30">
        <v>1103207.0</v>
      </c>
      <c r="D31" s="191">
        <v>9906620.0</v>
      </c>
      <c r="E31" s="30" t="s">
        <v>139</v>
      </c>
      <c r="F31" s="35">
        <v>43242.0</v>
      </c>
      <c r="G31" s="35" t="s">
        <v>92</v>
      </c>
      <c r="H31" s="30" t="s">
        <v>176</v>
      </c>
      <c r="I31" s="30" t="s">
        <v>177</v>
      </c>
      <c r="J31" s="30" t="s">
        <v>177</v>
      </c>
      <c r="K31" s="168" t="str">
        <f>hyperlink("https://skutracker.sierrawireless.local/projects/5342", "5342")</f>
        <v>5342</v>
      </c>
      <c r="L31" s="168" t="str">
        <f>hyperlink("https://agile.sierrawireless.com/Agile/PLMServlet?action=OpenEmailObject&amp;classid=8000&amp;objid=32895720", "TDN-013461")</f>
        <v>TDN-013461</v>
      </c>
      <c r="M31" s="30" t="s">
        <v>7066</v>
      </c>
      <c r="N31" s="30" t="s">
        <v>7137</v>
      </c>
    </row>
    <row r="32">
      <c r="A32" s="168" t="str">
        <f>hyperlink("https://issues.sierrawireless.com/browse/OEMPRI-7216", "OEMPRI-7216")</f>
        <v>OEMPRI-7216</v>
      </c>
      <c r="B32" s="30" t="b">
        <v>1</v>
      </c>
      <c r="C32" s="30">
        <v>1103211.0</v>
      </c>
      <c r="D32" s="191">
        <v>9906625.0</v>
      </c>
      <c r="E32" s="30" t="s">
        <v>139</v>
      </c>
      <c r="F32" s="35">
        <v>43242.0</v>
      </c>
      <c r="G32" s="35">
        <v>43251.0</v>
      </c>
      <c r="H32" s="30" t="s">
        <v>176</v>
      </c>
      <c r="I32" s="30" t="s">
        <v>148</v>
      </c>
      <c r="J32" s="30" t="s">
        <v>177</v>
      </c>
      <c r="K32" s="168" t="str">
        <f>hyperlink("https://skutracker.sierrawireless.local/projects/5343", "5343")</f>
        <v>5343</v>
      </c>
      <c r="L32" s="168" t="str">
        <f>hyperlink("https://agile.sierrawireless.com/Agile/PLMServlet?action=OpenEmailObject&amp;classid=8000&amp;objid=32895722", "TDN-013462")</f>
        <v>TDN-013462</v>
      </c>
      <c r="M32" s="30" t="s">
        <v>7066</v>
      </c>
      <c r="N32" s="30" t="s">
        <v>7146</v>
      </c>
    </row>
    <row r="33">
      <c r="A33" s="168" t="str">
        <f>hyperlink("https://issues.sierrawireless.com/browse/OEMPRI-7183", "OEMPRI-7183")</f>
        <v>OEMPRI-7183</v>
      </c>
      <c r="B33" s="30" t="b">
        <v>1</v>
      </c>
      <c r="C33" s="30">
        <v>1104126.0</v>
      </c>
      <c r="D33" s="191">
        <v>9908488.0</v>
      </c>
      <c r="E33" s="30" t="s">
        <v>139</v>
      </c>
      <c r="F33" s="35">
        <v>43238.0</v>
      </c>
      <c r="G33" s="35">
        <v>43243.0</v>
      </c>
      <c r="H33" s="30" t="s">
        <v>147</v>
      </c>
      <c r="I33" s="30" t="s">
        <v>148</v>
      </c>
      <c r="J33" s="30" t="s">
        <v>149</v>
      </c>
      <c r="K33" s="168" t="str">
        <f>hyperlink("https://skutracker.sierrawireless.local/projects/5507", "5507")</f>
        <v>5507</v>
      </c>
      <c r="L33" s="168" t="str">
        <f>hyperlink("https://agile.sierrawireless.com/Agile/PLMServlet?action=OpenEmailObject&amp;classid=6000&amp;objid=34740288", "ECO-027182")</f>
        <v>ECO-027182</v>
      </c>
      <c r="M33" s="30" t="s">
        <v>7148</v>
      </c>
      <c r="N33" s="30" t="s">
        <v>7149</v>
      </c>
    </row>
    <row r="34">
      <c r="A34" s="168" t="str">
        <f>hyperlink("https://issues.sierrawireless.com/browse/OEMPRI-7137", "OEMPRI-7137")</f>
        <v>OEMPRI-7137</v>
      </c>
      <c r="B34" s="30" t="b">
        <v>1</v>
      </c>
      <c r="C34" s="30">
        <v>1103925.0</v>
      </c>
      <c r="D34" s="191">
        <v>9908218.0</v>
      </c>
      <c r="E34" s="30" t="s">
        <v>86</v>
      </c>
      <c r="F34" s="35">
        <v>43235.0</v>
      </c>
      <c r="G34" s="35">
        <v>43129.0</v>
      </c>
      <c r="H34" s="30" t="s">
        <v>215</v>
      </c>
      <c r="I34" s="30" t="s">
        <v>7151</v>
      </c>
      <c r="J34" s="30" t="s">
        <v>216</v>
      </c>
      <c r="K34" s="168" t="str">
        <f>hyperlink("https://skutracker.sierrawireless.local/projects/4356", "4356")</f>
        <v>4356</v>
      </c>
      <c r="L34" s="168" t="str">
        <f>hyperlink("https://agile.sierrawireless.com/Agile/PLMServlet?action=OpenEmailObject&amp;classid=6000&amp;objid=31800566", "ECO-026807")</f>
        <v>ECO-026807</v>
      </c>
      <c r="M34" s="30" t="s">
        <v>7139</v>
      </c>
      <c r="N34" s="30" t="s">
        <v>7140</v>
      </c>
    </row>
    <row r="35">
      <c r="A35" s="168" t="str">
        <f>hyperlink("https://issues.sierrawireless.com/browse/OEMPRI-7039", "OEMPRI-7039")</f>
        <v>OEMPRI-7039</v>
      </c>
      <c r="B35" s="30" t="b">
        <v>1</v>
      </c>
      <c r="C35" s="30">
        <v>1102626.0</v>
      </c>
      <c r="D35" s="191">
        <v>9904922.0</v>
      </c>
      <c r="E35" s="30" t="s">
        <v>175</v>
      </c>
      <c r="F35" s="35">
        <v>43228.0</v>
      </c>
      <c r="G35" s="35" t="s">
        <v>92</v>
      </c>
      <c r="H35" s="30" t="s">
        <v>119</v>
      </c>
      <c r="I35" s="30" t="s">
        <v>122</v>
      </c>
      <c r="J35" s="30" t="s">
        <v>122</v>
      </c>
      <c r="K35" s="168" t="str">
        <f>hyperlink("https://skutracker.sierrawireless.local/projects/5293", "5293")</f>
        <v>5293</v>
      </c>
      <c r="L35" s="168" t="str">
        <f>hyperlink("https://agile.sierrawireless.com/Agile/PLMServlet?action=OpenEmailObject&amp;classid=8000&amp;objid=32529094", "TDN-013423")</f>
        <v>TDN-013423</v>
      </c>
      <c r="M35" s="30" t="s">
        <v>7099</v>
      </c>
      <c r="N35" s="30" t="s">
        <v>7100</v>
      </c>
    </row>
    <row r="36">
      <c r="A36" s="168" t="str">
        <f>hyperlink("https://issues.sierrawireless.com/browse/OEMPRI-7041", "OEMPRI-7041")</f>
        <v>OEMPRI-7041</v>
      </c>
      <c r="B36" s="30" t="b">
        <v>1</v>
      </c>
      <c r="C36" s="30">
        <v>1103794.0</v>
      </c>
      <c r="D36" s="191">
        <v>9907769.0</v>
      </c>
      <c r="E36" s="30" t="s">
        <v>175</v>
      </c>
      <c r="F36" s="35">
        <v>43228.0</v>
      </c>
      <c r="G36" s="35" t="s">
        <v>92</v>
      </c>
      <c r="H36" s="30" t="s">
        <v>119</v>
      </c>
      <c r="I36" s="30" t="s">
        <v>122</v>
      </c>
      <c r="J36" s="30" t="s">
        <v>122</v>
      </c>
      <c r="K36" s="168" t="str">
        <f>hyperlink("https://skutracker.sierrawireless.local/projects/5280", "5280")</f>
        <v>5280</v>
      </c>
      <c r="L36" s="168" t="str">
        <f>hyperlink("https://agile.sierrawireless.com/Agile/PLMServlet?action=OpenEmailObject&amp;classid=8000&amp;objid=31617755", "TDN-013336")</f>
        <v>TDN-013336</v>
      </c>
      <c r="M36" s="30" t="s">
        <v>7099</v>
      </c>
      <c r="N36" s="30" t="s">
        <v>7154</v>
      </c>
    </row>
    <row r="37">
      <c r="A37" s="168" t="str">
        <f>hyperlink("https://issues.sierrawireless.com/browse/OEMPRI-6971", "OEMPRI-6971")</f>
        <v>OEMPRI-6971</v>
      </c>
      <c r="B37" s="30" t="b">
        <v>1</v>
      </c>
      <c r="C37" s="30">
        <v>1103223.0</v>
      </c>
      <c r="D37" s="191">
        <v>9906693.0</v>
      </c>
      <c r="E37" s="30" t="s">
        <v>139</v>
      </c>
      <c r="F37" s="35">
        <v>43223.0</v>
      </c>
      <c r="G37" s="35">
        <v>43231.0</v>
      </c>
      <c r="H37" s="30" t="s">
        <v>160</v>
      </c>
      <c r="I37" s="30" t="s">
        <v>148</v>
      </c>
      <c r="J37" s="30" t="s">
        <v>244</v>
      </c>
      <c r="K37" s="168" t="str">
        <f>hyperlink("https://skutracker.sierrawireless.local/projects/5378", "5378")</f>
        <v>5378</v>
      </c>
      <c r="L37" s="168" t="str">
        <f>hyperlink("https://agile.sierrawireless.com/Agile/PLMServlet?action=OpenEmailObject&amp;classid=8000&amp;objid=32957819", "TDN-013469")</f>
        <v>TDN-013469</v>
      </c>
      <c r="M37" s="30" t="s">
        <v>7156</v>
      </c>
      <c r="N37" s="30" t="s">
        <v>7132</v>
      </c>
    </row>
    <row r="38">
      <c r="A38" s="168" t="str">
        <f>hyperlink("https://issues.sierrawireless.com/browse/OEMPRI-6792", "OEMPRI-6792")</f>
        <v>OEMPRI-6792</v>
      </c>
      <c r="B38" s="30" t="b">
        <v>1</v>
      </c>
      <c r="C38" s="30">
        <v>1104092.0</v>
      </c>
      <c r="D38" s="191">
        <v>9908399.0</v>
      </c>
      <c r="E38" s="30" t="s">
        <v>139</v>
      </c>
      <c r="F38" s="35">
        <v>43206.0</v>
      </c>
      <c r="G38" s="35">
        <v>43210.0</v>
      </c>
      <c r="H38" s="30" t="s">
        <v>147</v>
      </c>
      <c r="I38" s="30" t="s">
        <v>148</v>
      </c>
      <c r="J38" s="30" t="s">
        <v>149</v>
      </c>
      <c r="K38" s="168" t="str">
        <f>hyperlink("https://skutracker.sierrawireless.local/projects/5364", "5364")</f>
        <v>5364</v>
      </c>
      <c r="L38" s="168" t="str">
        <f>hyperlink("https://agile.sierrawireless.com/Agile/PLMServlet?action=OpenEmailObject&amp;classid=6000&amp;objid=32882999", "ECO-026910")</f>
        <v>ECO-026910</v>
      </c>
      <c r="M38" s="30" t="s">
        <v>7158</v>
      </c>
      <c r="N38" s="30" t="s">
        <v>7159</v>
      </c>
    </row>
    <row r="39">
      <c r="A39" s="168" t="str">
        <f>hyperlink("https://issues.sierrawireless.com/browse/OEMPRI-6770", "OEMPRI-6770")</f>
        <v>OEMPRI-6770</v>
      </c>
      <c r="B39" s="30" t="b">
        <v>1</v>
      </c>
      <c r="C39" s="30">
        <v>1102626.0</v>
      </c>
      <c r="D39" s="191">
        <v>9904922.0</v>
      </c>
      <c r="E39" s="30" t="s">
        <v>139</v>
      </c>
      <c r="F39" s="35">
        <v>43202.0</v>
      </c>
      <c r="G39" s="35" t="s">
        <v>92</v>
      </c>
      <c r="H39" s="30" t="s">
        <v>119</v>
      </c>
      <c r="I39" s="30" t="s">
        <v>148</v>
      </c>
      <c r="J39" s="30" t="s">
        <v>122</v>
      </c>
      <c r="K39" s="168" t="str">
        <f>hyperlink("https://skutracker.sierrawireless.local/projects/5293", "5293")</f>
        <v>5293</v>
      </c>
      <c r="L39" s="168" t="str">
        <f>hyperlink("https://agile.sierrawireless.com/Agile/PLMServlet?action=OpenEmailObject&amp;classid=8000&amp;objid=32529094", "TDN-013423")</f>
        <v>TDN-013423</v>
      </c>
      <c r="M39" s="30" t="s">
        <v>7099</v>
      </c>
      <c r="N39" s="30" t="s">
        <v>7100</v>
      </c>
    </row>
    <row r="40">
      <c r="A40" s="168" t="str">
        <f>hyperlink("https://issues.sierrawireless.com/browse/OEMPRI-6739", "OEMPRI-6739")</f>
        <v>OEMPRI-6739</v>
      </c>
      <c r="B40" s="30" t="b">
        <v>1</v>
      </c>
      <c r="C40" s="30">
        <v>1103925.0</v>
      </c>
      <c r="D40" s="191">
        <v>9908218.0</v>
      </c>
      <c r="E40" s="30" t="s">
        <v>139</v>
      </c>
      <c r="F40" s="35">
        <v>43200.0</v>
      </c>
      <c r="G40" s="35">
        <v>43129.0</v>
      </c>
      <c r="H40" s="30" t="s">
        <v>215</v>
      </c>
      <c r="I40" s="30" t="s">
        <v>148</v>
      </c>
      <c r="J40" s="30" t="s">
        <v>216</v>
      </c>
      <c r="K40" s="168" t="str">
        <f>hyperlink("https://skutracker.sierrawireless.local/projects/4356", "4356")</f>
        <v>4356</v>
      </c>
      <c r="L40" s="168" t="str">
        <f>hyperlink("https://agile.sierrawireless.com/Agile/PLMServlet?action=OpenEmailObject&amp;classid=6000&amp;objid=31800566", "ECO-026807")</f>
        <v>ECO-026807</v>
      </c>
      <c r="M40" s="30" t="s">
        <v>7139</v>
      </c>
      <c r="N40" s="30" t="s">
        <v>7140</v>
      </c>
    </row>
    <row r="41">
      <c r="A41" s="168" t="str">
        <f>hyperlink("https://issues.sierrawireless.com/browse/OEMPRI-6728", "OEMPRI-6728")</f>
        <v>OEMPRI-6728</v>
      </c>
      <c r="B41" s="30" t="b">
        <v>1</v>
      </c>
      <c r="C41" s="30">
        <v>1103493.0</v>
      </c>
      <c r="D41" s="191">
        <v>9907246.0</v>
      </c>
      <c r="E41" s="30" t="s">
        <v>139</v>
      </c>
      <c r="F41" s="35">
        <v>43199.0</v>
      </c>
      <c r="G41" s="35">
        <v>43202.0</v>
      </c>
      <c r="H41" s="30" t="s">
        <v>723</v>
      </c>
      <c r="I41" s="30" t="s">
        <v>148</v>
      </c>
      <c r="J41" s="30" t="s">
        <v>122</v>
      </c>
      <c r="K41" s="168" t="str">
        <f>hyperlink("https://skutracker.sierrawireless.local/projects/5479", "5479")</f>
        <v>5479</v>
      </c>
      <c r="L41" s="168" t="str">
        <f>hyperlink("https://agile.sierrawireless.com/Agile/PLMServlet?action=OpenEmailObject&amp;classid=6000&amp;objid=32294074", "ECO-026854")</f>
        <v>ECO-026854</v>
      </c>
      <c r="M41" s="30" t="s">
        <v>7167</v>
      </c>
      <c r="N41" s="30" t="s">
        <v>7168</v>
      </c>
    </row>
    <row r="42">
      <c r="A42" s="168" t="str">
        <f>hyperlink("https://issues.sierrawireless.com/browse/OEMPRI-6629", "OEMPRI-6629")</f>
        <v>OEMPRI-6629</v>
      </c>
      <c r="B42" s="30" t="b">
        <v>1</v>
      </c>
      <c r="C42" s="30">
        <v>1103794.0</v>
      </c>
      <c r="D42" s="191">
        <v>9907769.0</v>
      </c>
      <c r="E42" s="30" t="s">
        <v>139</v>
      </c>
      <c r="F42" s="35">
        <v>43185.0</v>
      </c>
      <c r="G42" s="35" t="s">
        <v>92</v>
      </c>
      <c r="H42" s="30" t="s">
        <v>119</v>
      </c>
      <c r="I42" s="30" t="s">
        <v>120</v>
      </c>
      <c r="J42" s="30" t="s">
        <v>122</v>
      </c>
      <c r="K42" s="168" t="str">
        <f>hyperlink("https://skutracker.sierrawireless.local/projects/5280", "5280")</f>
        <v>5280</v>
      </c>
      <c r="L42" s="192" t="str">
        <f>hyperlink("https://agile.sierrawireless.com/Agile/PLMServlet?action=OpenEmailObject&amp;classid=8000&amp;objid=31617755", "TDN-013336")</f>
        <v>TDN-013336</v>
      </c>
      <c r="M42" s="30" t="s">
        <v>7099</v>
      </c>
      <c r="N42" s="30" t="s">
        <v>7171</v>
      </c>
    </row>
    <row r="43">
      <c r="A43" s="168" t="str">
        <f>hyperlink("https://issues.sierrawireless.com/browse/OEMPRI-6604", "OEMPRI-6604")</f>
        <v>OEMPRI-6604</v>
      </c>
      <c r="B43" s="30" t="b">
        <v>1</v>
      </c>
      <c r="C43" s="30">
        <v>1103818.0</v>
      </c>
      <c r="D43" s="191">
        <v>9907833.0</v>
      </c>
      <c r="E43" s="30" t="s">
        <v>175</v>
      </c>
      <c r="F43" s="35">
        <v>43182.0</v>
      </c>
      <c r="G43" s="35">
        <v>43179.0</v>
      </c>
      <c r="H43" s="30" t="s">
        <v>723</v>
      </c>
      <c r="I43" s="30" t="s">
        <v>122</v>
      </c>
      <c r="J43" s="30" t="s">
        <v>122</v>
      </c>
      <c r="K43" s="168" t="str">
        <f>hyperlink("https://skutracker.sierrawireless.local/projects/5185", "5185")</f>
        <v>5185</v>
      </c>
      <c r="L43" s="168" t="str">
        <f>hyperlink("https://agile.sierrawireless.com/Agile/PLMServlet?action=OpenEmailObject&amp;classid=8000&amp;objid=30914913", "TDN-013291")</f>
        <v>TDN-013291</v>
      </c>
      <c r="M43" s="30" t="s">
        <v>7167</v>
      </c>
      <c r="N43" s="30" t="s">
        <v>7168</v>
      </c>
    </row>
    <row r="44">
      <c r="A44" s="168" t="str">
        <f>hyperlink("https://issues.sierrawireless.com/browse/OEMPRI-6562", "OEMPRI-6562")</f>
        <v>OEMPRI-6562</v>
      </c>
      <c r="B44" s="30" t="b">
        <v>1</v>
      </c>
      <c r="C44" s="30">
        <v>1104059.0</v>
      </c>
      <c r="D44" s="191">
        <v>9908316.0</v>
      </c>
      <c r="E44" s="30" t="s">
        <v>175</v>
      </c>
      <c r="F44" s="35">
        <v>43181.0</v>
      </c>
      <c r="G44" s="43">
        <v>43192.0</v>
      </c>
      <c r="H44" s="30" t="s">
        <v>160</v>
      </c>
      <c r="I44" s="30" t="s">
        <v>148</v>
      </c>
      <c r="J44" s="30" t="s">
        <v>244</v>
      </c>
      <c r="K44" s="168" t="str">
        <f>hyperlink("https://skutracker.sierrawireless.local/projects/5195", "5195")</f>
        <v>5195</v>
      </c>
      <c r="L44" s="192" t="str">
        <f>hyperlink("https://agile.sierrawireless.com/Agile/PLMServlet?action=OpenEmailObject&amp;classid=6000&amp;objid=31342149", "ECO-026751")</f>
        <v>ECO-026751</v>
      </c>
      <c r="M44" s="30" t="s">
        <v>7184</v>
      </c>
      <c r="N44" s="30" t="s">
        <v>7185</v>
      </c>
    </row>
    <row r="45">
      <c r="A45" s="168" t="str">
        <f>hyperlink("https://issues.sierrawireless.com/browse/OEMPRI-6489", "OEMPRI-6489")</f>
        <v>OEMPRI-6489</v>
      </c>
      <c r="B45" s="30" t="b">
        <v>1</v>
      </c>
      <c r="C45" s="30">
        <v>1103545.0</v>
      </c>
      <c r="D45" s="191">
        <v>9907945.0</v>
      </c>
      <c r="E45" s="30" t="s">
        <v>139</v>
      </c>
      <c r="F45" s="35">
        <v>43175.0</v>
      </c>
      <c r="G45" s="43">
        <v>43049.0</v>
      </c>
      <c r="H45" s="30" t="s">
        <v>723</v>
      </c>
      <c r="I45" s="30" t="s">
        <v>148</v>
      </c>
      <c r="J45" s="30" t="s">
        <v>122</v>
      </c>
      <c r="K45" s="168" t="str">
        <f>hyperlink("https://skutracker.sierrawireless.local/projects/3823", "3823")</f>
        <v>3823</v>
      </c>
      <c r="L45" s="192" t="str">
        <f>hyperlink("https://agile.sierrawireless.com/Agile/PLMServlet?action=OpenEmailObject&amp;classid=8000&amp;objid=30506400", "TDN-013257")</f>
        <v>TDN-013257</v>
      </c>
      <c r="M45" s="30" t="s">
        <v>7187</v>
      </c>
      <c r="N45" s="30" t="s">
        <v>7188</v>
      </c>
    </row>
    <row r="46">
      <c r="A46" s="168" t="str">
        <f>hyperlink("https://issues.sierrawireless.com/browse/OEMPRI-6457", "OEMPRI-6457")</f>
        <v>OEMPRI-6457</v>
      </c>
      <c r="B46" s="30" t="b">
        <v>1</v>
      </c>
      <c r="C46" s="30">
        <v>1103818.0</v>
      </c>
      <c r="D46" s="191">
        <v>9907833.0</v>
      </c>
      <c r="E46" s="30" t="s">
        <v>139</v>
      </c>
      <c r="F46" s="35">
        <v>43173.0</v>
      </c>
      <c r="G46" s="35">
        <v>43179.0</v>
      </c>
      <c r="H46" s="30" t="s">
        <v>723</v>
      </c>
      <c r="I46" s="30" t="s">
        <v>122</v>
      </c>
      <c r="J46" s="30" t="s">
        <v>122</v>
      </c>
      <c r="K46" s="168" t="str">
        <f>hyperlink("https://skutracker.sierrawireless.local/projects/5185", "5185")</f>
        <v>5185</v>
      </c>
      <c r="L46" s="192" t="str">
        <f>hyperlink("https://agile.sierrawireless.com/Agile/PLMServlet?action=OpenEmailObject&amp;classid=8000&amp;objid=30914913", "TDN-013291")</f>
        <v>TDN-013291</v>
      </c>
      <c r="M46" s="30" t="s">
        <v>7167</v>
      </c>
      <c r="N46" s="30" t="s">
        <v>7168</v>
      </c>
    </row>
    <row r="47">
      <c r="A47" s="168" t="str">
        <f>hyperlink("https://issues.sierrawireless.com/browse/OEMPRI-6444", "OEMPRI-6444")</f>
        <v>OEMPRI-6444</v>
      </c>
      <c r="B47" s="30" t="b">
        <v>1</v>
      </c>
      <c r="C47" s="30">
        <v>1104029.0</v>
      </c>
      <c r="D47" s="191">
        <v>9908221.0</v>
      </c>
      <c r="E47" s="30" t="s">
        <v>139</v>
      </c>
      <c r="F47" s="35">
        <v>43172.0</v>
      </c>
      <c r="G47" s="35">
        <v>43129.0</v>
      </c>
      <c r="H47" s="30" t="s">
        <v>147</v>
      </c>
      <c r="I47" s="30" t="s">
        <v>148</v>
      </c>
      <c r="J47" s="30" t="s">
        <v>148</v>
      </c>
      <c r="K47" s="168" t="str">
        <f>hyperlink("https://skutracker.sierrawireless.local/projects/5219", "5219")</f>
        <v>5219</v>
      </c>
      <c r="L47" s="168" t="str">
        <f>hyperlink("https://agile.sierrawireless.com/Agile/PLMServlet?action=OpenEmailObject&amp;classid=6000&amp;objid=30814411", "ECO-026638")</f>
        <v>ECO-026638</v>
      </c>
      <c r="M47" s="30" t="s">
        <v>7192</v>
      </c>
      <c r="N47" s="30" t="s">
        <v>7193</v>
      </c>
    </row>
    <row r="48">
      <c r="A48" s="168" t="str">
        <f>hyperlink("https://issues.sierrawireless.com/browse/OEMPRI-6427", "OEMPRI-6427")</f>
        <v>OEMPRI-6427</v>
      </c>
      <c r="B48" s="30" t="b">
        <v>1</v>
      </c>
      <c r="C48" s="30">
        <v>1103744.0</v>
      </c>
      <c r="D48" s="191">
        <v>9907633.0</v>
      </c>
      <c r="E48" s="30" t="s">
        <v>139</v>
      </c>
      <c r="F48" s="35">
        <v>43171.0</v>
      </c>
      <c r="G48" s="35">
        <v>43175.0</v>
      </c>
      <c r="H48" s="30" t="s">
        <v>1399</v>
      </c>
      <c r="I48" s="30" t="s">
        <v>148</v>
      </c>
      <c r="J48" s="30" t="s">
        <v>1400</v>
      </c>
      <c r="K48" s="168" t="str">
        <f>hyperlink("https://skutracker.sierrawireless.local/projects/5206", "5206")</f>
        <v>5206</v>
      </c>
      <c r="L48" s="168" t="str">
        <f>hyperlink("https://agile.sierrawireless.com/Agile/PLMServlet?action=OpenEmailObject&amp;classid=6000&amp;objid=34257431", "ECO-027112")</f>
        <v>ECO-027112</v>
      </c>
      <c r="M48" s="30" t="s">
        <v>7195</v>
      </c>
      <c r="N48" s="30" t="s">
        <v>7196</v>
      </c>
    </row>
    <row r="49">
      <c r="A49" s="168" t="str">
        <f>hyperlink("https://issues.sierrawireless.com/browse/OEMPRI-6408", "OEMPRI-6408")</f>
        <v>OEMPRI-6408</v>
      </c>
      <c r="B49" s="30" t="b">
        <v>1</v>
      </c>
      <c r="C49" s="30">
        <v>1102626.0</v>
      </c>
      <c r="D49" s="191">
        <v>9904922.0</v>
      </c>
      <c r="E49" s="30" t="s">
        <v>469</v>
      </c>
      <c r="F49" s="35">
        <v>43168.0</v>
      </c>
      <c r="G49" s="35" t="s">
        <v>92</v>
      </c>
      <c r="H49" s="30" t="s">
        <v>119</v>
      </c>
      <c r="I49" s="30" t="s">
        <v>122</v>
      </c>
      <c r="J49" s="30" t="s">
        <v>122</v>
      </c>
      <c r="K49" s="168" t="str">
        <f>hyperlink("https://skutracker.sierrawireless.local/projects/5224", "5224")</f>
        <v>5224</v>
      </c>
      <c r="L49" s="192" t="str">
        <f>hyperlink("https://agile.sierrawireless.com/Agile/PLMServlet?action=OpenEmailObject&amp;classid=8000&amp;objid=31411762", "TDN-013328")</f>
        <v>TDN-013328</v>
      </c>
      <c r="M49" s="30" t="s">
        <v>7136</v>
      </c>
      <c r="N49" s="30" t="s">
        <v>7100</v>
      </c>
    </row>
    <row r="50">
      <c r="A50" s="168" t="str">
        <f>hyperlink("https://issues.sierrawireless.com/browse/OEMPRI-6334", "OEMPRI-6334")</f>
        <v>OEMPRI-6334</v>
      </c>
      <c r="B50" s="30" t="b">
        <v>1</v>
      </c>
      <c r="C50" s="30">
        <v>1104060.0</v>
      </c>
      <c r="D50" s="191">
        <v>9908318.0</v>
      </c>
      <c r="E50" s="30" t="s">
        <v>469</v>
      </c>
      <c r="F50" s="35">
        <v>43161.0</v>
      </c>
      <c r="G50" s="35" t="s">
        <v>92</v>
      </c>
      <c r="H50" s="30" t="s">
        <v>119</v>
      </c>
      <c r="I50" s="30" t="s">
        <v>122</v>
      </c>
      <c r="J50" s="30" t="s">
        <v>1128</v>
      </c>
      <c r="K50" s="168" t="str">
        <f>hyperlink("https://skutracker.sierrawireless.local/projects/5360", "5360")</f>
        <v>5360</v>
      </c>
      <c r="L50" s="192" t="str">
        <f>hyperlink("https://agile.sierrawireless.com/Agile/PLMServlet?action=OpenEmailObject&amp;classid=0&amp;objid=-1", "TDN-013571")</f>
        <v>TDN-013571</v>
      </c>
      <c r="M50" s="30" t="s">
        <v>7099</v>
      </c>
      <c r="N50" s="30" t="s">
        <v>7200</v>
      </c>
    </row>
    <row r="51">
      <c r="A51" s="168" t="str">
        <f>hyperlink("https://issues.sierrawireless.com/browse/OEMPRI-6325", "OEMPRI-6325")</f>
        <v>OEMPRI-6325</v>
      </c>
      <c r="B51" s="30" t="b">
        <v>1</v>
      </c>
      <c r="C51" s="30">
        <v>1103371.0</v>
      </c>
      <c r="D51" s="191">
        <v>9906986.0</v>
      </c>
      <c r="E51" s="30" t="s">
        <v>139</v>
      </c>
      <c r="F51" s="35">
        <v>43160.0</v>
      </c>
      <c r="G51" s="35">
        <v>43164.0</v>
      </c>
      <c r="H51" s="30" t="s">
        <v>160</v>
      </c>
      <c r="I51" s="30" t="s">
        <v>148</v>
      </c>
      <c r="J51" s="30" t="s">
        <v>244</v>
      </c>
      <c r="K51" s="168" t="str">
        <f>hyperlink("https://skutracker.sierrawireless.local/projects/4667", "4667")</f>
        <v>4667</v>
      </c>
      <c r="L51" s="168" t="str">
        <f>hyperlink("https://agile.sierrawireless.com/Agile/PLMServlet?action=OpenEmailObject&amp;classid=8000&amp;objid=28426996", "TDN-013084")</f>
        <v>TDN-013084</v>
      </c>
      <c r="M51" s="30" t="s">
        <v>7202</v>
      </c>
      <c r="N51" s="30" t="s">
        <v>7185</v>
      </c>
    </row>
    <row r="52">
      <c r="A52" s="168" t="str">
        <f>hyperlink("https://issues.sierrawireless.com/browse/OEMPRI-6312", "OEMPRI-6312")</f>
        <v>OEMPRI-6312</v>
      </c>
      <c r="B52" s="30" t="b">
        <v>1</v>
      </c>
      <c r="C52" s="30">
        <v>1102626.0</v>
      </c>
      <c r="D52" s="191">
        <v>9904922.0</v>
      </c>
      <c r="E52" s="30" t="s">
        <v>139</v>
      </c>
      <c r="F52" s="35">
        <v>43159.0</v>
      </c>
      <c r="G52" s="30" t="s">
        <v>92</v>
      </c>
      <c r="H52" s="30" t="s">
        <v>119</v>
      </c>
      <c r="I52" s="30" t="s">
        <v>120</v>
      </c>
      <c r="J52" s="30" t="s">
        <v>726</v>
      </c>
      <c r="K52" s="168" t="str">
        <f>hyperlink("https://skutracker.sierrawireless.local/projects/5293", "5293")</f>
        <v>5293</v>
      </c>
      <c r="L52" s="192" t="str">
        <f>hyperlink("https://agile.sierrawireless.com/Agile/PLMServlet?action=OpenEmailObject&amp;classid=8000&amp;objid=32529094", "TDN-013423")</f>
        <v>TDN-013423</v>
      </c>
      <c r="M52" s="30" t="s">
        <v>7099</v>
      </c>
      <c r="N52" s="30" t="s">
        <v>7100</v>
      </c>
    </row>
    <row r="53">
      <c r="A53" s="168" t="str">
        <f>hyperlink("https://issues.sierrawireless.com/browse/OEMPRI-6211", "OEMPRI-6211")</f>
        <v>OEMPRI-6211</v>
      </c>
      <c r="B53" s="30" t="b">
        <v>1</v>
      </c>
      <c r="C53" s="30">
        <v>1103372.0</v>
      </c>
      <c r="D53" s="191">
        <v>9906987.0</v>
      </c>
      <c r="E53" s="30" t="s">
        <v>139</v>
      </c>
      <c r="F53" s="35">
        <v>43144.0</v>
      </c>
      <c r="G53" s="35">
        <v>43161.0</v>
      </c>
      <c r="H53" s="30" t="s">
        <v>160</v>
      </c>
      <c r="I53" s="30" t="s">
        <v>148</v>
      </c>
      <c r="J53" s="30" t="s">
        <v>244</v>
      </c>
      <c r="K53" s="168" t="str">
        <f>hyperlink("https://skutracker.sierrawireless.local/projects/5086", "5086")</f>
        <v>5086</v>
      </c>
      <c r="L53" s="168" t="str">
        <f>hyperlink("https://agile.sierrawireless.com/Agile/PLMServlet?action=OpenEmailObject&amp;classid=8000&amp;objid=28790116", "TDN-013121")</f>
        <v>TDN-013121</v>
      </c>
      <c r="M53" s="30" t="s">
        <v>7139</v>
      </c>
      <c r="N53" s="30" t="s">
        <v>7185</v>
      </c>
    </row>
    <row r="54">
      <c r="A54" s="168" t="str">
        <f>hyperlink("https://issues.sierrawireless.com/browse/OEMPRI-6157", "OEMPRI-6157")</f>
        <v>OEMPRI-6157</v>
      </c>
      <c r="B54" s="30" t="b">
        <v>1</v>
      </c>
      <c r="C54" s="30">
        <v>1103359.0</v>
      </c>
      <c r="D54" s="191">
        <v>9906968.0</v>
      </c>
      <c r="E54" s="30" t="s">
        <v>139</v>
      </c>
      <c r="F54" s="35">
        <v>43137.0</v>
      </c>
      <c r="G54" s="35">
        <v>43140.0</v>
      </c>
      <c r="H54" s="30" t="s">
        <v>160</v>
      </c>
      <c r="I54" s="30" t="s">
        <v>148</v>
      </c>
      <c r="J54" s="30" t="s">
        <v>244</v>
      </c>
      <c r="K54" s="168" t="str">
        <f>hyperlink("https://skutracker.sierrawireless.local/projects/4807", "4807")</f>
        <v>4807</v>
      </c>
      <c r="L54" s="168" t="str">
        <f>hyperlink("https://agile.sierrawireless.com/Agile/PLMServlet?action=OpenEmailObject&amp;classid=8000&amp;objid=28735802", "TDN-013113")</f>
        <v>TDN-013113</v>
      </c>
      <c r="M54" s="30" t="s">
        <v>7203</v>
      </c>
      <c r="N54" s="30" t="s">
        <v>7185</v>
      </c>
    </row>
    <row r="55">
      <c r="A55" s="168" t="str">
        <f>hyperlink("https://issues.sierrawireless.com/browse/OEMPRI-6128", "OEMPRI-6128")</f>
        <v>OEMPRI-6128</v>
      </c>
      <c r="B55" s="30" t="b">
        <v>1</v>
      </c>
      <c r="C55" s="30">
        <v>1103823.0</v>
      </c>
      <c r="D55" s="191">
        <v>9907846.0</v>
      </c>
      <c r="E55" s="30" t="s">
        <v>175</v>
      </c>
      <c r="F55" s="35">
        <v>43133.0</v>
      </c>
      <c r="G55" s="30" t="s">
        <v>92</v>
      </c>
      <c r="H55" s="30" t="s">
        <v>1629</v>
      </c>
      <c r="I55" s="30" t="s">
        <v>148</v>
      </c>
      <c r="J55" s="30" t="s">
        <v>726</v>
      </c>
      <c r="K55" s="168" t="str">
        <f>hyperlink("https://skutracker.sierrawireless.local/projects/5079", "5079")</f>
        <v>5079</v>
      </c>
      <c r="L55" s="168" t="str">
        <f>hyperlink("https://agile.sierrawireless.com/Agile/PLMServlet?action=OpenEmailObject&amp;classid=6000&amp;objid=28559527", "ECO-026391")</f>
        <v>ECO-026391</v>
      </c>
      <c r="M55" s="30" t="s">
        <v>7206</v>
      </c>
      <c r="N55" s="30" t="s">
        <v>166</v>
      </c>
    </row>
    <row r="56">
      <c r="A56" s="168" t="str">
        <f>hyperlink("https://issues.sierrawireless.com/browse/OEMPRI-6055", "OEMPRI-6055")</f>
        <v>OEMPRI-6055</v>
      </c>
      <c r="B56" s="30" t="b">
        <v>1</v>
      </c>
      <c r="C56" s="30">
        <v>1103963.0</v>
      </c>
      <c r="D56" s="191">
        <v>9908155.0</v>
      </c>
      <c r="E56" s="30" t="s">
        <v>139</v>
      </c>
      <c r="F56" s="35">
        <v>43125.0</v>
      </c>
      <c r="G56" s="35">
        <v>43133.0</v>
      </c>
      <c r="H56" s="30" t="s">
        <v>160</v>
      </c>
      <c r="I56" s="30" t="s">
        <v>148</v>
      </c>
      <c r="J56" s="30" t="s">
        <v>609</v>
      </c>
      <c r="K56" s="168" t="str">
        <f>hyperlink("https://skutracker.sierrawireless.local/projects/4822", "4822")</f>
        <v>4822</v>
      </c>
      <c r="L56" s="168" t="str">
        <f>hyperlink("https://agile.sierrawireless.com/Agile/PLMServlet?action=OpenEmailObject&amp;classid=8000&amp;objid=27913977", "TDN-013032")</f>
        <v>TDN-013032</v>
      </c>
      <c r="M56" s="30" t="s">
        <v>7099</v>
      </c>
      <c r="N56" s="30" t="s">
        <v>7208</v>
      </c>
    </row>
    <row r="57">
      <c r="A57" s="168" t="str">
        <f>hyperlink("https://issues.sierrawireless.com/browse/OEMPRI-6036", "OEMPRI-6036")</f>
        <v>OEMPRI-6036</v>
      </c>
      <c r="B57" s="30" t="b">
        <v>1</v>
      </c>
      <c r="C57" s="30">
        <v>1103992.0</v>
      </c>
      <c r="D57" s="191">
        <v>9908132.0</v>
      </c>
      <c r="E57" s="30" t="s">
        <v>139</v>
      </c>
      <c r="F57" s="35">
        <v>43125.0</v>
      </c>
      <c r="G57" s="43">
        <v>43021.0</v>
      </c>
      <c r="H57" s="30" t="s">
        <v>176</v>
      </c>
      <c r="I57" s="30" t="s">
        <v>148</v>
      </c>
      <c r="J57" s="30" t="s">
        <v>177</v>
      </c>
      <c r="K57" s="168" t="str">
        <f>hyperlink("https://skutracker.sierrawireless.local/projects/4869", "4869")</f>
        <v>4869</v>
      </c>
      <c r="L57" s="192" t="str">
        <f>hyperlink("https://agile.sierrawireless.com/Agile/PLMServlet?action=OpenEmailObject&amp;classid=8000&amp;objid=28326450", "TDN-013064")</f>
        <v>TDN-013064</v>
      </c>
      <c r="M57" s="30" t="s">
        <v>7074</v>
      </c>
      <c r="N57" s="30" t="s">
        <v>7211</v>
      </c>
    </row>
    <row r="58">
      <c r="A58" s="168" t="str">
        <f>hyperlink("https://issues.sierrawireless.com/browse/OEMPRI-6041", "OEMPRI-6041")</f>
        <v>OEMPRI-6041</v>
      </c>
      <c r="B58" s="30" t="b">
        <v>1</v>
      </c>
      <c r="C58" s="30">
        <v>1103996.0</v>
      </c>
      <c r="D58" s="191">
        <v>9908136.0</v>
      </c>
      <c r="E58" s="30" t="s">
        <v>139</v>
      </c>
      <c r="F58" s="35">
        <v>43125.0</v>
      </c>
      <c r="G58" s="43" t="s">
        <v>92</v>
      </c>
      <c r="H58" s="30" t="s">
        <v>176</v>
      </c>
      <c r="I58" s="30" t="s">
        <v>148</v>
      </c>
      <c r="J58" s="30" t="s">
        <v>177</v>
      </c>
      <c r="K58" s="168" t="str">
        <f>hyperlink("https://skutracker.sierrawireless.local/projects/4871", "4871")</f>
        <v>4871</v>
      </c>
      <c r="L58" s="192" t="str">
        <f>hyperlink("https://agile.sierrawireless.com/Agile/PLMServlet?action=OpenEmailObject&amp;classid=8000&amp;objid=28326805", "TDN-013065")</f>
        <v>TDN-013065</v>
      </c>
      <c r="M58" s="30" t="s">
        <v>7066</v>
      </c>
      <c r="N58" s="30" t="s">
        <v>7211</v>
      </c>
    </row>
    <row r="59">
      <c r="A59" s="168" t="str">
        <f>hyperlink("https://issues.sierrawireless.com/browse/OEMPRI-6004", "OEMPRI-6004")</f>
        <v>OEMPRI-6004</v>
      </c>
      <c r="B59" s="30" t="b">
        <v>1</v>
      </c>
      <c r="C59" s="30">
        <v>1103102.0</v>
      </c>
      <c r="D59" s="191">
        <v>9906297.0</v>
      </c>
      <c r="E59" s="30" t="s">
        <v>139</v>
      </c>
      <c r="F59" s="35">
        <v>43124.0</v>
      </c>
      <c r="G59" s="43">
        <v>43021.0</v>
      </c>
      <c r="H59" s="30" t="s">
        <v>176</v>
      </c>
      <c r="I59" s="30" t="s">
        <v>148</v>
      </c>
      <c r="J59" s="30" t="s">
        <v>177</v>
      </c>
      <c r="K59" s="168" t="str">
        <f>hyperlink("https://skutracker.sierrawireless.local/projects/4961", "4961")</f>
        <v>4961</v>
      </c>
      <c r="L59" s="192" t="str">
        <f>hyperlink("https://agile.sierrawireless.com/Agile/PLMServlet?action=OpenEmailObject&amp;classid=8000&amp;objid=28849095", "TDN-013127")</f>
        <v>TDN-013127</v>
      </c>
      <c r="M59" s="30" t="s">
        <v>7048</v>
      </c>
      <c r="N59" s="30" t="s">
        <v>7211</v>
      </c>
    </row>
    <row r="60">
      <c r="A60" s="168" t="str">
        <f>hyperlink("https://issues.sierrawireless.com/browse/OEMPRI-6014", "OEMPRI-6014")</f>
        <v>OEMPRI-6014</v>
      </c>
      <c r="B60" s="30" t="b">
        <v>1</v>
      </c>
      <c r="C60" s="30">
        <v>1103204.0</v>
      </c>
      <c r="D60" s="191">
        <v>9906619.0</v>
      </c>
      <c r="E60" s="30" t="s">
        <v>175</v>
      </c>
      <c r="F60" s="35">
        <v>43124.0</v>
      </c>
      <c r="G60" s="43" t="s">
        <v>92</v>
      </c>
      <c r="H60" s="30" t="s">
        <v>176</v>
      </c>
      <c r="I60" s="30" t="s">
        <v>148</v>
      </c>
      <c r="J60" s="30" t="s">
        <v>148</v>
      </c>
      <c r="K60" s="168" t="str">
        <f>hyperlink("https://skutracker.sierrawireless.local/projects/4748", "4748")</f>
        <v>4748</v>
      </c>
      <c r="L60" s="192" t="str">
        <f>hyperlink("https://agile.sierrawireless.com/Agile/PLMServlet?action=OpenEmailObject&amp;classid=8000&amp;objid=28082223", "TDN-013044")</f>
        <v>TDN-013044</v>
      </c>
      <c r="M60" s="30" t="s">
        <v>7066</v>
      </c>
      <c r="N60" s="30" t="s">
        <v>7211</v>
      </c>
    </row>
    <row r="61">
      <c r="A61" s="168" t="str">
        <f>hyperlink("https://issues.sierrawireless.com/browse/OEMPRI-6012", "OEMPRI-6012")</f>
        <v>OEMPRI-6012</v>
      </c>
      <c r="B61" s="30" t="b">
        <v>1</v>
      </c>
      <c r="C61" s="30">
        <v>1104029.0</v>
      </c>
      <c r="D61" s="191">
        <v>9908221.0</v>
      </c>
      <c r="E61" s="30" t="s">
        <v>139</v>
      </c>
      <c r="F61" s="35">
        <v>43124.0</v>
      </c>
      <c r="G61" s="43">
        <v>43129.0</v>
      </c>
      <c r="H61" s="30" t="s">
        <v>147</v>
      </c>
      <c r="I61" s="30" t="s">
        <v>148</v>
      </c>
      <c r="J61" s="30" t="s">
        <v>149</v>
      </c>
      <c r="K61" s="168" t="str">
        <f>hyperlink("https://skutracker.sierrawireless.local/projects/5044", "5044")</f>
        <v>5044</v>
      </c>
      <c r="L61" s="192" t="str">
        <f>hyperlink("https://agile.sierrawireless.com/Agile/PLMServlet?action=OpenEmailObject&amp;classid=6000&amp;objid=28022809", "ECO-026307")</f>
        <v>ECO-026307</v>
      </c>
      <c r="M61" s="30" t="s">
        <v>7192</v>
      </c>
      <c r="N61" s="30" t="s">
        <v>7193</v>
      </c>
    </row>
    <row r="62">
      <c r="A62" s="168" t="str">
        <f>hyperlink("https://issues.sierrawireless.com/browse/OEMPRI-5979", "OEMPRI-5979")</f>
        <v>OEMPRI-5979</v>
      </c>
      <c r="B62" s="30" t="b">
        <v>1</v>
      </c>
      <c r="C62" s="30">
        <v>1103376.0</v>
      </c>
      <c r="D62" s="191">
        <v>9906992.0</v>
      </c>
      <c r="E62" s="30" t="s">
        <v>175</v>
      </c>
      <c r="F62" s="35">
        <v>43123.0</v>
      </c>
      <c r="G62" s="30" t="s">
        <v>92</v>
      </c>
      <c r="H62" s="30" t="s">
        <v>1629</v>
      </c>
      <c r="I62" s="30" t="s">
        <v>148</v>
      </c>
      <c r="J62" s="30" t="s">
        <v>726</v>
      </c>
      <c r="K62" s="168" t="str">
        <f t="shared" ref="K62:K66" si="1">hyperlink("https://skutracker.sierrawireless.local/projects/4942", "4942")</f>
        <v>4942</v>
      </c>
      <c r="L62" s="168" t="str">
        <f t="shared" ref="L62:L66" si="2">hyperlink("https://agile.sierrawireless.com/Agile/PLMServlet?action=OpenEmailObject&amp;classid=6000&amp;objid=26915796", "ECO-026136")</f>
        <v>ECO-026136</v>
      </c>
      <c r="M62" s="30" t="s">
        <v>7206</v>
      </c>
      <c r="N62" s="30" t="s">
        <v>166</v>
      </c>
    </row>
    <row r="63">
      <c r="A63" s="168" t="str">
        <f>hyperlink("https://issues.sierrawireless.com/browse/OEMPRI-5976", "OEMPRI-5976")</f>
        <v>OEMPRI-5976</v>
      </c>
      <c r="B63" s="30" t="b">
        <v>1</v>
      </c>
      <c r="C63" s="30">
        <v>1103238.0</v>
      </c>
      <c r="D63" s="191">
        <v>9906724.0</v>
      </c>
      <c r="E63" s="30" t="s">
        <v>175</v>
      </c>
      <c r="F63" s="35">
        <v>43123.0</v>
      </c>
      <c r="G63" s="30" t="s">
        <v>92</v>
      </c>
      <c r="H63" s="30" t="s">
        <v>1629</v>
      </c>
      <c r="I63" s="30" t="s">
        <v>148</v>
      </c>
      <c r="J63" s="30" t="s">
        <v>726</v>
      </c>
      <c r="K63" s="168" t="str">
        <f t="shared" si="1"/>
        <v>4942</v>
      </c>
      <c r="L63" s="168" t="str">
        <f t="shared" si="2"/>
        <v>ECO-026136</v>
      </c>
      <c r="M63" s="30" t="s">
        <v>7206</v>
      </c>
      <c r="N63" s="30" t="s">
        <v>166</v>
      </c>
    </row>
    <row r="64">
      <c r="A64" s="168" t="str">
        <f>hyperlink("https://issues.sierrawireless.com/browse/OEMPRI-5971", "OEMPRI-5971")</f>
        <v>OEMPRI-5971</v>
      </c>
      <c r="B64" s="30" t="b">
        <v>1</v>
      </c>
      <c r="C64" s="30">
        <v>1103066.0</v>
      </c>
      <c r="D64" s="191">
        <v>9906192.0</v>
      </c>
      <c r="E64" s="30" t="s">
        <v>175</v>
      </c>
      <c r="F64" s="35">
        <v>43123.0</v>
      </c>
      <c r="G64" s="30" t="s">
        <v>92</v>
      </c>
      <c r="H64" s="30" t="s">
        <v>1629</v>
      </c>
      <c r="I64" s="30" t="s">
        <v>148</v>
      </c>
      <c r="J64" s="30" t="s">
        <v>726</v>
      </c>
      <c r="K64" s="168" t="str">
        <f t="shared" si="1"/>
        <v>4942</v>
      </c>
      <c r="L64" s="168" t="str">
        <f t="shared" si="2"/>
        <v>ECO-026136</v>
      </c>
      <c r="M64" s="30" t="s">
        <v>7206</v>
      </c>
      <c r="N64" s="30" t="s">
        <v>166</v>
      </c>
    </row>
    <row r="65">
      <c r="A65" s="168" t="str">
        <f>hyperlink("https://issues.sierrawireless.com/browse/OEMPRI-5975", "OEMPRI-5975")</f>
        <v>OEMPRI-5975</v>
      </c>
      <c r="B65" s="30" t="b">
        <v>1</v>
      </c>
      <c r="C65" s="30">
        <v>1103143.0</v>
      </c>
      <c r="D65" s="191">
        <v>9906402.0</v>
      </c>
      <c r="E65" s="30" t="s">
        <v>175</v>
      </c>
      <c r="F65" s="35">
        <v>43123.0</v>
      </c>
      <c r="G65" s="30" t="s">
        <v>92</v>
      </c>
      <c r="H65" s="30" t="s">
        <v>1629</v>
      </c>
      <c r="I65" s="30" t="s">
        <v>148</v>
      </c>
      <c r="J65" s="30" t="s">
        <v>726</v>
      </c>
      <c r="K65" s="168" t="str">
        <f t="shared" si="1"/>
        <v>4942</v>
      </c>
      <c r="L65" s="168" t="str">
        <f t="shared" si="2"/>
        <v>ECO-026136</v>
      </c>
      <c r="M65" s="30" t="s">
        <v>7206</v>
      </c>
      <c r="N65" s="30" t="s">
        <v>166</v>
      </c>
    </row>
    <row r="66">
      <c r="A66" s="168" t="str">
        <f>hyperlink("https://issues.sierrawireless.com/browse/OEMPRI-5977", "OEMPRI-5977")</f>
        <v>OEMPRI-5977</v>
      </c>
      <c r="B66" s="30" t="b">
        <v>1</v>
      </c>
      <c r="C66" s="30">
        <v>1103321.0</v>
      </c>
      <c r="D66" s="191">
        <v>9903949.0</v>
      </c>
      <c r="E66" s="30" t="s">
        <v>175</v>
      </c>
      <c r="F66" s="35">
        <v>43123.0</v>
      </c>
      <c r="G66" s="30" t="s">
        <v>92</v>
      </c>
      <c r="H66" s="30" t="s">
        <v>1629</v>
      </c>
      <c r="I66" s="30" t="s">
        <v>148</v>
      </c>
      <c r="J66" s="30" t="s">
        <v>726</v>
      </c>
      <c r="K66" s="168" t="str">
        <f t="shared" si="1"/>
        <v>4942</v>
      </c>
      <c r="L66" s="168" t="str">
        <f t="shared" si="2"/>
        <v>ECO-026136</v>
      </c>
      <c r="M66" s="30" t="s">
        <v>7206</v>
      </c>
      <c r="N66" s="30" t="s">
        <v>166</v>
      </c>
    </row>
    <row r="67">
      <c r="A67" s="168" t="str">
        <f>hyperlink("https://issues.sierrawireless.com/browse/OEMPRI-5968", "OEMPRI-5968")</f>
        <v>OEMPRI-5968</v>
      </c>
      <c r="B67" s="30" t="b">
        <v>1</v>
      </c>
      <c r="C67" s="30">
        <v>1102655.0</v>
      </c>
      <c r="D67" s="191">
        <v>9904913.0</v>
      </c>
      <c r="E67" s="30" t="s">
        <v>175</v>
      </c>
      <c r="F67" s="35">
        <v>43123.0</v>
      </c>
      <c r="G67" s="30" t="s">
        <v>92</v>
      </c>
      <c r="H67" s="30" t="s">
        <v>1629</v>
      </c>
      <c r="I67" s="30" t="s">
        <v>148</v>
      </c>
      <c r="J67" s="30" t="s">
        <v>726</v>
      </c>
      <c r="K67" s="168" t="str">
        <f t="shared" ref="K67:K74" si="3">hyperlink("https://skutracker.sierrawireless.local/projects/5079", "5079")</f>
        <v>5079</v>
      </c>
      <c r="L67" s="168" t="str">
        <f t="shared" ref="L67:L74" si="4">hyperlink("https://agile.sierrawireless.com/Agile/PLMServlet?action=OpenEmailObject&amp;classid=6000&amp;objid=28559527", "ECO-026391")</f>
        <v>ECO-026391</v>
      </c>
      <c r="M67" s="30" t="s">
        <v>7206</v>
      </c>
      <c r="N67" s="30" t="s">
        <v>166</v>
      </c>
    </row>
    <row r="68">
      <c r="A68" s="168" t="str">
        <f>hyperlink("https://issues.sierrawireless.com/browse/OEMPRI-5969", "OEMPRI-5969")</f>
        <v>OEMPRI-5969</v>
      </c>
      <c r="B68" s="30" t="b">
        <v>1</v>
      </c>
      <c r="C68" s="30">
        <v>1102760.0</v>
      </c>
      <c r="D68" s="191">
        <v>9905202.0</v>
      </c>
      <c r="E68" s="30" t="s">
        <v>175</v>
      </c>
      <c r="F68" s="35">
        <v>43123.0</v>
      </c>
      <c r="G68" s="30" t="s">
        <v>92</v>
      </c>
      <c r="H68" s="30" t="s">
        <v>1629</v>
      </c>
      <c r="I68" s="30" t="s">
        <v>148</v>
      </c>
      <c r="J68" s="30" t="s">
        <v>726</v>
      </c>
      <c r="K68" s="168" t="str">
        <f t="shared" si="3"/>
        <v>5079</v>
      </c>
      <c r="L68" s="168" t="str">
        <f t="shared" si="4"/>
        <v>ECO-026391</v>
      </c>
      <c r="M68" s="30" t="s">
        <v>7206</v>
      </c>
      <c r="N68" s="30" t="s">
        <v>166</v>
      </c>
    </row>
    <row r="69">
      <c r="A69" s="168" t="str">
        <f>hyperlink("https://issues.sierrawireless.com/browse/OEMPRI-5967", "OEMPRI-5967")</f>
        <v>OEMPRI-5967</v>
      </c>
      <c r="B69" s="30" t="b">
        <v>1</v>
      </c>
      <c r="C69" s="30">
        <v>1102345.0</v>
      </c>
      <c r="D69" s="191">
        <v>9903908.0</v>
      </c>
      <c r="E69" s="30" t="s">
        <v>175</v>
      </c>
      <c r="F69" s="35">
        <v>43123.0</v>
      </c>
      <c r="G69" s="30" t="s">
        <v>92</v>
      </c>
      <c r="H69" s="30" t="s">
        <v>1629</v>
      </c>
      <c r="I69" s="30" t="s">
        <v>148</v>
      </c>
      <c r="J69" s="30" t="s">
        <v>726</v>
      </c>
      <c r="K69" s="168" t="str">
        <f t="shared" si="3"/>
        <v>5079</v>
      </c>
      <c r="L69" s="168" t="str">
        <f t="shared" si="4"/>
        <v>ECO-026391</v>
      </c>
      <c r="M69" s="30" t="s">
        <v>7206</v>
      </c>
      <c r="N69" s="30" t="s">
        <v>166</v>
      </c>
    </row>
    <row r="70">
      <c r="A70" s="168" t="str">
        <f>hyperlink("https://issues.sierrawireless.com/browse/OEMPRI-5978", "OEMPRI-5978")</f>
        <v>OEMPRI-5978</v>
      </c>
      <c r="B70" s="30" t="b">
        <v>1</v>
      </c>
      <c r="C70" s="30">
        <v>1103344.0</v>
      </c>
      <c r="D70" s="191">
        <v>9906904.0</v>
      </c>
      <c r="E70" s="30" t="s">
        <v>175</v>
      </c>
      <c r="F70" s="35">
        <v>43123.0</v>
      </c>
      <c r="G70" s="30" t="s">
        <v>92</v>
      </c>
      <c r="H70" s="30" t="s">
        <v>1629</v>
      </c>
      <c r="I70" s="30" t="s">
        <v>148</v>
      </c>
      <c r="J70" s="30" t="s">
        <v>726</v>
      </c>
      <c r="K70" s="168" t="str">
        <f t="shared" si="3"/>
        <v>5079</v>
      </c>
      <c r="L70" s="168" t="str">
        <f t="shared" si="4"/>
        <v>ECO-026391</v>
      </c>
      <c r="M70" s="30" t="s">
        <v>7206</v>
      </c>
      <c r="N70" s="30" t="s">
        <v>166</v>
      </c>
    </row>
    <row r="71">
      <c r="A71" s="168" t="str">
        <f>hyperlink("https://issues.sierrawireless.com/browse/OEMPRI-5970", "OEMPRI-5970")</f>
        <v>OEMPRI-5970</v>
      </c>
      <c r="B71" s="30" t="b">
        <v>1</v>
      </c>
      <c r="C71" s="30">
        <v>1102780.0</v>
      </c>
      <c r="D71" s="191">
        <v>9905270.0</v>
      </c>
      <c r="E71" s="30" t="s">
        <v>175</v>
      </c>
      <c r="F71" s="35">
        <v>43123.0</v>
      </c>
      <c r="G71" s="30" t="s">
        <v>92</v>
      </c>
      <c r="H71" s="30" t="s">
        <v>1629</v>
      </c>
      <c r="I71" s="30" t="s">
        <v>148</v>
      </c>
      <c r="J71" s="30" t="s">
        <v>726</v>
      </c>
      <c r="K71" s="168" t="str">
        <f t="shared" si="3"/>
        <v>5079</v>
      </c>
      <c r="L71" s="168" t="str">
        <f t="shared" si="4"/>
        <v>ECO-026391</v>
      </c>
      <c r="M71" s="30" t="s">
        <v>7206</v>
      </c>
      <c r="N71" s="30" t="s">
        <v>166</v>
      </c>
    </row>
    <row r="72">
      <c r="A72" s="168" t="str">
        <f>hyperlink("https://issues.sierrawireless.com/browse/OEMPRI-5973", "OEMPRI-5973")</f>
        <v>OEMPRI-5973</v>
      </c>
      <c r="B72" s="30" t="b">
        <v>1</v>
      </c>
      <c r="C72" s="30">
        <v>1103092.0</v>
      </c>
      <c r="D72" s="191">
        <v>9906276.0</v>
      </c>
      <c r="E72" s="30" t="s">
        <v>175</v>
      </c>
      <c r="F72" s="35">
        <v>43123.0</v>
      </c>
      <c r="G72" s="30" t="s">
        <v>92</v>
      </c>
      <c r="H72" s="30" t="s">
        <v>1629</v>
      </c>
      <c r="I72" s="30" t="s">
        <v>148</v>
      </c>
      <c r="J72" s="30" t="s">
        <v>726</v>
      </c>
      <c r="K72" s="168" t="str">
        <f t="shared" si="3"/>
        <v>5079</v>
      </c>
      <c r="L72" s="168" t="str">
        <f t="shared" si="4"/>
        <v>ECO-026391</v>
      </c>
      <c r="M72" s="30" t="s">
        <v>7206</v>
      </c>
      <c r="N72" s="30" t="s">
        <v>166</v>
      </c>
    </row>
    <row r="73">
      <c r="A73" s="168" t="str">
        <f>hyperlink("https://issues.sierrawireless.com/browse/OEMPRI-5972", "OEMPRI-5972")</f>
        <v>OEMPRI-5972</v>
      </c>
      <c r="B73" s="30" t="b">
        <v>1</v>
      </c>
      <c r="C73" s="30">
        <v>1103087.0</v>
      </c>
      <c r="D73" s="191">
        <v>9906302.0</v>
      </c>
      <c r="E73" s="30" t="s">
        <v>175</v>
      </c>
      <c r="F73" s="35">
        <v>43123.0</v>
      </c>
      <c r="G73" s="30" t="s">
        <v>92</v>
      </c>
      <c r="H73" s="30" t="s">
        <v>1629</v>
      </c>
      <c r="I73" s="30" t="s">
        <v>148</v>
      </c>
      <c r="J73" s="30" t="s">
        <v>726</v>
      </c>
      <c r="K73" s="168" t="str">
        <f t="shared" si="3"/>
        <v>5079</v>
      </c>
      <c r="L73" s="168" t="str">
        <f t="shared" si="4"/>
        <v>ECO-026391</v>
      </c>
      <c r="M73" s="30" t="s">
        <v>7206</v>
      </c>
      <c r="N73" s="30" t="s">
        <v>166</v>
      </c>
    </row>
    <row r="74">
      <c r="A74" s="168" t="str">
        <f>hyperlink("https://issues.sierrawireless.com/browse/OEMPRI-5974", "OEMPRI-5974")</f>
        <v>OEMPRI-5974</v>
      </c>
      <c r="B74" s="30" t="b">
        <v>1</v>
      </c>
      <c r="C74" s="30">
        <v>1103132.0</v>
      </c>
      <c r="D74" s="191">
        <v>9906390.0</v>
      </c>
      <c r="E74" s="30" t="s">
        <v>175</v>
      </c>
      <c r="F74" s="35">
        <v>43123.0</v>
      </c>
      <c r="G74" s="30" t="s">
        <v>92</v>
      </c>
      <c r="H74" s="30" t="s">
        <v>1629</v>
      </c>
      <c r="I74" s="30" t="s">
        <v>148</v>
      </c>
      <c r="J74" s="30" t="s">
        <v>726</v>
      </c>
      <c r="K74" s="168" t="str">
        <f t="shared" si="3"/>
        <v>5079</v>
      </c>
      <c r="L74" s="168" t="str">
        <f t="shared" si="4"/>
        <v>ECO-026391</v>
      </c>
      <c r="M74" s="30" t="s">
        <v>7206</v>
      </c>
      <c r="N74" s="30" t="s">
        <v>166</v>
      </c>
    </row>
    <row r="75">
      <c r="A75" s="168" t="str">
        <f>hyperlink("https://issues.sierrawireless.com/browse/OEMPRI-5954", "OEMPRI-5954")</f>
        <v>OEMPRI-5954</v>
      </c>
      <c r="B75" s="30" t="b">
        <v>1</v>
      </c>
      <c r="C75" s="30">
        <v>1103925.0</v>
      </c>
      <c r="D75" s="191">
        <v>9908218.0</v>
      </c>
      <c r="E75" s="30" t="s">
        <v>139</v>
      </c>
      <c r="F75" s="35">
        <v>43122.0</v>
      </c>
      <c r="G75" s="35">
        <v>43129.0</v>
      </c>
      <c r="H75" s="30" t="s">
        <v>215</v>
      </c>
      <c r="I75" s="30" t="s">
        <v>148</v>
      </c>
      <c r="J75" s="30" t="s">
        <v>216</v>
      </c>
      <c r="K75" s="168" t="str">
        <f>hyperlink("https://skutracker.sierrawireless.local/projects/4356", "4356")</f>
        <v>4356</v>
      </c>
      <c r="L75" s="192" t="str">
        <f>hyperlink("https://agile.sierrawireless.com/Agile/PLMServlet?action=OpenEmailObject&amp;classid=6000&amp;objid=31800566", "ECO-026807")</f>
        <v>ECO-026807</v>
      </c>
      <c r="M75" s="30" t="s">
        <v>7139</v>
      </c>
      <c r="N75" s="30" t="s">
        <v>7140</v>
      </c>
    </row>
    <row r="76">
      <c r="A76" s="168" t="str">
        <f>hyperlink("https://issues.sierrawireless.com/browse/OEMPRI-5958", "OEMPRI-5958")</f>
        <v>OEMPRI-5958</v>
      </c>
      <c r="B76" s="30" t="b">
        <v>1</v>
      </c>
      <c r="C76" s="30">
        <v>1103821.0</v>
      </c>
      <c r="D76" s="191">
        <v>9907843.0</v>
      </c>
      <c r="E76" s="30" t="s">
        <v>175</v>
      </c>
      <c r="F76" s="35">
        <v>43122.0</v>
      </c>
      <c r="G76" s="30" t="s">
        <v>92</v>
      </c>
      <c r="H76" s="30" t="s">
        <v>1629</v>
      </c>
      <c r="I76" s="30" t="s">
        <v>148</v>
      </c>
      <c r="J76" s="30" t="s">
        <v>726</v>
      </c>
      <c r="K76" s="168" t="str">
        <f>hyperlink("https://skutracker.sierrawireless.local/projects/4942", "4942")</f>
        <v>4942</v>
      </c>
      <c r="L76" s="168" t="str">
        <f>hyperlink("https://agile.sierrawireless.com/Agile/PLMServlet?action=OpenEmailObject&amp;classid=6000&amp;objid=26915796", "ECO-026136")</f>
        <v>ECO-026136</v>
      </c>
      <c r="M76" s="30" t="s">
        <v>7206</v>
      </c>
      <c r="N76" s="30" t="s">
        <v>166</v>
      </c>
    </row>
    <row r="77">
      <c r="A77" s="168" t="str">
        <f>hyperlink("https://issues.sierrawireless.com/browse/OEMPRI-5927", "OEMPRI-5927")</f>
        <v>OEMPRI-5927</v>
      </c>
      <c r="B77" s="30" t="b">
        <v>1</v>
      </c>
      <c r="C77" s="30">
        <v>1103049.0</v>
      </c>
      <c r="D77" s="191">
        <v>9906093.0</v>
      </c>
      <c r="E77" s="30" t="s">
        <v>139</v>
      </c>
      <c r="F77" s="35">
        <v>43119.0</v>
      </c>
      <c r="G77" s="35">
        <v>42978.0</v>
      </c>
      <c r="H77" s="30" t="s">
        <v>176</v>
      </c>
      <c r="I77" s="30" t="s">
        <v>148</v>
      </c>
      <c r="J77" s="30" t="s">
        <v>177</v>
      </c>
      <c r="K77" s="168" t="str">
        <f>hyperlink("https://skutracker.sierrawireless.local/projects/4962", "4962")</f>
        <v>4962</v>
      </c>
      <c r="L77" s="192" t="str">
        <f>hyperlink("https://agile.sierrawireless.com/Agile/PLMServlet?action=OpenEmailObject&amp;classid=6000&amp;objid=30982598", "ECO-026674")</f>
        <v>ECO-026674</v>
      </c>
      <c r="M77" s="30" t="s">
        <v>7053</v>
      </c>
      <c r="N77" s="30" t="s">
        <v>7279</v>
      </c>
    </row>
    <row r="78">
      <c r="A78" s="168" t="str">
        <f>hyperlink("https://issues.sierrawireless.com/browse/OEMPRI-5836", "OEMPRI-5836")</f>
        <v>OEMPRI-5836</v>
      </c>
      <c r="B78" s="30" t="b">
        <v>1</v>
      </c>
      <c r="C78" s="30">
        <v>1102016.0</v>
      </c>
      <c r="D78" s="191">
        <v>9903211.0</v>
      </c>
      <c r="E78" s="30" t="s">
        <v>139</v>
      </c>
      <c r="F78" s="35">
        <v>43112.0</v>
      </c>
      <c r="G78" s="35">
        <v>43005.0</v>
      </c>
      <c r="H78" s="30" t="s">
        <v>215</v>
      </c>
      <c r="I78" s="30" t="s">
        <v>148</v>
      </c>
      <c r="J78" s="30" t="s">
        <v>216</v>
      </c>
      <c r="K78" s="168" t="str">
        <f>hyperlink("https://skutracker.sierrawireless.local/projects/4921", "4921")</f>
        <v>4921</v>
      </c>
      <c r="L78" s="168" t="str">
        <f>hyperlink("https://agile.sierrawireless.com/Agile/PLMServlet?action=OpenEmailObject&amp;classid=6000&amp;objid=26470768", "ECO-026098")</f>
        <v>ECO-026098</v>
      </c>
      <c r="M78" s="30" t="s">
        <v>7139</v>
      </c>
      <c r="N78" s="30" t="s">
        <v>7280</v>
      </c>
    </row>
    <row r="79">
      <c r="A79" s="168" t="str">
        <f>hyperlink("https://issues.sierrawireless.com/browse/OEMPRI-5783", "OEMPRI-5783")</f>
        <v>OEMPRI-5783</v>
      </c>
      <c r="B79" s="30" t="b">
        <v>1</v>
      </c>
      <c r="C79" s="30">
        <v>1103818.0</v>
      </c>
      <c r="D79" s="191">
        <v>9907833.0</v>
      </c>
      <c r="E79" s="30" t="s">
        <v>86</v>
      </c>
      <c r="F79" s="35">
        <v>43110.0</v>
      </c>
      <c r="G79" s="30" t="s">
        <v>92</v>
      </c>
      <c r="H79" s="30" t="s">
        <v>723</v>
      </c>
      <c r="I79" s="30" t="s">
        <v>122</v>
      </c>
      <c r="J79" s="30" t="s">
        <v>122</v>
      </c>
      <c r="K79" s="168" t="str">
        <f>hyperlink("https://skutracker.sierrawireless.local/projects/4693", "4693")</f>
        <v>4693</v>
      </c>
      <c r="L79" s="168" t="str">
        <f>hyperlink("https://agile.sierrawireless.com/Agile/PLMServlet?action=OpenEmailObject&amp;classid=8000&amp;objid=24363791", "TDN-012727")</f>
        <v>TDN-012727</v>
      </c>
      <c r="M79" s="30" t="s">
        <v>7167</v>
      </c>
      <c r="N79" s="30" t="s">
        <v>7283</v>
      </c>
    </row>
    <row r="80">
      <c r="A80" s="168" t="str">
        <f>hyperlink("https://issues.sierrawireless.com/browse/OEMPRI-5756", "OEMPRI-5756")</f>
        <v>OEMPRI-5756</v>
      </c>
      <c r="B80" s="30" t="b">
        <v>1</v>
      </c>
      <c r="C80" s="30">
        <v>1103993.0</v>
      </c>
      <c r="D80" s="191">
        <v>9908133.0</v>
      </c>
      <c r="E80" s="30" t="s">
        <v>139</v>
      </c>
      <c r="F80" s="35">
        <v>43108.0</v>
      </c>
      <c r="G80" s="35" t="s">
        <v>92</v>
      </c>
      <c r="H80" s="30" t="s">
        <v>176</v>
      </c>
      <c r="I80" s="30" t="s">
        <v>148</v>
      </c>
      <c r="J80" s="30" t="s">
        <v>177</v>
      </c>
      <c r="K80" s="168" t="str">
        <f>hyperlink("https://skutracker.sierrawireless.local/projects/4870", "4870")</f>
        <v>4870</v>
      </c>
      <c r="L80" s="192" t="str">
        <f>hyperlink("https://agile.sierrawireless.com/Agile/PLMServlet?action=OpenEmailObject&amp;classid=8000&amp;objid=26743221", "TDN-012941")</f>
        <v>TDN-012941</v>
      </c>
      <c r="M80" s="30" t="s">
        <v>7066</v>
      </c>
      <c r="N80" s="30" t="s">
        <v>7286</v>
      </c>
    </row>
    <row r="81">
      <c r="A81" s="168" t="str">
        <f>hyperlink("https://issues.sierrawireless.com/browse/OEMPRI-5737", "OEMPRI-5737")</f>
        <v>OEMPRI-5737</v>
      </c>
      <c r="B81" s="30" t="b">
        <v>1</v>
      </c>
      <c r="C81" s="30">
        <v>1103997.0</v>
      </c>
      <c r="D81" s="191">
        <v>9908137.0</v>
      </c>
      <c r="E81" s="30" t="s">
        <v>175</v>
      </c>
      <c r="F81" s="35">
        <v>43104.0</v>
      </c>
      <c r="G81" s="35">
        <v>43118.0</v>
      </c>
      <c r="H81" s="30" t="s">
        <v>176</v>
      </c>
      <c r="I81" s="30" t="s">
        <v>148</v>
      </c>
      <c r="J81" s="30" t="s">
        <v>177</v>
      </c>
      <c r="K81" s="168" t="str">
        <f>hyperlink("https://skutracker.sierrawireless.local/projects/4872", "4872")</f>
        <v>4872</v>
      </c>
      <c r="L81" s="192" t="str">
        <f>hyperlink("https://agile.sierrawireless.com/Agile/PLMServlet?action=OpenEmailObject&amp;classid=8000&amp;objid=27089643", "TDN-012963")</f>
        <v>TDN-012963</v>
      </c>
      <c r="M81" s="30" t="s">
        <v>7066</v>
      </c>
      <c r="N81" s="30" t="s">
        <v>7287</v>
      </c>
    </row>
    <row r="82">
      <c r="A82" s="168" t="str">
        <f>hyperlink("https://issues.sierrawireless.com/browse/OEMPRI-5723", "OEMPRI-5723")</f>
        <v>OEMPRI-5723</v>
      </c>
      <c r="B82" s="30" t="b">
        <v>1</v>
      </c>
      <c r="C82" s="30">
        <v>1102783.0</v>
      </c>
      <c r="D82" s="191">
        <v>9905376.0</v>
      </c>
      <c r="E82" s="30" t="s">
        <v>139</v>
      </c>
      <c r="F82" s="35">
        <v>43103.0</v>
      </c>
      <c r="G82" s="30" t="s">
        <v>92</v>
      </c>
      <c r="H82" s="30" t="s">
        <v>1399</v>
      </c>
      <c r="I82" s="30" t="s">
        <v>148</v>
      </c>
      <c r="J82" s="30" t="s">
        <v>1400</v>
      </c>
      <c r="K82" s="168" t="str">
        <f>hyperlink("https://skutracker.sierrawireless.local/projects/4780", "4780")</f>
        <v>4780</v>
      </c>
      <c r="L82" s="192" t="str">
        <f>hyperlink("https://agile.sierrawireless.com/Agile/PLMServlet?action=OpenEmailObject&amp;classid=8000&amp;objid=26813137", "TDN-012950")</f>
        <v>TDN-012950</v>
      </c>
      <c r="M82" s="30" t="s">
        <v>7288</v>
      </c>
      <c r="N82" s="30" t="s">
        <v>7289</v>
      </c>
    </row>
    <row r="83">
      <c r="A83" s="168" t="str">
        <f>hyperlink("https://issues.sierrawireless.com/browse/OEMPRI-5683", "OEMPRI-5683")</f>
        <v>OEMPRI-5683</v>
      </c>
      <c r="B83" s="30" t="b">
        <v>1</v>
      </c>
      <c r="C83" s="30">
        <v>1103204.0</v>
      </c>
      <c r="D83" s="191">
        <v>9906619.0</v>
      </c>
      <c r="E83" s="30" t="s">
        <v>139</v>
      </c>
      <c r="F83" s="35">
        <v>43098.0</v>
      </c>
      <c r="G83" s="35" t="s">
        <v>92</v>
      </c>
      <c r="H83" s="30" t="s">
        <v>176</v>
      </c>
      <c r="I83" s="30" t="s">
        <v>148</v>
      </c>
      <c r="J83" s="30" t="s">
        <v>177</v>
      </c>
      <c r="K83" s="168" t="str">
        <f>hyperlink("https://skutracker.sierrawireless.local/projects/4748", "4748")</f>
        <v>4748</v>
      </c>
      <c r="L83" s="192" t="str">
        <f>hyperlink("https://agile.sierrawireless.com/Agile/PLMServlet?action=OpenEmailObject&amp;classid=8000&amp;objid=28082223", "TDN-013044")</f>
        <v>TDN-013044</v>
      </c>
      <c r="M83" s="30" t="s">
        <v>7066</v>
      </c>
      <c r="N83" s="30" t="s">
        <v>7211</v>
      </c>
    </row>
    <row r="84">
      <c r="A84" s="168" t="str">
        <f>hyperlink("https://issues.sierrawireless.com/browse/OEMPRI-5688", "OEMPRI-5688")</f>
        <v>OEMPRI-5688</v>
      </c>
      <c r="B84" s="30" t="b">
        <v>1</v>
      </c>
      <c r="C84" s="30">
        <v>1103207.0</v>
      </c>
      <c r="D84" s="191">
        <v>9906620.0</v>
      </c>
      <c r="E84" s="30" t="s">
        <v>139</v>
      </c>
      <c r="F84" s="35">
        <v>43098.0</v>
      </c>
      <c r="G84" s="35" t="s">
        <v>92</v>
      </c>
      <c r="H84" s="30" t="s">
        <v>176</v>
      </c>
      <c r="I84" s="30" t="s">
        <v>177</v>
      </c>
      <c r="J84" s="30" t="s">
        <v>177</v>
      </c>
      <c r="K84" s="168" t="str">
        <f>hyperlink("https://skutracker.sierrawireless.local/projects/4749", "4749")</f>
        <v>4749</v>
      </c>
      <c r="L84" s="192" t="str">
        <f>hyperlink("https://agile.sierrawireless.com/Agile/PLMServlet?action=OpenEmailObject&amp;classid=8000&amp;objid=24991749", "TDN-012800")</f>
        <v>TDN-012800</v>
      </c>
      <c r="M84" s="30" t="s">
        <v>7066</v>
      </c>
      <c r="N84" s="30" t="s">
        <v>7211</v>
      </c>
    </row>
    <row r="85">
      <c r="A85" s="168" t="str">
        <f>hyperlink("https://issues.sierrawireless.com/browse/OEMPRI-5693", "OEMPRI-5693")</f>
        <v>OEMPRI-5693</v>
      </c>
      <c r="B85" s="30" t="b">
        <v>1</v>
      </c>
      <c r="C85" s="30">
        <v>1103211.0</v>
      </c>
      <c r="D85" s="191">
        <v>9906625.0</v>
      </c>
      <c r="E85" s="30" t="s">
        <v>139</v>
      </c>
      <c r="F85" s="35">
        <v>43098.0</v>
      </c>
      <c r="G85" s="35">
        <v>43003.0</v>
      </c>
      <c r="H85" s="30" t="s">
        <v>176</v>
      </c>
      <c r="I85" s="30" t="s">
        <v>177</v>
      </c>
      <c r="J85" s="30" t="s">
        <v>177</v>
      </c>
      <c r="K85" s="168" t="str">
        <f>hyperlink("https://skutracker.sierrawireless.local/projects/4750", "4750")</f>
        <v>4750</v>
      </c>
      <c r="L85" s="192" t="str">
        <f>hyperlink("https://agile.sierrawireless.com/Agile/PLMServlet?action=OpenEmailObject&amp;classid=8000&amp;objid=24991454", "TDN-012799")</f>
        <v>TDN-012799</v>
      </c>
      <c r="M85" s="30" t="s">
        <v>7066</v>
      </c>
      <c r="N85" s="30" t="s">
        <v>7287</v>
      </c>
    </row>
    <row r="86">
      <c r="A86" s="168" t="str">
        <f>hyperlink("https://issues.sierrawireless.com/browse/OEMPRI-5697", "OEMPRI-5697")</f>
        <v>OEMPRI-5697</v>
      </c>
      <c r="B86" s="30" t="b">
        <v>1</v>
      </c>
      <c r="C86" s="30">
        <v>1103210.0</v>
      </c>
      <c r="D86" s="191">
        <v>9906623.0</v>
      </c>
      <c r="E86" s="30" t="s">
        <v>139</v>
      </c>
      <c r="F86" s="35">
        <v>43098.0</v>
      </c>
      <c r="G86" s="35">
        <v>43021.0</v>
      </c>
      <c r="H86" s="30" t="s">
        <v>176</v>
      </c>
      <c r="I86" s="30" t="s">
        <v>177</v>
      </c>
      <c r="J86" s="30" t="s">
        <v>177</v>
      </c>
      <c r="K86" s="168" t="str">
        <f>hyperlink("https://skutracker.sierrawireless.local/projects/5023", "5023")</f>
        <v>5023</v>
      </c>
      <c r="L86" s="192" t="str">
        <f>hyperlink("https://agile.sierrawireless.com/Agile/PLMServlet?action=OpenEmailObject&amp;classid=8000&amp;objid=29908062", "TDN-013183")</f>
        <v>TDN-013183</v>
      </c>
      <c r="M86" s="30" t="s">
        <v>7074</v>
      </c>
      <c r="N86" s="30" t="s">
        <v>7211</v>
      </c>
    </row>
    <row r="87">
      <c r="A87" s="168" t="str">
        <f>hyperlink("https://issues.sierrawireless.com/browse/OEMPRI-5704", "OEMPRI-5704")</f>
        <v>OEMPRI-5704</v>
      </c>
      <c r="B87" s="30" t="b">
        <v>1</v>
      </c>
      <c r="C87" s="30">
        <v>1103238.0</v>
      </c>
      <c r="D87" s="191">
        <v>9906724.0</v>
      </c>
      <c r="E87" s="30" t="s">
        <v>139</v>
      </c>
      <c r="F87" s="35">
        <v>43098.0</v>
      </c>
      <c r="G87" s="30" t="s">
        <v>92</v>
      </c>
      <c r="H87" s="30" t="s">
        <v>1629</v>
      </c>
      <c r="I87" s="30" t="s">
        <v>148</v>
      </c>
      <c r="J87" s="30" t="s">
        <v>726</v>
      </c>
      <c r="K87" s="168" t="str">
        <f>hyperlink("https://skutracker.sierrawireless.local/projects/4937", "4937")</f>
        <v>4937</v>
      </c>
      <c r="L87" s="192" t="str">
        <f>hyperlink("https://agile.sierrawireless.com/Agile/PLMServlet?action=OpenEmailObject&amp;classid=8000&amp;objid=30510485", "TDN-013258")</f>
        <v>TDN-013258</v>
      </c>
      <c r="M87" s="30" t="s">
        <v>7298</v>
      </c>
      <c r="N87" s="30" t="s">
        <v>7299</v>
      </c>
    </row>
    <row r="88">
      <c r="A88" s="168" t="str">
        <f>hyperlink("https://issues.sierrawireless.com/browse/OEMPRI-5672", "OEMPRI-5672")</f>
        <v>OEMPRI-5672</v>
      </c>
      <c r="B88" s="30" t="b">
        <v>1</v>
      </c>
      <c r="C88" s="30">
        <v>1103367.0</v>
      </c>
      <c r="D88" s="191">
        <v>9906982.0</v>
      </c>
      <c r="E88" s="30" t="s">
        <v>139</v>
      </c>
      <c r="F88" s="35">
        <v>43096.0</v>
      </c>
      <c r="G88" s="35">
        <v>43112.0</v>
      </c>
      <c r="H88" s="30" t="s">
        <v>160</v>
      </c>
      <c r="I88" s="30" t="s">
        <v>148</v>
      </c>
      <c r="J88" s="30" t="s">
        <v>244</v>
      </c>
      <c r="K88" s="168" t="str">
        <f>hyperlink("https://skutracker.sierrawireless.local/projects/4733", "4733")</f>
        <v>4733</v>
      </c>
      <c r="L88" s="168" t="str">
        <f>hyperlink("https://agile.sierrawireless.com/Agile/PLMServlet?action=OpenEmailObject&amp;classid=8000&amp;objid=24981434", "TDN-012795")</f>
        <v>TDN-012795</v>
      </c>
      <c r="M88" s="30" t="s">
        <v>7301</v>
      </c>
      <c r="N88" s="30" t="s">
        <v>7302</v>
      </c>
    </row>
    <row r="89">
      <c r="A89" s="168" t="str">
        <f>hyperlink("https://issues.sierrawireless.com/browse/OEMPRI-5674", "OEMPRI-5674")</f>
        <v>OEMPRI-5674</v>
      </c>
      <c r="B89" s="30" t="b">
        <v>1</v>
      </c>
      <c r="C89" s="30">
        <v>1103362.0</v>
      </c>
      <c r="D89" s="191">
        <v>9906977.0</v>
      </c>
      <c r="E89" s="30" t="s">
        <v>139</v>
      </c>
      <c r="F89" s="35">
        <v>43096.0</v>
      </c>
      <c r="G89" s="35">
        <v>43105.0</v>
      </c>
      <c r="H89" s="30" t="s">
        <v>160</v>
      </c>
      <c r="I89" s="30" t="s">
        <v>148</v>
      </c>
      <c r="J89" s="30" t="s">
        <v>244</v>
      </c>
      <c r="K89" s="168" t="str">
        <f>hyperlink("https://skutracker.sierrawireless.local/projects/4926", "4926")</f>
        <v>4926</v>
      </c>
      <c r="L89" s="192" t="str">
        <f>hyperlink("https://agile.sierrawireless.com/Agile/PLMServlet?action=OpenEmailObject&amp;classid=8000&amp;objid=26400358", "TDN-012924")</f>
        <v>TDN-012924</v>
      </c>
      <c r="M89" s="30" t="s">
        <v>7184</v>
      </c>
      <c r="N89" s="30" t="s">
        <v>7303</v>
      </c>
    </row>
    <row r="90">
      <c r="A90" s="168" t="str">
        <f>hyperlink("https://issues.sierrawireless.com/browse/OEMPRI-5671", "OEMPRI-5671")</f>
        <v>OEMPRI-5671</v>
      </c>
      <c r="B90" s="30" t="b">
        <v>1</v>
      </c>
      <c r="C90" s="30">
        <v>1103494.0</v>
      </c>
      <c r="D90" s="191">
        <v>9907253.0</v>
      </c>
      <c r="E90" s="30" t="s">
        <v>139</v>
      </c>
      <c r="F90" s="35">
        <v>43095.0</v>
      </c>
      <c r="G90" s="35">
        <v>43112.0</v>
      </c>
      <c r="H90" s="30" t="s">
        <v>160</v>
      </c>
      <c r="I90" s="30" t="s">
        <v>148</v>
      </c>
      <c r="J90" s="30" t="s">
        <v>244</v>
      </c>
      <c r="K90" s="168" t="str">
        <f>hyperlink("https://skutracker.sierrawireless.local/projects/4770", "4770")</f>
        <v>4770</v>
      </c>
      <c r="L90" s="168" t="str">
        <f>hyperlink("https://agile.sierrawireless.com/Agile/PLMServlet?action=OpenEmailObject&amp;classid=8000&amp;objid=28971582", "TDN-013142")</f>
        <v>TDN-013142</v>
      </c>
      <c r="M90" s="30" t="s">
        <v>7066</v>
      </c>
      <c r="N90" s="30" t="s">
        <v>7302</v>
      </c>
    </row>
    <row r="91">
      <c r="A91" s="168" t="str">
        <f>hyperlink("https://issues.sierrawireless.com/browse/OEMPRI-5652", "OEMPRI-5652")</f>
        <v>OEMPRI-5652</v>
      </c>
      <c r="B91" s="30" t="b">
        <v>1</v>
      </c>
      <c r="C91" s="30">
        <v>1103379.0</v>
      </c>
      <c r="D91" s="191">
        <v>9907000.0</v>
      </c>
      <c r="E91" s="30" t="s">
        <v>175</v>
      </c>
      <c r="F91" s="35">
        <v>43090.0</v>
      </c>
      <c r="G91" s="43">
        <v>43097.0</v>
      </c>
      <c r="H91" s="30" t="s">
        <v>160</v>
      </c>
      <c r="I91" s="30" t="s">
        <v>148</v>
      </c>
      <c r="J91" s="30" t="s">
        <v>244</v>
      </c>
      <c r="K91" s="168" t="str">
        <f>hyperlink("https://skutracker.sierrawireless.local/projects/4820", "4820")</f>
        <v>4820</v>
      </c>
      <c r="L91" s="168" t="str">
        <f>hyperlink("https://agile.sierrawireless.com/Agile/PLMServlet?action=OpenEmailObject&amp;classid=8000&amp;objid=25787565", "TDN-012882")</f>
        <v>TDN-012882</v>
      </c>
      <c r="M91" s="30" t="s">
        <v>7306</v>
      </c>
      <c r="N91" s="30" t="s">
        <v>7185</v>
      </c>
    </row>
    <row r="92">
      <c r="A92" s="168" t="str">
        <f>hyperlink("https://issues.sierrawireless.com/browse/OEMPRI-5656", "OEMPRI-5656")</f>
        <v>OEMPRI-5656</v>
      </c>
      <c r="B92" s="30" t="b">
        <v>1</v>
      </c>
      <c r="C92" s="30">
        <v>1103378.0</v>
      </c>
      <c r="D92" s="191">
        <v>9906998.0</v>
      </c>
      <c r="E92" s="30" t="s">
        <v>139</v>
      </c>
      <c r="F92" s="35">
        <v>43090.0</v>
      </c>
      <c r="G92" s="43">
        <v>43097.0</v>
      </c>
      <c r="H92" s="30" t="s">
        <v>160</v>
      </c>
      <c r="I92" s="30" t="s">
        <v>148</v>
      </c>
      <c r="J92" s="30" t="s">
        <v>244</v>
      </c>
      <c r="K92" s="168" t="str">
        <f>hyperlink("https://skutracker.sierrawireless.local/projects/4673", "4673")</f>
        <v>4673</v>
      </c>
      <c r="L92" s="168" t="str">
        <f>hyperlink("https://agile.sierrawireless.com/Agile/PLMServlet?action=OpenEmailObject&amp;classid=8000&amp;objid=24509969", "TDN-012752")</f>
        <v>TDN-012752</v>
      </c>
      <c r="M92" s="30" t="s">
        <v>7308</v>
      </c>
      <c r="N92" s="30" t="s">
        <v>7185</v>
      </c>
    </row>
    <row r="93">
      <c r="A93" s="168" t="str">
        <f>hyperlink("https://issues.sierrawireless.com/browse/OEMPRI-5575", "OEMPRI-5575")</f>
        <v>OEMPRI-5575</v>
      </c>
      <c r="B93" s="30" t="b">
        <v>1</v>
      </c>
      <c r="C93" s="30">
        <v>1103748.0</v>
      </c>
      <c r="D93" s="191" t="s">
        <v>7134</v>
      </c>
      <c r="E93" s="30" t="s">
        <v>86</v>
      </c>
      <c r="F93" s="35">
        <v>43082.0</v>
      </c>
      <c r="G93" s="30" t="s">
        <v>92</v>
      </c>
      <c r="H93" s="30" t="s">
        <v>215</v>
      </c>
      <c r="I93" s="30" t="s">
        <v>140</v>
      </c>
      <c r="J93" s="30" t="s">
        <v>633</v>
      </c>
      <c r="K93" s="168" t="str">
        <f>hyperlink("https://skutracker.sierrawireless.local/projects/4853", "4853")</f>
        <v>4853</v>
      </c>
      <c r="L93" s="168" t="str">
        <f>hyperlink("https://agile.sierrawireless.com/Agile/PLMServlet?action=OpenEmailObject&amp;classid=6000&amp;objid=25791433", "ECO-026010")</f>
        <v>ECO-026010</v>
      </c>
      <c r="M93" s="30" t="s">
        <v>7310</v>
      </c>
      <c r="N93" s="30" t="s">
        <v>7311</v>
      </c>
    </row>
    <row r="94">
      <c r="A94" s="168" t="str">
        <f>hyperlink("https://issues.sierrawireless.com/browse/OEMPRI-5520", "OEMPRI-5520")</f>
        <v>OEMPRI-5520</v>
      </c>
      <c r="B94" s="30" t="b">
        <v>1</v>
      </c>
      <c r="C94" s="30">
        <v>1103719.0</v>
      </c>
      <c r="D94" s="191">
        <v>9907585.0</v>
      </c>
      <c r="E94" s="30" t="s">
        <v>139</v>
      </c>
      <c r="F94" s="35">
        <v>43074.0</v>
      </c>
      <c r="G94" s="35">
        <v>43077.0</v>
      </c>
      <c r="H94" s="30" t="s">
        <v>147</v>
      </c>
      <c r="I94" s="30" t="s">
        <v>148</v>
      </c>
      <c r="J94" s="30" t="s">
        <v>149</v>
      </c>
      <c r="K94" s="168" t="str">
        <f>hyperlink("https://skutracker.sierrawireless.local/projects/4129", "4129")</f>
        <v>4129</v>
      </c>
      <c r="L94" s="168" t="str">
        <f t="shared" ref="L94:L95" si="5">hyperlink("https://agile.sierrawireless.com/Agile/PLMServlet?action=OpenEmailObject&amp;classid=6000&amp;objid=17174066", "ECO-024667")</f>
        <v>ECO-024667</v>
      </c>
      <c r="M94" s="30" t="s">
        <v>7158</v>
      </c>
      <c r="N94" s="30" t="s">
        <v>7312</v>
      </c>
    </row>
    <row r="95">
      <c r="A95" s="168" t="str">
        <f>hyperlink("https://issues.sierrawireless.com/browse/OEMPRI-5521", "OEMPRI-5521")</f>
        <v>OEMPRI-5521</v>
      </c>
      <c r="B95" s="30" t="b">
        <v>1</v>
      </c>
      <c r="C95" s="30">
        <v>1103718.0</v>
      </c>
      <c r="D95" s="191">
        <v>9907584.0</v>
      </c>
      <c r="E95" s="30" t="s">
        <v>139</v>
      </c>
      <c r="F95" s="35">
        <v>43074.0</v>
      </c>
      <c r="G95" s="35">
        <v>43077.0</v>
      </c>
      <c r="H95" s="30" t="s">
        <v>147</v>
      </c>
      <c r="I95" s="30" t="s">
        <v>148</v>
      </c>
      <c r="J95" s="30" t="s">
        <v>149</v>
      </c>
      <c r="K95" s="168" t="str">
        <f>hyperlink("https://skutracker.sierrawireless.local/projects/4130", "4130")</f>
        <v>4130</v>
      </c>
      <c r="L95" s="168" t="str">
        <f t="shared" si="5"/>
        <v>ECO-024667</v>
      </c>
      <c r="M95" s="30" t="s">
        <v>7158</v>
      </c>
      <c r="N95" s="30" t="s">
        <v>7312</v>
      </c>
    </row>
    <row r="96">
      <c r="A96" s="168" t="str">
        <f>hyperlink("https://issues.sierrawireless.com/browse/OEMPRI-5485", "OEMPRI-5485")</f>
        <v>OEMPRI-5485</v>
      </c>
      <c r="B96" s="30" t="b">
        <v>1</v>
      </c>
      <c r="C96" s="30">
        <v>1103818.0</v>
      </c>
      <c r="D96" s="191">
        <v>9907833.0</v>
      </c>
      <c r="E96" s="30" t="s">
        <v>139</v>
      </c>
      <c r="F96" s="35">
        <v>43070.0</v>
      </c>
      <c r="G96" s="30" t="s">
        <v>92</v>
      </c>
      <c r="H96" s="30" t="s">
        <v>723</v>
      </c>
      <c r="I96" s="30" t="s">
        <v>148</v>
      </c>
      <c r="J96" s="30" t="s">
        <v>122</v>
      </c>
      <c r="K96" s="168" t="str">
        <f>hyperlink("https://skutracker.sierrawireless.local/projects/4693", "4693")</f>
        <v>4693</v>
      </c>
      <c r="L96" s="168" t="str">
        <f>hyperlink("https://agile.sierrawireless.com/Agile/PLMServlet?action=OpenEmailObject&amp;classid=8000&amp;objid=24363791", "TDN-012727")</f>
        <v>TDN-012727</v>
      </c>
      <c r="M96" s="30" t="s">
        <v>7167</v>
      </c>
      <c r="N96" s="30" t="s">
        <v>7283</v>
      </c>
    </row>
    <row r="97">
      <c r="A97" s="168" t="str">
        <f>hyperlink("https://issues.sierrawireless.com/browse/OEMPRI-5400", "OEMPRI-5400")</f>
        <v>OEMPRI-5400</v>
      </c>
      <c r="B97" s="30" t="b">
        <v>1</v>
      </c>
      <c r="C97" s="30">
        <v>1103813.0</v>
      </c>
      <c r="D97" s="191">
        <v>9907813.0</v>
      </c>
      <c r="E97" s="30" t="s">
        <v>139</v>
      </c>
      <c r="F97" s="43">
        <v>43063.0</v>
      </c>
      <c r="G97" s="43">
        <v>43069.0</v>
      </c>
      <c r="H97" s="30" t="s">
        <v>147</v>
      </c>
      <c r="I97" s="30" t="s">
        <v>148</v>
      </c>
      <c r="J97" s="30" t="s">
        <v>149</v>
      </c>
      <c r="K97" s="168" t="str">
        <f>hyperlink("https://skutracker.sierrawireless.local/projects/4469", "4469")</f>
        <v>4469</v>
      </c>
      <c r="L97" s="168" t="str">
        <f>hyperlink("https://agile.sierrawireless.com/Agile/PLMServlet?action=OpenEmailObject&amp;classid=6000&amp;objid=26033328", "ECO-026042")</f>
        <v>ECO-026042</v>
      </c>
      <c r="M97" s="30" t="s">
        <v>7053</v>
      </c>
      <c r="N97" s="30" t="s">
        <v>7316</v>
      </c>
    </row>
    <row r="98">
      <c r="A98" s="168" t="str">
        <f>hyperlink("https://issues.sierrawireless.com/browse/OEMPRI-5401", "OEMPRI-5401")</f>
        <v>OEMPRI-5401</v>
      </c>
      <c r="B98" s="30" t="b">
        <v>1</v>
      </c>
      <c r="C98" s="30">
        <v>1103823.0</v>
      </c>
      <c r="D98" s="191">
        <v>9907846.0</v>
      </c>
      <c r="E98" s="30" t="s">
        <v>139</v>
      </c>
      <c r="F98" s="43">
        <v>43063.0</v>
      </c>
      <c r="G98" s="43">
        <v>43069.0</v>
      </c>
      <c r="H98" s="30" t="s">
        <v>1629</v>
      </c>
      <c r="I98" s="30" t="s">
        <v>148</v>
      </c>
      <c r="J98" s="30" t="s">
        <v>149</v>
      </c>
      <c r="K98" s="168" t="str">
        <f>hyperlink("https://skutracker.sierrawireless.local/projects/4506", "4506")</f>
        <v>4506</v>
      </c>
      <c r="L98" s="168" t="str">
        <f>hyperlink("https://agile.sierrawireless.com/Agile/PLMServlet?action=OpenEmailObject&amp;classid=6000&amp;objid=22614362", "ECO-025472")</f>
        <v>ECO-025472</v>
      </c>
      <c r="M98" s="30" t="s">
        <v>7298</v>
      </c>
      <c r="N98" s="30" t="s">
        <v>7299</v>
      </c>
    </row>
    <row r="99">
      <c r="A99" s="168" t="str">
        <f>hyperlink("https://issues.sierrawireless.com/browse/OEMPRI-5394", "OEMPRI-5394")</f>
        <v>OEMPRI-5394</v>
      </c>
      <c r="B99" s="30" t="b">
        <v>1</v>
      </c>
      <c r="C99" s="30">
        <v>1103151.0</v>
      </c>
      <c r="D99" s="191">
        <v>9906435.0</v>
      </c>
      <c r="E99" s="30" t="s">
        <v>139</v>
      </c>
      <c r="F99" s="43">
        <v>43062.0</v>
      </c>
      <c r="G99" s="35">
        <v>43070.0</v>
      </c>
      <c r="H99" s="30" t="s">
        <v>160</v>
      </c>
      <c r="I99" s="30" t="s">
        <v>148</v>
      </c>
      <c r="J99" s="30" t="s">
        <v>244</v>
      </c>
      <c r="K99" s="168" t="str">
        <f>hyperlink("https://skutracker.sierrawireless.local/projects/4723", "4723")</f>
        <v>4723</v>
      </c>
      <c r="L99" s="192" t="str">
        <f>hyperlink("https://agile.sierrawireless.com/Agile/PLMServlet?action=OpenEmailObject&amp;classid=8000&amp;objid=24508672", "TDN-012750")</f>
        <v>TDN-012750</v>
      </c>
      <c r="M99" s="30" t="s">
        <v>7093</v>
      </c>
      <c r="N99" s="30" t="s">
        <v>7320</v>
      </c>
    </row>
    <row r="100">
      <c r="A100" s="168" t="str">
        <f>hyperlink("https://issues.sierrawireless.com/browse/OEMPRI-5392", "OEMPRI-5392")</f>
        <v>OEMPRI-5392</v>
      </c>
      <c r="B100" s="30" t="b">
        <v>1</v>
      </c>
      <c r="C100" s="30">
        <v>1103223.0</v>
      </c>
      <c r="D100" s="191">
        <v>9906693.0</v>
      </c>
      <c r="E100" s="30" t="s">
        <v>139</v>
      </c>
      <c r="F100" s="43">
        <v>43062.0</v>
      </c>
      <c r="G100" s="35">
        <v>43070.0</v>
      </c>
      <c r="H100" s="30" t="s">
        <v>160</v>
      </c>
      <c r="I100" s="30" t="s">
        <v>148</v>
      </c>
      <c r="J100" s="30" t="s">
        <v>244</v>
      </c>
      <c r="K100" s="168" t="str">
        <f>hyperlink("https://skutracker.sierrawireless.local/projects/4725", "4725")</f>
        <v>4725</v>
      </c>
      <c r="L100" s="192" t="str">
        <f>hyperlink("https://agile.sierrawireless.com/Agile/PLMServlet?action=OpenEmailObject&amp;classid=8000&amp;objid=24508681", "TDN-012751")</f>
        <v>TDN-012751</v>
      </c>
      <c r="M100" s="30" t="s">
        <v>7156</v>
      </c>
      <c r="N100" s="30" t="s">
        <v>7320</v>
      </c>
    </row>
    <row r="101">
      <c r="A101" s="168" t="str">
        <f>hyperlink("https://issues.sierrawireless.com/browse/OEMPRI-5387", "OEMPRI-5387")</f>
        <v>OEMPRI-5387</v>
      </c>
      <c r="B101" s="30" t="b">
        <v>1</v>
      </c>
      <c r="C101" s="30">
        <v>1103818.0</v>
      </c>
      <c r="D101" s="191">
        <v>9907833.0</v>
      </c>
      <c r="E101" s="30" t="s">
        <v>139</v>
      </c>
      <c r="F101" s="43">
        <v>43061.0</v>
      </c>
      <c r="G101" s="30" t="s">
        <v>92</v>
      </c>
      <c r="H101" s="30" t="s">
        <v>723</v>
      </c>
      <c r="I101" s="30" t="s">
        <v>140</v>
      </c>
      <c r="J101" s="30" t="s">
        <v>122</v>
      </c>
      <c r="K101" s="168" t="str">
        <f>hyperlink("https://skutracker.sierrawireless.local/projects/4693", "4693")</f>
        <v>4693</v>
      </c>
      <c r="L101" s="168" t="str">
        <f>hyperlink("https://agile.sierrawireless.com/Agile/PLMServlet?action=OpenEmailObject&amp;classid=8000&amp;objid=24363791", "TDN-012727")</f>
        <v>TDN-012727</v>
      </c>
      <c r="M101" s="30" t="s">
        <v>7167</v>
      </c>
      <c r="N101" s="30" t="s">
        <v>7283</v>
      </c>
    </row>
    <row r="102">
      <c r="A102" s="168" t="str">
        <f>hyperlink("https://issues.sierrawireless.com/browse/OEMPRI-5209", "OEMPRI-5209")</f>
        <v>OEMPRI-5209</v>
      </c>
      <c r="B102" s="30" t="b">
        <v>1</v>
      </c>
      <c r="C102" s="30">
        <v>1103204.0</v>
      </c>
      <c r="D102" s="191">
        <v>9906619.0</v>
      </c>
      <c r="E102" s="30" t="s">
        <v>139</v>
      </c>
      <c r="F102" s="35">
        <v>43040.0</v>
      </c>
      <c r="G102" s="30" t="s">
        <v>92</v>
      </c>
      <c r="H102" s="30" t="s">
        <v>176</v>
      </c>
      <c r="I102" s="30" t="s">
        <v>148</v>
      </c>
      <c r="J102" s="30" t="s">
        <v>177</v>
      </c>
      <c r="K102" s="168" t="str">
        <f>hyperlink("https://skutracker.sierrawireless.local/projects/4642", "4642")</f>
        <v>4642</v>
      </c>
      <c r="L102" s="168" t="str">
        <f>hyperlink("https://agile.sierrawireless.com/Agile/PLMServlet?action=OpenEmailObject&amp;classid=8000&amp;objid=23644722", "TDN-012674")</f>
        <v>TDN-012674</v>
      </c>
      <c r="M102" s="30" t="s">
        <v>7066</v>
      </c>
      <c r="N102" s="30" t="s">
        <v>7323</v>
      </c>
    </row>
    <row r="103">
      <c r="A103" s="168" t="str">
        <f>hyperlink("https://issues.sierrawireless.com/browse/OEMPRI-5230", "OEMPRI-5230")</f>
        <v>OEMPRI-5230</v>
      </c>
      <c r="B103" s="30" t="b">
        <v>1</v>
      </c>
      <c r="C103" s="30">
        <v>1103371.0</v>
      </c>
      <c r="D103" s="191">
        <v>9906986.0</v>
      </c>
      <c r="E103" s="30" t="s">
        <v>139</v>
      </c>
      <c r="F103" s="35">
        <v>43040.0</v>
      </c>
      <c r="G103" s="35">
        <v>43048.0</v>
      </c>
      <c r="H103" s="30" t="s">
        <v>160</v>
      </c>
      <c r="I103" s="30" t="s">
        <v>148</v>
      </c>
      <c r="J103" s="30" t="s">
        <v>244</v>
      </c>
      <c r="K103" s="168" t="str">
        <f>hyperlink("https://skutracker.sierrawireless.local/projects/4592", "4592")</f>
        <v>4592</v>
      </c>
      <c r="L103" s="168" t="str">
        <f>hyperlink("https://agile.sierrawireless.com/Agile/PLMServlet?action=OpenEmailObject&amp;classid=8000&amp;objid=23281623", "TDN-012630")</f>
        <v>TDN-012630</v>
      </c>
      <c r="M103" s="30" t="s">
        <v>7202</v>
      </c>
      <c r="N103" s="30" t="s">
        <v>7326</v>
      </c>
    </row>
    <row r="104">
      <c r="A104" s="168" t="str">
        <f>hyperlink("https://issues.sierrawireless.com/browse/OEMPRI-5194", "OEMPRI-5194")</f>
        <v>OEMPRI-5194</v>
      </c>
      <c r="B104" s="30" t="b">
        <v>1</v>
      </c>
      <c r="C104" s="30">
        <v>1103247.0</v>
      </c>
      <c r="D104" s="191">
        <v>9906737.0</v>
      </c>
      <c r="E104" s="30" t="s">
        <v>139</v>
      </c>
      <c r="F104" s="43">
        <v>43039.0</v>
      </c>
      <c r="G104" s="35">
        <v>43046.0</v>
      </c>
      <c r="H104" s="30" t="s">
        <v>2707</v>
      </c>
      <c r="I104" s="30" t="s">
        <v>148</v>
      </c>
      <c r="J104" s="30" t="s">
        <v>216</v>
      </c>
      <c r="K104" s="168" t="str">
        <f>hyperlink("https://skutracker.sierrawireless.local/projects/4445", "4445")</f>
        <v>4445</v>
      </c>
      <c r="L104" s="168" t="str">
        <f>hyperlink("https://agile.sierrawireless.com/Agile/PLMServlet?action=OpenEmailObject&amp;classid=6000&amp;objid=21531473", "ECO-025324")</f>
        <v>ECO-025324</v>
      </c>
      <c r="M104" s="30" t="s">
        <v>7327</v>
      </c>
      <c r="N104" s="30" t="s">
        <v>7328</v>
      </c>
    </row>
    <row r="105">
      <c r="A105" s="168" t="str">
        <f>hyperlink("https://issues.sierrawireless.com/browse/OEMPRI-5166", "OEMPRI-5166")</f>
        <v>OEMPRI-5166</v>
      </c>
      <c r="B105" s="30" t="b">
        <v>1</v>
      </c>
      <c r="C105" s="30">
        <v>1103542.0</v>
      </c>
      <c r="D105" s="191">
        <v>9907943.0</v>
      </c>
      <c r="E105" s="30" t="s">
        <v>139</v>
      </c>
      <c r="F105" s="43">
        <v>43038.0</v>
      </c>
      <c r="G105" s="43">
        <v>43049.0</v>
      </c>
      <c r="H105" s="30" t="s">
        <v>723</v>
      </c>
      <c r="I105" s="30" t="s">
        <v>148</v>
      </c>
      <c r="J105" s="30" t="s">
        <v>122</v>
      </c>
      <c r="K105" s="168" t="str">
        <f>hyperlink("https://skutracker.sierrawireless.local/projects/3820", "3820")</f>
        <v>3820</v>
      </c>
      <c r="L105" s="168" t="str">
        <f>hyperlink("https://agile.sierrawireless.com/Agile/PLMServlet?action=OpenEmailObject&amp;classid=8000&amp;objid=30451035", "TDN-013247")</f>
        <v>TDN-013247</v>
      </c>
      <c r="M105" s="30" t="s">
        <v>7167</v>
      </c>
      <c r="N105" s="30" t="s">
        <v>7168</v>
      </c>
    </row>
    <row r="106">
      <c r="A106" s="168" t="str">
        <f>hyperlink("https://issues.sierrawireless.com/browse/OEMPRI-5165", "OEMPRI-5165")</f>
        <v>OEMPRI-5165</v>
      </c>
      <c r="B106" s="30" t="b">
        <v>1</v>
      </c>
      <c r="C106" s="30">
        <v>1103543.0</v>
      </c>
      <c r="D106" s="191">
        <v>9907941.0</v>
      </c>
      <c r="E106" s="30" t="s">
        <v>139</v>
      </c>
      <c r="F106" s="43">
        <v>43038.0</v>
      </c>
      <c r="G106" s="43">
        <v>43049.0</v>
      </c>
      <c r="H106" s="30" t="s">
        <v>723</v>
      </c>
      <c r="I106" s="30" t="s">
        <v>148</v>
      </c>
      <c r="J106" s="30" t="s">
        <v>122</v>
      </c>
      <c r="K106" s="168" t="str">
        <f>hyperlink("https://skutracker.sierrawireless.local/projects/3821", "3821")</f>
        <v>3821</v>
      </c>
      <c r="L106" s="168" t="str">
        <f>hyperlink("https://agile.sierrawireless.com/Agile/PLMServlet?action=OpenEmailObject&amp;classid=8000&amp;objid=30501200", "TDN-013253")</f>
        <v>TDN-013253</v>
      </c>
      <c r="M106" s="30" t="s">
        <v>7187</v>
      </c>
      <c r="N106" s="30" t="s">
        <v>7283</v>
      </c>
    </row>
    <row r="107">
      <c r="A107" s="168" t="str">
        <f>hyperlink("https://issues.sierrawireless.com/browse/OEMPRI-5168", "OEMPRI-5168")</f>
        <v>OEMPRI-5168</v>
      </c>
      <c r="B107" s="30" t="b">
        <v>1</v>
      </c>
      <c r="C107" s="30">
        <v>1103544.0</v>
      </c>
      <c r="D107" s="191">
        <v>9907944.0</v>
      </c>
      <c r="E107" s="30" t="s">
        <v>175</v>
      </c>
      <c r="F107" s="43">
        <v>43038.0</v>
      </c>
      <c r="G107" s="43">
        <v>43049.0</v>
      </c>
      <c r="H107" s="30" t="s">
        <v>723</v>
      </c>
      <c r="I107" s="30" t="s">
        <v>148</v>
      </c>
      <c r="J107" s="30" t="s">
        <v>122</v>
      </c>
      <c r="K107" s="168" t="str">
        <f t="shared" ref="K107:K108" si="6">hyperlink("https://skutracker.sierrawireless.local/projects/3822", "3822")</f>
        <v>3822</v>
      </c>
      <c r="L107" s="168" t="str">
        <f t="shared" ref="L107:L108" si="7">hyperlink("https://agile.sierrawireless.com/Agile/PLMServlet?action=OpenEmailObject&amp;classid=8000&amp;objid=30506390", "TDN-013256")</f>
        <v>TDN-013256</v>
      </c>
      <c r="M107" s="30" t="s">
        <v>7187</v>
      </c>
      <c r="N107" s="30" t="s">
        <v>7332</v>
      </c>
    </row>
    <row r="108">
      <c r="A108" s="168" t="str">
        <f>hyperlink("https://issues.sierrawireless.com/browse/OEMPRI-5170", "OEMPRI-5170")</f>
        <v>OEMPRI-5170</v>
      </c>
      <c r="B108" s="30" t="b">
        <v>1</v>
      </c>
      <c r="C108" s="30">
        <v>1103544.0</v>
      </c>
      <c r="D108" s="191">
        <v>9907944.0</v>
      </c>
      <c r="E108" s="30" t="s">
        <v>139</v>
      </c>
      <c r="F108" s="43">
        <v>43038.0</v>
      </c>
      <c r="G108" s="43">
        <v>43049.0</v>
      </c>
      <c r="H108" s="30" t="s">
        <v>723</v>
      </c>
      <c r="I108" s="30" t="s">
        <v>148</v>
      </c>
      <c r="J108" s="30" t="s">
        <v>122</v>
      </c>
      <c r="K108" s="168" t="str">
        <f t="shared" si="6"/>
        <v>3822</v>
      </c>
      <c r="L108" s="168" t="str">
        <f t="shared" si="7"/>
        <v>TDN-013256</v>
      </c>
      <c r="M108" s="30" t="s">
        <v>7306</v>
      </c>
      <c r="N108" s="30" t="s">
        <v>7332</v>
      </c>
    </row>
    <row r="109">
      <c r="A109" s="168" t="str">
        <f>hyperlink("https://issues.sierrawireless.com/browse/OEMPRI-5169", "OEMPRI-5169")</f>
        <v>OEMPRI-5169</v>
      </c>
      <c r="B109" s="30" t="b">
        <v>1</v>
      </c>
      <c r="C109" s="30">
        <v>1103545.0</v>
      </c>
      <c r="D109" s="191">
        <v>9907945.0</v>
      </c>
      <c r="E109" s="30" t="s">
        <v>139</v>
      </c>
      <c r="F109" s="43">
        <v>43038.0</v>
      </c>
      <c r="G109" s="43">
        <v>43049.0</v>
      </c>
      <c r="H109" s="30" t="s">
        <v>723</v>
      </c>
      <c r="I109" s="30" t="s">
        <v>148</v>
      </c>
      <c r="J109" s="30" t="s">
        <v>122</v>
      </c>
      <c r="K109" s="168" t="str">
        <f>hyperlink("https://skutracker.sierrawireless.local/projects/3823", "3823")</f>
        <v>3823</v>
      </c>
      <c r="L109" s="168" t="str">
        <f>hyperlink("https://agile.sierrawireless.com/Agile/PLMServlet?action=OpenEmailObject&amp;classid=8000&amp;objid=30506400", "TDN-013257")</f>
        <v>TDN-013257</v>
      </c>
      <c r="M109" s="30" t="s">
        <v>7187</v>
      </c>
      <c r="N109" s="30" t="s">
        <v>7337</v>
      </c>
    </row>
    <row r="110">
      <c r="A110" s="168" t="str">
        <f>hyperlink("https://issues.sierrawireless.com/browse/OEMPRI-5167", "OEMPRI-5167")</f>
        <v>OEMPRI-5167</v>
      </c>
      <c r="B110" s="30" t="b">
        <v>1</v>
      </c>
      <c r="C110" s="30">
        <v>1103546.0</v>
      </c>
      <c r="D110" s="191">
        <v>9907942.0</v>
      </c>
      <c r="E110" s="30" t="s">
        <v>175</v>
      </c>
      <c r="F110" s="43">
        <v>43038.0</v>
      </c>
      <c r="G110" s="43">
        <v>43049.0</v>
      </c>
      <c r="H110" s="30" t="s">
        <v>723</v>
      </c>
      <c r="I110" s="30" t="s">
        <v>148</v>
      </c>
      <c r="J110" s="30" t="s">
        <v>122</v>
      </c>
      <c r="K110" s="168" t="str">
        <f>hyperlink("https://skutracker.sierrawireless.local/projects/3824", "3824")</f>
        <v>3824</v>
      </c>
      <c r="L110" s="168" t="str">
        <f>hyperlink("https://agile.sierrawireless.com/Agile/PLMServlet?action=OpenEmailObject&amp;classid=6000&amp;objid=23589695", "ECO-025603")</f>
        <v>ECO-025603</v>
      </c>
      <c r="M110" s="30" t="s">
        <v>7338</v>
      </c>
      <c r="N110" s="30" t="s">
        <v>7339</v>
      </c>
    </row>
    <row r="111">
      <c r="A111" s="168" t="str">
        <f>hyperlink("https://issues.sierrawireless.com/browse/OEMPRI-5164", "OEMPRI-5164")</f>
        <v>OEMPRI-5164</v>
      </c>
      <c r="B111" s="30" t="b">
        <v>1</v>
      </c>
      <c r="C111" s="30">
        <v>1103724.0</v>
      </c>
      <c r="D111" s="191">
        <v>9907593.0</v>
      </c>
      <c r="E111" s="30" t="s">
        <v>139</v>
      </c>
      <c r="F111" s="43">
        <v>43038.0</v>
      </c>
      <c r="G111" s="43">
        <v>43049.0</v>
      </c>
      <c r="H111" s="30" t="s">
        <v>723</v>
      </c>
      <c r="I111" s="30" t="s">
        <v>148</v>
      </c>
      <c r="J111" s="30" t="s">
        <v>122</v>
      </c>
      <c r="K111" s="168" t="str">
        <f>hyperlink("https://skutracker.sierrawireless.local/projects/4169", "4169")</f>
        <v>4169</v>
      </c>
      <c r="L111" s="168" t="str">
        <f>hyperlink("https://agile.sierrawireless.com/Agile/PLMServlet?action=OpenEmailObject&amp;classid=8000&amp;objid=30315954", "TDN-013213")</f>
        <v>TDN-013213</v>
      </c>
      <c r="M111" s="30" t="s">
        <v>7167</v>
      </c>
      <c r="N111" s="30" t="s">
        <v>7168</v>
      </c>
    </row>
    <row r="112">
      <c r="A112" s="168" t="str">
        <f>hyperlink("https://issues.sierrawireless.com/browse/OEMPRI-5073", "OEMPRI-5073")</f>
        <v>OEMPRI-5073</v>
      </c>
      <c r="B112" s="30" t="b">
        <v>1</v>
      </c>
      <c r="C112" s="30">
        <v>1103821.0</v>
      </c>
      <c r="D112" s="191">
        <v>9907843.0</v>
      </c>
      <c r="E112" s="30" t="s">
        <v>139</v>
      </c>
      <c r="F112" s="43">
        <v>43027.0</v>
      </c>
      <c r="G112" s="43">
        <v>43035.0</v>
      </c>
      <c r="H112" s="30" t="s">
        <v>1629</v>
      </c>
      <c r="I112" s="30" t="s">
        <v>148</v>
      </c>
      <c r="J112" s="30" t="s">
        <v>148</v>
      </c>
      <c r="K112" s="168" t="str">
        <f>hyperlink("https://skutracker.sierrawireless.local/projects/4572", "4572")</f>
        <v>4572</v>
      </c>
      <c r="L112" s="168" t="str">
        <f>hyperlink("https://agile.sierrawireless.com/Agile/PLMServlet?action=OpenEmailObject&amp;classid=6000&amp;objid=24011866", "ECO-025669")</f>
        <v>ECO-025669</v>
      </c>
      <c r="M112" s="30" t="s">
        <v>7340</v>
      </c>
      <c r="N112" s="30" t="s">
        <v>7341</v>
      </c>
    </row>
    <row r="113">
      <c r="A113" s="168" t="str">
        <f>hyperlink("https://issues.sierrawireless.com/browse/OEMPRI-5018", "OEMPRI-5018")</f>
        <v>OEMPRI-5018</v>
      </c>
      <c r="B113" s="30" t="b">
        <v>1</v>
      </c>
      <c r="C113" s="30">
        <v>1103223.0</v>
      </c>
      <c r="D113" s="191">
        <v>9906693.0</v>
      </c>
      <c r="E113" s="30" t="s">
        <v>139</v>
      </c>
      <c r="F113" s="43">
        <v>43024.0</v>
      </c>
      <c r="G113" s="43">
        <v>43031.0</v>
      </c>
      <c r="H113" s="30" t="s">
        <v>160</v>
      </c>
      <c r="I113" s="30" t="s">
        <v>148</v>
      </c>
      <c r="J113" s="30" t="s">
        <v>244</v>
      </c>
      <c r="K113" s="168" t="str">
        <f>hyperlink("https://skutracker.sierrawireless.local/projects/4287", "4287")</f>
        <v>4287</v>
      </c>
      <c r="L113" s="168" t="str">
        <f>hyperlink("https://agile.sierrawireless.com/Agile/PLMServlet?action=OpenEmailObject&amp;classid=8000&amp;objid=22897886", "TDN-012606")</f>
        <v>TDN-012606</v>
      </c>
      <c r="M113" s="30" t="s">
        <v>7344</v>
      </c>
      <c r="N113" s="30" t="s">
        <v>7345</v>
      </c>
    </row>
    <row r="114">
      <c r="A114" s="168" t="str">
        <f>hyperlink("https://issues.sierrawireless.com/browse/OEMPRI-4862", "OEMPRI-4862")</f>
        <v>OEMPRI-4862</v>
      </c>
      <c r="B114" s="30" t="b">
        <v>1</v>
      </c>
      <c r="C114" s="30">
        <v>1103344.0</v>
      </c>
      <c r="D114" s="191">
        <v>9906904.0</v>
      </c>
      <c r="E114" s="30" t="s">
        <v>139</v>
      </c>
      <c r="F114" s="35">
        <v>43008.0</v>
      </c>
      <c r="G114" s="43">
        <v>43021.0</v>
      </c>
      <c r="H114" s="30" t="s">
        <v>1629</v>
      </c>
      <c r="I114" s="30" t="s">
        <v>148</v>
      </c>
      <c r="J114" s="30" t="s">
        <v>2723</v>
      </c>
      <c r="K114" s="168" t="str">
        <f>hyperlink("https://skutracker.sierrawireless.local/projects/4430", "4430")</f>
        <v>4430</v>
      </c>
      <c r="L114" s="168" t="str">
        <f>hyperlink("https://agile.sierrawireless.com/Agile/PLMServlet?action=OpenEmailObject&amp;classid=6000&amp;objid=21624568", "ECO-025337")</f>
        <v>ECO-025337</v>
      </c>
      <c r="M114" s="30" t="s">
        <v>7298</v>
      </c>
      <c r="N114" s="30" t="s">
        <v>7346</v>
      </c>
    </row>
    <row r="115">
      <c r="A115" s="168" t="str">
        <f>hyperlink("https://issues.sierrawireless.com/browse/OEMPRI-4865", "OEMPRI-4865")</f>
        <v>OEMPRI-4865</v>
      </c>
      <c r="B115" s="30" t="b">
        <v>1</v>
      </c>
      <c r="C115" s="30">
        <v>1102290.0</v>
      </c>
      <c r="D115" s="191" t="s">
        <v>7134</v>
      </c>
      <c r="E115" s="30" t="s">
        <v>139</v>
      </c>
      <c r="F115" s="35">
        <v>43008.0</v>
      </c>
      <c r="G115" s="35">
        <v>43008.0</v>
      </c>
      <c r="H115" s="30" t="s">
        <v>215</v>
      </c>
      <c r="I115" s="30" t="s">
        <v>148</v>
      </c>
      <c r="J115" s="30" t="s">
        <v>216</v>
      </c>
      <c r="K115" s="168" t="str">
        <f>hyperlink("https://skutracker.sierrawireless.local/projects/4483", "4483")</f>
        <v>4483</v>
      </c>
      <c r="L115" s="168" t="str">
        <f t="shared" ref="L115:L116" si="8">hyperlink("https://agile.sierrawireless.com/Agile/PLMServlet?action=OpenEmailObject&amp;classid=6000&amp;objid=22190911", "ECO-025424")</f>
        <v>ECO-025424</v>
      </c>
      <c r="M115" s="30" t="s">
        <v>7347</v>
      </c>
      <c r="N115" s="30" t="s">
        <v>7311</v>
      </c>
    </row>
    <row r="116">
      <c r="A116" s="168" t="str">
        <f>hyperlink("https://issues.sierrawireless.com/browse/OEMPRI-4866", "OEMPRI-4866")</f>
        <v>OEMPRI-4866</v>
      </c>
      <c r="B116" s="30" t="b">
        <v>1</v>
      </c>
      <c r="C116" s="30">
        <v>1102355.0</v>
      </c>
      <c r="D116" s="191" t="s">
        <v>7134</v>
      </c>
      <c r="E116" s="30" t="s">
        <v>139</v>
      </c>
      <c r="F116" s="35">
        <v>43008.0</v>
      </c>
      <c r="G116" s="35">
        <v>43008.0</v>
      </c>
      <c r="H116" s="30" t="s">
        <v>215</v>
      </c>
      <c r="I116" s="30" t="s">
        <v>148</v>
      </c>
      <c r="J116" s="30" t="s">
        <v>216</v>
      </c>
      <c r="K116" s="168" t="str">
        <f>hyperlink("https://skutracker.sierrawireless.local/projects/4484", "4484")</f>
        <v>4484</v>
      </c>
      <c r="L116" s="168" t="str">
        <f t="shared" si="8"/>
        <v>ECO-025424</v>
      </c>
      <c r="M116" s="30" t="s">
        <v>7347</v>
      </c>
      <c r="N116" s="30" t="s">
        <v>7311</v>
      </c>
    </row>
    <row r="117">
      <c r="A117" s="168" t="str">
        <f>hyperlink("https://issues.sierrawireless.com/browse/OEMPRI-4867", "OEMPRI-4867")</f>
        <v>OEMPRI-4867</v>
      </c>
      <c r="B117" s="30" t="b">
        <v>1</v>
      </c>
      <c r="C117" s="30">
        <v>1102571.0</v>
      </c>
      <c r="D117" s="191" t="s">
        <v>7134</v>
      </c>
      <c r="E117" s="30" t="s">
        <v>139</v>
      </c>
      <c r="F117" s="35">
        <v>43008.0</v>
      </c>
      <c r="G117" s="35">
        <v>43008.0</v>
      </c>
      <c r="H117" s="30" t="s">
        <v>215</v>
      </c>
      <c r="I117" s="30" t="s">
        <v>148</v>
      </c>
      <c r="J117" s="30" t="s">
        <v>216</v>
      </c>
      <c r="K117" s="168" t="str">
        <f>hyperlink("https://skutracker.sierrawireless.local/projects/4485", "4485")</f>
        <v>4485</v>
      </c>
      <c r="L117" s="168" t="str">
        <f>hyperlink("https://agile.sierrawireless.com/Agile/PLMServlet?action=OpenEmailObject&amp;classid=6000&amp;objid=22946989", "ECO-025526")</f>
        <v>ECO-025526</v>
      </c>
      <c r="M117" s="30" t="s">
        <v>7347</v>
      </c>
      <c r="N117" s="30" t="s">
        <v>7349</v>
      </c>
    </row>
    <row r="118">
      <c r="A118" s="168" t="str">
        <f>hyperlink("https://issues.sierrawireless.com/browse/OEMPRI-4868", "OEMPRI-4868")</f>
        <v>OEMPRI-4868</v>
      </c>
      <c r="B118" s="30" t="b">
        <v>1</v>
      </c>
      <c r="C118" s="30">
        <v>1102581.0</v>
      </c>
      <c r="D118" s="191" t="s">
        <v>7134</v>
      </c>
      <c r="E118" s="30" t="s">
        <v>139</v>
      </c>
      <c r="F118" s="35">
        <v>43008.0</v>
      </c>
      <c r="G118" s="35">
        <v>43008.0</v>
      </c>
      <c r="H118" s="30" t="s">
        <v>215</v>
      </c>
      <c r="I118" s="30" t="s">
        <v>148</v>
      </c>
      <c r="J118" s="30" t="s">
        <v>216</v>
      </c>
      <c r="K118" s="168" t="str">
        <f>hyperlink("https://skutracker.sierrawireless.local/projects/4486", "4486")</f>
        <v>4486</v>
      </c>
      <c r="L118" s="168" t="str">
        <f>hyperlink("https://agile.sierrawireless.com/Agile/PLMServlet?action=OpenEmailObject&amp;classid=6000&amp;objid=22189389", "ECO-025423")</f>
        <v>ECO-025423</v>
      </c>
      <c r="M118" s="30" t="s">
        <v>7347</v>
      </c>
      <c r="N118" s="30" t="s">
        <v>7350</v>
      </c>
    </row>
    <row r="119">
      <c r="A119" s="168" t="str">
        <f>hyperlink("https://issues.sierrawireless.com/browse/OEMPRI-4869", "OEMPRI-4869")</f>
        <v>OEMPRI-4869</v>
      </c>
      <c r="B119" s="30" t="b">
        <v>1</v>
      </c>
      <c r="C119" s="30">
        <v>1102584.0</v>
      </c>
      <c r="D119" s="191" t="s">
        <v>7134</v>
      </c>
      <c r="E119" s="30" t="s">
        <v>139</v>
      </c>
      <c r="F119" s="35">
        <v>43008.0</v>
      </c>
      <c r="G119" s="35">
        <v>43008.0</v>
      </c>
      <c r="H119" s="30" t="s">
        <v>215</v>
      </c>
      <c r="I119" s="30" t="s">
        <v>148</v>
      </c>
      <c r="J119" s="30" t="s">
        <v>216</v>
      </c>
      <c r="K119" s="168" t="str">
        <f>hyperlink("https://skutracker.sierrawireless.local/projects/4487", "4487")</f>
        <v>4487</v>
      </c>
      <c r="L119" s="168" t="str">
        <f>hyperlink("https://agile.sierrawireless.com/Agile/PLMServlet?action=OpenEmailObject&amp;classid=6000&amp;objid=22190937", "ECO-025425")</f>
        <v>ECO-025425</v>
      </c>
      <c r="M119" s="30" t="s">
        <v>7347</v>
      </c>
      <c r="N119" s="30" t="s">
        <v>7350</v>
      </c>
    </row>
    <row r="120">
      <c r="A120" s="168" t="str">
        <f>hyperlink("https://issues.sierrawireless.com/browse/OEMPRI-4870", "OEMPRI-4870")</f>
        <v>OEMPRI-4870</v>
      </c>
      <c r="B120" s="30" t="b">
        <v>1</v>
      </c>
      <c r="C120" s="30">
        <v>1102788.0</v>
      </c>
      <c r="D120" s="191" t="s">
        <v>7134</v>
      </c>
      <c r="E120" s="30" t="s">
        <v>139</v>
      </c>
      <c r="F120" s="35">
        <v>43008.0</v>
      </c>
      <c r="G120" s="35">
        <v>43008.0</v>
      </c>
      <c r="H120" s="30" t="s">
        <v>215</v>
      </c>
      <c r="I120" s="30" t="s">
        <v>148</v>
      </c>
      <c r="J120" s="30" t="s">
        <v>216</v>
      </c>
      <c r="K120" s="168" t="str">
        <f>hyperlink("https://skutracker.sierrawireless.local/projects/4488", "4488")</f>
        <v>4488</v>
      </c>
      <c r="L120" s="168" t="str">
        <f>hyperlink("https://agile.sierrawireless.com/Agile/PLMServlet?action=OpenEmailObject&amp;classid=6000&amp;objid=22189389", "ECO-025423")</f>
        <v>ECO-025423</v>
      </c>
      <c r="M120" s="30" t="s">
        <v>7347</v>
      </c>
      <c r="N120" s="30" t="s">
        <v>7311</v>
      </c>
    </row>
    <row r="121">
      <c r="A121" s="168" t="str">
        <f>hyperlink("https://issues.sierrawireless.com/browse/OEMPRI-4871", "OEMPRI-4871")</f>
        <v>OEMPRI-4871</v>
      </c>
      <c r="B121" s="30" t="b">
        <v>1</v>
      </c>
      <c r="C121" s="30">
        <v>1102794.0</v>
      </c>
      <c r="D121" s="191" t="s">
        <v>7134</v>
      </c>
      <c r="E121" s="30" t="s">
        <v>139</v>
      </c>
      <c r="F121" s="35">
        <v>43008.0</v>
      </c>
      <c r="G121" s="35">
        <v>43008.0</v>
      </c>
      <c r="H121" s="30" t="s">
        <v>215</v>
      </c>
      <c r="I121" s="30" t="s">
        <v>148</v>
      </c>
      <c r="J121" s="30" t="s">
        <v>216</v>
      </c>
      <c r="K121" s="168" t="str">
        <f>hyperlink("https://skutracker.sierrawireless.local/projects/4489", "4489")</f>
        <v>4489</v>
      </c>
      <c r="L121" s="168" t="str">
        <f>hyperlink("https://agile.sierrawireless.com/Agile/PLMServlet?action=OpenEmailObject&amp;classid=6000&amp;objid=22618336", "ECO-025473")</f>
        <v>ECO-025473</v>
      </c>
      <c r="M121" s="30" t="s">
        <v>7347</v>
      </c>
      <c r="N121" s="30" t="s">
        <v>7311</v>
      </c>
    </row>
    <row r="122">
      <c r="A122" s="168" t="str">
        <f>hyperlink("https://issues.sierrawireless.com/browse/OEMPRI-4872", "OEMPRI-4872")</f>
        <v>OEMPRI-4872</v>
      </c>
      <c r="B122" s="30" t="b">
        <v>1</v>
      </c>
      <c r="C122" s="30">
        <v>1103123.0</v>
      </c>
      <c r="D122" s="191" t="s">
        <v>7134</v>
      </c>
      <c r="E122" s="30" t="s">
        <v>139</v>
      </c>
      <c r="F122" s="35">
        <v>43008.0</v>
      </c>
      <c r="G122" s="35">
        <v>43008.0</v>
      </c>
      <c r="H122" s="30" t="s">
        <v>215</v>
      </c>
      <c r="I122" s="30" t="s">
        <v>148</v>
      </c>
      <c r="J122" s="30" t="s">
        <v>216</v>
      </c>
      <c r="K122" s="168" t="str">
        <f>hyperlink("https://skutracker.sierrawireless.local/projects/4490", "4490")</f>
        <v>4490</v>
      </c>
      <c r="L122" s="168" t="str">
        <f t="shared" ref="L122:L123" si="9">hyperlink("https://agile.sierrawireless.com/Agile/PLMServlet?action=OpenEmailObject&amp;classid=6000&amp;objid=22190947", "ECO-025426")</f>
        <v>ECO-025426</v>
      </c>
      <c r="M122" s="30" t="s">
        <v>7347</v>
      </c>
      <c r="N122" s="30" t="s">
        <v>7350</v>
      </c>
    </row>
    <row r="123">
      <c r="A123" s="168" t="str">
        <f>hyperlink("https://issues.sierrawireless.com/browse/OEMPRI-4873", "OEMPRI-4873")</f>
        <v>OEMPRI-4873</v>
      </c>
      <c r="B123" s="30" t="b">
        <v>1</v>
      </c>
      <c r="C123" s="30">
        <v>1103197.0</v>
      </c>
      <c r="D123" s="191" t="s">
        <v>7134</v>
      </c>
      <c r="E123" s="30" t="s">
        <v>139</v>
      </c>
      <c r="F123" s="35">
        <v>43008.0</v>
      </c>
      <c r="G123" s="35">
        <v>43008.0</v>
      </c>
      <c r="H123" s="30" t="s">
        <v>215</v>
      </c>
      <c r="I123" s="30" t="s">
        <v>148</v>
      </c>
      <c r="J123" s="30" t="s">
        <v>216</v>
      </c>
      <c r="K123" s="168" t="str">
        <f>hyperlink("https://skutracker.sierrawireless.local/projects/4491", "4491")</f>
        <v>4491</v>
      </c>
      <c r="L123" s="168" t="str">
        <f t="shared" si="9"/>
        <v>ECO-025426</v>
      </c>
      <c r="M123" s="30" t="s">
        <v>7347</v>
      </c>
      <c r="N123" s="30" t="s">
        <v>7353</v>
      </c>
    </row>
    <row r="124">
      <c r="A124" s="168" t="str">
        <f>hyperlink("https://issues.sierrawireless.com/browse/OEMPRI-4874", "OEMPRI-4874")</f>
        <v>OEMPRI-4874</v>
      </c>
      <c r="B124" s="30" t="b">
        <v>1</v>
      </c>
      <c r="C124" s="30">
        <v>1103556.0</v>
      </c>
      <c r="D124" s="191" t="s">
        <v>7134</v>
      </c>
      <c r="E124" s="30" t="s">
        <v>139</v>
      </c>
      <c r="F124" s="35">
        <v>43008.0</v>
      </c>
      <c r="G124" s="35">
        <v>43008.0</v>
      </c>
      <c r="H124" s="30" t="s">
        <v>215</v>
      </c>
      <c r="I124" s="30" t="s">
        <v>148</v>
      </c>
      <c r="J124" s="30" t="s">
        <v>216</v>
      </c>
      <c r="K124" s="168" t="str">
        <f>hyperlink("https://skutracker.sierrawireless.local/projects/4492", "4492")</f>
        <v>4492</v>
      </c>
      <c r="L124" s="168" t="str">
        <f>hyperlink("https://agile.sierrawireless.com/Agile/PLMServlet?action=OpenEmailObject&amp;classid=6000&amp;objid=22632272", "ECO-025478")</f>
        <v>ECO-025478</v>
      </c>
      <c r="M124" s="30" t="s">
        <v>7347</v>
      </c>
      <c r="N124" s="30" t="s">
        <v>7349</v>
      </c>
    </row>
    <row r="125">
      <c r="A125" s="168" t="str">
        <f>hyperlink("https://issues.sierrawireless.com/browse/OEMPRI-4814", "OEMPRI-4814")</f>
        <v>OEMPRI-4814</v>
      </c>
      <c r="B125" s="30" t="b">
        <v>1</v>
      </c>
      <c r="C125" s="30">
        <v>1102552.0</v>
      </c>
      <c r="D125" s="191" t="s">
        <v>7134</v>
      </c>
      <c r="E125" s="30" t="s">
        <v>139</v>
      </c>
      <c r="F125" s="35">
        <v>43005.0</v>
      </c>
      <c r="G125" s="35">
        <v>43006.0</v>
      </c>
      <c r="H125" s="30" t="s">
        <v>215</v>
      </c>
      <c r="I125" s="30" t="s">
        <v>148</v>
      </c>
      <c r="J125" s="30" t="s">
        <v>216</v>
      </c>
      <c r="K125" s="168" t="str">
        <f>hyperlink("https://skutracker.sierrawireless.local/projects/4478", "4478")</f>
        <v>4478</v>
      </c>
      <c r="L125" s="168" t="str">
        <f t="shared" ref="L125:L126" si="10">hyperlink("https://agile.sierrawireless.com/Agile/PLMServlet?action=OpenEmailObject&amp;classid=6000&amp;objid=21796689", "ECO-025352")</f>
        <v>ECO-025352</v>
      </c>
      <c r="M125" s="30" t="s">
        <v>7139</v>
      </c>
      <c r="N125" s="30" t="s">
        <v>7311</v>
      </c>
    </row>
    <row r="126">
      <c r="A126" s="168" t="str">
        <f>hyperlink("https://issues.sierrawireless.com/browse/OEMPRI-4815", "OEMPRI-4815")</f>
        <v>OEMPRI-4815</v>
      </c>
      <c r="B126" s="30" t="b">
        <v>1</v>
      </c>
      <c r="C126" s="30">
        <v>1102551.0</v>
      </c>
      <c r="D126" s="191" t="s">
        <v>7134</v>
      </c>
      <c r="E126" s="30" t="s">
        <v>139</v>
      </c>
      <c r="F126" s="35">
        <v>43005.0</v>
      </c>
      <c r="G126" s="35">
        <v>43006.0</v>
      </c>
      <c r="H126" s="30" t="s">
        <v>215</v>
      </c>
      <c r="I126" s="30" t="s">
        <v>148</v>
      </c>
      <c r="J126" s="30" t="s">
        <v>216</v>
      </c>
      <c r="K126" s="168" t="str">
        <f>hyperlink("https://skutracker.sierrawireless.local/projects/4479", "4479")</f>
        <v>4479</v>
      </c>
      <c r="L126" s="168" t="str">
        <f t="shared" si="10"/>
        <v>ECO-025352</v>
      </c>
      <c r="M126" s="30" t="s">
        <v>7139</v>
      </c>
      <c r="N126" s="30" t="s">
        <v>7350</v>
      </c>
    </row>
    <row r="127">
      <c r="A127" s="168" t="str">
        <f>hyperlink("https://issues.sierrawireless.com/browse/OEMPRI-4816", "OEMPRI-4816")</f>
        <v>OEMPRI-4816</v>
      </c>
      <c r="B127" s="30" t="b">
        <v>1</v>
      </c>
      <c r="C127" s="30">
        <v>1102625.0</v>
      </c>
      <c r="D127" s="191" t="s">
        <v>7134</v>
      </c>
      <c r="E127" s="30" t="s">
        <v>139</v>
      </c>
      <c r="F127" s="35">
        <v>43005.0</v>
      </c>
      <c r="G127" s="35">
        <v>43008.0</v>
      </c>
      <c r="H127" s="30" t="s">
        <v>215</v>
      </c>
      <c r="I127" s="30" t="s">
        <v>148</v>
      </c>
      <c r="J127" s="30" t="s">
        <v>216</v>
      </c>
      <c r="K127" s="168" t="str">
        <f>hyperlink("https://skutracker.sierrawireless.local/projects/4480", "4480")</f>
        <v>4480</v>
      </c>
      <c r="L127" s="168" t="str">
        <f>hyperlink("https://agile.sierrawireless.com/Agile/PLMServlet?action=OpenEmailObject&amp;classid=6000&amp;objid=21840117", "ECO-025362")</f>
        <v>ECO-025362</v>
      </c>
      <c r="M127" s="30" t="s">
        <v>7347</v>
      </c>
      <c r="N127" s="30" t="s">
        <v>7350</v>
      </c>
    </row>
    <row r="128">
      <c r="A128" s="168" t="str">
        <f>hyperlink("https://issues.sierrawireless.com/browse/OEMPRI-4817", "OEMPRI-4817")</f>
        <v>OEMPRI-4817</v>
      </c>
      <c r="B128" s="30" t="b">
        <v>1</v>
      </c>
      <c r="C128" s="30">
        <v>1102553.0</v>
      </c>
      <c r="D128" s="191" t="s">
        <v>7134</v>
      </c>
      <c r="E128" s="30" t="s">
        <v>139</v>
      </c>
      <c r="F128" s="35">
        <v>43005.0</v>
      </c>
      <c r="G128" s="35">
        <v>43008.0</v>
      </c>
      <c r="H128" s="30" t="s">
        <v>215</v>
      </c>
      <c r="I128" s="30" t="s">
        <v>148</v>
      </c>
      <c r="J128" s="30" t="s">
        <v>216</v>
      </c>
      <c r="K128" s="168" t="str">
        <f>hyperlink("https://skutracker.sierrawireless.local/projects/4481", "4481")</f>
        <v>4481</v>
      </c>
      <c r="L128" s="168" t="str">
        <f>hyperlink("https://agile.sierrawireless.com/Agile/PLMServlet?action=OpenEmailObject&amp;classid=6000&amp;objid=22671247", "ECO-025484")</f>
        <v>ECO-025484</v>
      </c>
      <c r="M128" s="30" t="s">
        <v>7347</v>
      </c>
      <c r="N128" s="30" t="s">
        <v>7349</v>
      </c>
    </row>
    <row r="129">
      <c r="A129" s="168" t="str">
        <f>hyperlink("https://issues.sierrawireless.com/browse/OEMPRI-4764", "OEMPRI-4764")</f>
        <v>OEMPRI-4764</v>
      </c>
      <c r="B129" s="30" t="b">
        <v>1</v>
      </c>
      <c r="C129" s="30">
        <v>1103362.0</v>
      </c>
      <c r="D129" s="191">
        <v>9906977.0</v>
      </c>
      <c r="E129" s="30" t="s">
        <v>139</v>
      </c>
      <c r="F129" s="35">
        <v>43000.0</v>
      </c>
      <c r="G129" s="35">
        <v>43003.0</v>
      </c>
      <c r="H129" s="30" t="s">
        <v>160</v>
      </c>
      <c r="I129" s="30" t="s">
        <v>148</v>
      </c>
      <c r="J129" s="30" t="s">
        <v>244</v>
      </c>
      <c r="K129" s="168" t="str">
        <f>hyperlink("https://skutracker.sierrawireless.local/projects/4482", "4482")</f>
        <v>4482</v>
      </c>
      <c r="L129" s="168" t="str">
        <f>hyperlink("https://agile.sierrawireless.com/Agile/PLMServlet?action=OpenEmailObject&amp;classid=6000&amp;objid=21840533", "ECO-025363")</f>
        <v>ECO-025363</v>
      </c>
      <c r="M129" s="30" t="s">
        <v>7184</v>
      </c>
      <c r="N129" s="30" t="s">
        <v>7358</v>
      </c>
    </row>
    <row r="130">
      <c r="A130" s="168" t="str">
        <f>hyperlink("https://issues.sierrawireless.com/browse/OEMPRI-4760", "OEMPRI-4760")</f>
        <v>OEMPRI-4760</v>
      </c>
      <c r="B130" s="30" t="b">
        <v>1</v>
      </c>
      <c r="C130" s="30">
        <v>1103148.0</v>
      </c>
      <c r="D130" s="191">
        <v>9906604.0</v>
      </c>
      <c r="E130" s="30" t="s">
        <v>139</v>
      </c>
      <c r="F130" s="35">
        <v>42999.0</v>
      </c>
      <c r="G130" s="30" t="s">
        <v>92</v>
      </c>
      <c r="H130" s="30" t="s">
        <v>3271</v>
      </c>
      <c r="I130" s="30" t="s">
        <v>140</v>
      </c>
      <c r="J130" s="30" t="s">
        <v>122</v>
      </c>
      <c r="K130" s="168" t="str">
        <f>hyperlink("https://skutracker.sierrawireless.local/projects/4393", "4393")</f>
        <v>4393</v>
      </c>
      <c r="L130" s="168" t="str">
        <f>hyperlink("https://agile.sierrawireless.com/Agile/PLMServlet?action=OpenEmailObject&amp;classid=8000&amp;objid=22464843", "TDN-012567")</f>
        <v>TDN-012567</v>
      </c>
      <c r="M130" s="30" t="s">
        <v>7359</v>
      </c>
    </row>
    <row r="131">
      <c r="A131" s="168" t="str">
        <f>hyperlink("https://issues.sierrawireless.com/browse/OEMPRI-4761", "OEMPRI-4761")</f>
        <v>OEMPRI-4761</v>
      </c>
      <c r="B131" s="30" t="b">
        <v>1</v>
      </c>
      <c r="C131" s="30">
        <v>1103207.0</v>
      </c>
      <c r="D131" s="191">
        <v>9906620.0</v>
      </c>
      <c r="E131" s="30" t="s">
        <v>139</v>
      </c>
      <c r="F131" s="35">
        <v>42999.0</v>
      </c>
      <c r="G131" s="30" t="s">
        <v>92</v>
      </c>
      <c r="H131" s="30" t="s">
        <v>176</v>
      </c>
      <c r="I131" s="30" t="s">
        <v>148</v>
      </c>
      <c r="J131" s="30" t="s">
        <v>337</v>
      </c>
      <c r="K131" s="168" t="str">
        <f>hyperlink("https://skutracker.sierrawireless.local/projects/4623", "4623")</f>
        <v>4623</v>
      </c>
      <c r="L131" s="168" t="str">
        <f>hyperlink("https://agile.sierrawireless.com/Agile/PLMServlet?action=OpenEmailObject&amp;classid=8000&amp;objid=23576752", "TDN-012661")</f>
        <v>TDN-012661</v>
      </c>
      <c r="M131" s="30" t="s">
        <v>7066</v>
      </c>
      <c r="N131" s="30" t="s">
        <v>7360</v>
      </c>
    </row>
    <row r="132">
      <c r="A132" s="168" t="str">
        <f>hyperlink("https://issues.sierrawireless.com/browse/OEMPRI-4733", "OEMPRI-4733")</f>
        <v>OEMPRI-4733</v>
      </c>
      <c r="B132" t="b">
        <v>1</v>
      </c>
      <c r="C132">
        <v>1103148.0</v>
      </c>
      <c r="D132" s="201">
        <v>9906604.0</v>
      </c>
      <c r="E132" t="s">
        <v>139</v>
      </c>
      <c r="F132" s="202">
        <v>42998.0</v>
      </c>
      <c r="G132" t="s">
        <v>92</v>
      </c>
      <c r="H132" t="s">
        <v>3271</v>
      </c>
      <c r="I132" t="s">
        <v>148</v>
      </c>
      <c r="J132" t="s">
        <v>122</v>
      </c>
      <c r="K132" s="168" t="str">
        <f>hyperlink("https://skutracker.sierrawireless.local/projects/4393", "4393")</f>
        <v>4393</v>
      </c>
      <c r="L132" s="168" t="str">
        <f>hyperlink("https://agile.sierrawireless.com/Agile/PLMServlet?action=OpenEmailObject&amp;classid=8000&amp;objid=22464843", "TDN-012567")</f>
        <v>TDN-012567</v>
      </c>
      <c r="M132" t="s">
        <v>7359</v>
      </c>
    </row>
    <row r="133">
      <c r="A133" s="168" t="str">
        <f>hyperlink("https://issues.sierrawireless.com/browse/OEMPRI-4739", "OEMPRI-4739")</f>
        <v>OEMPRI-4739</v>
      </c>
      <c r="B133" s="30" t="b">
        <v>1</v>
      </c>
      <c r="C133" s="30">
        <v>1103818.0</v>
      </c>
      <c r="D133" s="191">
        <v>9907833.0</v>
      </c>
      <c r="E133" s="30" t="s">
        <v>139</v>
      </c>
      <c r="F133" s="35">
        <v>42998.0</v>
      </c>
      <c r="G133" s="30" t="s">
        <v>92</v>
      </c>
      <c r="H133" s="30" t="s">
        <v>723</v>
      </c>
      <c r="I133" s="30" t="s">
        <v>122</v>
      </c>
      <c r="J133" s="30" t="s">
        <v>122</v>
      </c>
      <c r="K133" s="168" t="str">
        <f>hyperlink("https://skutracker.sierrawireless.local/projects/4693", "4693")</f>
        <v>4693</v>
      </c>
      <c r="L133" s="168" t="str">
        <f>hyperlink("https://agile.sierrawireless.com/Agile/PLMServlet?action=OpenEmailObject&amp;classid=8000&amp;objid=24363791", "TDN-012727")</f>
        <v>TDN-012727</v>
      </c>
      <c r="M133" s="30" t="s">
        <v>7167</v>
      </c>
      <c r="N133" s="2" t="s">
        <v>7362</v>
      </c>
    </row>
    <row r="134">
      <c r="A134" s="168" t="str">
        <f>hyperlink("https://issues.sierrawireless.com/browse/OEMPRI-4697", "OEMPRI-4697")</f>
        <v>OEMPRI-4697</v>
      </c>
      <c r="B134" s="30" t="b">
        <v>1</v>
      </c>
      <c r="C134" s="30">
        <v>1103378.0</v>
      </c>
      <c r="D134" s="191">
        <v>9906998.0</v>
      </c>
      <c r="E134" s="30" t="s">
        <v>139</v>
      </c>
      <c r="F134" s="35">
        <v>42993.0</v>
      </c>
      <c r="G134" s="35">
        <v>43005.0</v>
      </c>
      <c r="H134" s="30" t="s">
        <v>160</v>
      </c>
      <c r="I134" s="30" t="s">
        <v>140</v>
      </c>
      <c r="J134" s="30" t="s">
        <v>244</v>
      </c>
      <c r="K134" s="168" t="str">
        <f>hyperlink("https://skutracker.sierrawireless.local/projects/4329", "4329")</f>
        <v>4329</v>
      </c>
      <c r="L134" s="168" t="str">
        <f>hyperlink("https://agile.sierrawireless.com/Agile/PLMServlet?action=OpenEmailObject&amp;classid=8000&amp;objid=20141327", "TDN-012407")</f>
        <v>TDN-012407</v>
      </c>
      <c r="M134" s="30" t="s">
        <v>7363</v>
      </c>
      <c r="N134" s="30" t="s">
        <v>7365</v>
      </c>
    </row>
    <row r="135">
      <c r="A135" s="168" t="str">
        <f>hyperlink("https://issues.sierrawireless.com/browse/OEMPRI-4650", "OEMPRI-4650")</f>
        <v>OEMPRI-4650</v>
      </c>
      <c r="B135" s="30" t="b">
        <v>1</v>
      </c>
      <c r="C135" s="30">
        <v>1103782.0</v>
      </c>
      <c r="D135" s="191">
        <v>9907796.0</v>
      </c>
      <c r="E135" s="30" t="s">
        <v>175</v>
      </c>
      <c r="F135" s="35">
        <v>42989.0</v>
      </c>
      <c r="G135" s="35">
        <v>42998.0</v>
      </c>
      <c r="H135" s="30" t="s">
        <v>215</v>
      </c>
      <c r="I135" s="30" t="s">
        <v>148</v>
      </c>
      <c r="J135" s="30" t="s">
        <v>216</v>
      </c>
      <c r="K135" s="168" t="str">
        <f>hyperlink("https://skutracker.sierrawireless.local/projects/4370", "4370")</f>
        <v>4370</v>
      </c>
      <c r="L135" s="168" t="str">
        <f>hyperlink("https://agile.sierrawireless.com/Agile/PLMServlet?action=OpenEmailObject&amp;classid=6000&amp;objid=20198028", "ECO-025123")</f>
        <v>ECO-025123</v>
      </c>
      <c r="M135" s="30" t="s">
        <v>7139</v>
      </c>
      <c r="N135" s="30" t="s">
        <v>7349</v>
      </c>
    </row>
    <row r="136">
      <c r="A136" s="168" t="str">
        <f>hyperlink("https://issues.sierrawireless.com/browse/OEMPRI-4625", "OEMPRI-4625")</f>
        <v>OEMPRI-4625</v>
      </c>
      <c r="B136" s="30" t="b">
        <v>1</v>
      </c>
      <c r="C136" s="30">
        <v>1103493.0</v>
      </c>
      <c r="D136" s="191" t="s">
        <v>7134</v>
      </c>
      <c r="E136" s="30" t="s">
        <v>139</v>
      </c>
      <c r="F136" s="35">
        <v>42986.0</v>
      </c>
      <c r="G136" s="30" t="s">
        <v>92</v>
      </c>
      <c r="H136" s="30" t="s">
        <v>723</v>
      </c>
      <c r="I136" s="30" t="s">
        <v>140</v>
      </c>
      <c r="J136" s="30" t="s">
        <v>122</v>
      </c>
      <c r="K136" s="168" t="str">
        <f>hyperlink("https://skutracker.sierrawireless.local/projects/4416", "4416")</f>
        <v>4416</v>
      </c>
      <c r="L136" s="168" t="str">
        <f>hyperlink("https://agile.sierrawireless.com/Agile/PLMServlet?action=OpenEmailObject&amp;classid=8000&amp;objid=20802915", "TDN-012451")</f>
        <v>TDN-012451</v>
      </c>
      <c r="M136" s="30" t="s">
        <v>7167</v>
      </c>
      <c r="N136" s="30" t="s">
        <v>7168</v>
      </c>
    </row>
    <row r="137">
      <c r="A137" s="168" t="str">
        <f>hyperlink("https://issues.sierrawireless.com/browse/OEMPRI-4615", "OEMPRI-4615")</f>
        <v>OEMPRI-4615</v>
      </c>
      <c r="B137" s="30" t="b">
        <v>1</v>
      </c>
      <c r="C137" s="30">
        <v>1103210.0</v>
      </c>
      <c r="D137" s="191">
        <v>9906623.0</v>
      </c>
      <c r="E137" s="30" t="s">
        <v>139</v>
      </c>
      <c r="F137" s="35">
        <v>42985.0</v>
      </c>
      <c r="G137" s="43">
        <v>43021.0</v>
      </c>
      <c r="H137" s="30" t="s">
        <v>176</v>
      </c>
      <c r="I137" s="30" t="s">
        <v>177</v>
      </c>
      <c r="J137" s="30" t="s">
        <v>177</v>
      </c>
      <c r="K137" s="168" t="str">
        <f>hyperlink("https://skutracker.sierrawireless.local/projects/4200", "4200")</f>
        <v>4200</v>
      </c>
      <c r="L137" s="168" t="str">
        <f>hyperlink("https://agile.sierrawireless.com/Agile/PLMServlet?action=OpenEmailObject&amp;classid=8000&amp;objid=17731970", "TDN-012266")</f>
        <v>TDN-012266</v>
      </c>
      <c r="M137" s="30" t="s">
        <v>7074</v>
      </c>
      <c r="N137" s="30" t="s">
        <v>7360</v>
      </c>
    </row>
    <row r="138">
      <c r="A138" s="168" t="str">
        <f>hyperlink("https://issues.sierrawireless.com/browse/OEMPRI-4617", "OEMPRI-4617")</f>
        <v>OEMPRI-4617</v>
      </c>
      <c r="B138" s="30" t="b">
        <v>1</v>
      </c>
      <c r="C138" s="30">
        <v>1103211.0</v>
      </c>
      <c r="D138" s="191">
        <v>9906625.0</v>
      </c>
      <c r="E138" s="30" t="s">
        <v>139</v>
      </c>
      <c r="F138" s="35">
        <v>42985.0</v>
      </c>
      <c r="G138" s="35">
        <v>43003.0</v>
      </c>
      <c r="H138" s="30" t="s">
        <v>176</v>
      </c>
      <c r="I138" s="30" t="s">
        <v>337</v>
      </c>
      <c r="J138" s="30" t="s">
        <v>177</v>
      </c>
      <c r="K138" s="168" t="str">
        <f>hyperlink("https://skutracker.sierrawireless.local/projects/4202", "4202")</f>
        <v>4202</v>
      </c>
      <c r="L138" s="168" t="str">
        <f>hyperlink("https://agile.sierrawireless.com/Agile/PLMServlet?action=OpenEmailObject&amp;classid=8000&amp;objid=17731983", "TDN-012268")</f>
        <v>TDN-012268</v>
      </c>
      <c r="M138" s="30" t="s">
        <v>7066</v>
      </c>
      <c r="N138" s="30" t="s">
        <v>7360</v>
      </c>
    </row>
    <row r="139">
      <c r="A139" s="168" t="str">
        <f>hyperlink("https://issues.sierrawireless.com/browse/OEMPRI-4582", "OEMPRI-4582")</f>
        <v>OEMPRI-4582</v>
      </c>
      <c r="B139" s="30" t="b">
        <v>1</v>
      </c>
      <c r="C139" s="30">
        <v>1101773.0</v>
      </c>
      <c r="D139" s="191" t="s">
        <v>7134</v>
      </c>
      <c r="E139" s="30" t="s">
        <v>139</v>
      </c>
      <c r="F139" s="35">
        <v>42978.0</v>
      </c>
      <c r="G139" s="30" t="s">
        <v>92</v>
      </c>
      <c r="H139" s="30" t="s">
        <v>3407</v>
      </c>
      <c r="I139" s="30" t="s">
        <v>148</v>
      </c>
      <c r="J139" s="30" t="s">
        <v>216</v>
      </c>
      <c r="K139" s="168" t="str">
        <f>hyperlink("https://skutracker.sierrawireless.local/projects/4261", "4261")</f>
        <v>4261</v>
      </c>
      <c r="L139" s="168" t="str">
        <f>hyperlink("https://agile.sierrawireless.com/Agile/PLMServlet?action=OpenEmailObject&amp;classid=8000&amp;objid=19827796", "TDN-012392")</f>
        <v>TDN-012392</v>
      </c>
      <c r="M139" s="30" t="s">
        <v>7053</v>
      </c>
    </row>
    <row r="140">
      <c r="A140" s="168" t="str">
        <f>hyperlink("https://issues.sierrawireless.com/browse/OEMPRI-4500", "OEMPRI-4500")</f>
        <v>OEMPRI-4500</v>
      </c>
      <c r="B140" s="30" t="b">
        <v>1</v>
      </c>
      <c r="C140" s="30">
        <v>1103049.0</v>
      </c>
      <c r="D140" s="191">
        <v>9906093.0</v>
      </c>
      <c r="E140" s="30" t="s">
        <v>139</v>
      </c>
      <c r="F140" s="35">
        <v>42971.0</v>
      </c>
      <c r="G140" s="35">
        <v>42978.0</v>
      </c>
      <c r="H140" s="30" t="s">
        <v>176</v>
      </c>
      <c r="I140" s="30" t="s">
        <v>148</v>
      </c>
      <c r="J140" s="30" t="s">
        <v>177</v>
      </c>
      <c r="K140" s="168" t="str">
        <f>hyperlink("https://skutracker.sierrawireless.local/projects/4365", "4365")</f>
        <v>4365</v>
      </c>
      <c r="L140" s="168" t="str">
        <f>hyperlink("https://agile.sierrawireless.com/Agile/PLMServlet?action=OpenEmailObject&amp;classid=6000&amp;objid=20193802", "ECO-025122")</f>
        <v>ECO-025122</v>
      </c>
      <c r="M140" s="30" t="s">
        <v>7053</v>
      </c>
      <c r="N140" s="30" t="s">
        <v>7376</v>
      </c>
    </row>
    <row r="141">
      <c r="A141" s="168" t="str">
        <f>hyperlink("https://issues.sierrawireless.com/browse/OEMPRI-4495", "OEMPRI-4495")</f>
        <v>OEMPRI-4495</v>
      </c>
      <c r="B141" s="30" t="b">
        <v>1</v>
      </c>
      <c r="C141" s="30">
        <v>1103378.0</v>
      </c>
      <c r="D141" s="191">
        <v>9906698.0</v>
      </c>
      <c r="E141" s="30" t="s">
        <v>139</v>
      </c>
      <c r="F141" s="35">
        <v>42971.0</v>
      </c>
      <c r="G141" s="35">
        <v>42984.0</v>
      </c>
      <c r="H141" s="30" t="s">
        <v>160</v>
      </c>
      <c r="I141" s="30" t="s">
        <v>148</v>
      </c>
      <c r="J141" s="30" t="s">
        <v>244</v>
      </c>
      <c r="K141" s="168" t="str">
        <f>hyperlink("https://skutracker.sierrawireless.local/projects/4329", "4329")</f>
        <v>4329</v>
      </c>
      <c r="L141" s="168" t="str">
        <f>hyperlink("https://agile.sierrawireless.com/Agile/PLMServlet?action=OpenEmailObject&amp;classid=8000&amp;objid=20141327", "TDN-012407")</f>
        <v>TDN-012407</v>
      </c>
      <c r="M141" s="30" t="s">
        <v>7306</v>
      </c>
      <c r="N141" s="30" t="s">
        <v>7379</v>
      </c>
    </row>
    <row r="142">
      <c r="A142" s="168" t="str">
        <f>hyperlink("https://issues.sierrawireless.com/browse/OEMPRI-4465", "OEMPRI-4465")</f>
        <v>OEMPRI-4465</v>
      </c>
      <c r="B142" s="30" t="b">
        <v>1</v>
      </c>
      <c r="C142" s="30">
        <v>1103359.0</v>
      </c>
      <c r="D142" s="191">
        <v>9906968.0</v>
      </c>
      <c r="E142" s="30" t="s">
        <v>139</v>
      </c>
      <c r="F142" s="35">
        <v>42968.0</v>
      </c>
      <c r="G142" s="35">
        <v>42975.0</v>
      </c>
      <c r="H142" s="30" t="s">
        <v>160</v>
      </c>
      <c r="I142" s="30" t="s">
        <v>148</v>
      </c>
      <c r="J142" s="30" t="s">
        <v>244</v>
      </c>
      <c r="K142" s="168" t="str">
        <f>hyperlink("https://skutracker.sierrawireless.local/projects/4328", "4328")</f>
        <v>4328</v>
      </c>
      <c r="L142" s="168" t="str">
        <f>hyperlink("https://agile.sierrawireless.com/Agile/PLMServlet?action=OpenEmailObject&amp;classid=8000&amp;objid=21235412", "TDN-012484")</f>
        <v>TDN-012484</v>
      </c>
      <c r="M142" s="30" t="s">
        <v>7306</v>
      </c>
      <c r="N142" s="30" t="s">
        <v>7365</v>
      </c>
    </row>
    <row r="143">
      <c r="A143" s="168" t="str">
        <f>hyperlink("https://issues.sierrawireless.com/browse/OEMPRI-4412", "OEMPRI-4412")</f>
        <v>OEMPRI-4412</v>
      </c>
      <c r="B143" s="30" t="b">
        <v>1</v>
      </c>
      <c r="C143" s="30" t="s">
        <v>166</v>
      </c>
      <c r="D143" s="191" t="s">
        <v>7134</v>
      </c>
      <c r="E143" s="30" t="s">
        <v>139</v>
      </c>
      <c r="F143" s="35">
        <v>42963.0</v>
      </c>
      <c r="G143" s="35">
        <v>42970.0</v>
      </c>
      <c r="H143" s="30" t="s">
        <v>3685</v>
      </c>
      <c r="I143" s="30" t="s">
        <v>148</v>
      </c>
      <c r="J143" s="30" t="s">
        <v>216</v>
      </c>
      <c r="K143" s="168" t="str">
        <f>hyperlink("https://skutracker.sierrawireless.local/projects/4336", "4336")</f>
        <v>4336</v>
      </c>
      <c r="L143" s="168" t="str">
        <f>hyperlink("https://agile.sierrawireless.com/Agile/PLMServlet?action=OpenEmailObject&amp;classid=6000&amp;objid=19716311", "ECO-025038")</f>
        <v>ECO-025038</v>
      </c>
    </row>
    <row r="144">
      <c r="A144" s="168" t="str">
        <f>hyperlink("https://issues.sierrawireless.com/browse/OEMPRI-4338", "OEMPRI-4338")</f>
        <v>OEMPRI-4338</v>
      </c>
      <c r="B144" s="30" t="b">
        <v>1</v>
      </c>
      <c r="C144" s="30">
        <v>1103748.0</v>
      </c>
      <c r="D144" s="191">
        <v>9907636.0</v>
      </c>
      <c r="E144" s="30" t="s">
        <v>139</v>
      </c>
      <c r="F144" s="35">
        <v>42952.0</v>
      </c>
      <c r="G144" s="35">
        <v>42963.0</v>
      </c>
      <c r="H144" s="30" t="s">
        <v>215</v>
      </c>
      <c r="I144" s="30" t="s">
        <v>148</v>
      </c>
      <c r="J144" s="30" t="s">
        <v>3577</v>
      </c>
      <c r="K144" s="168" t="str">
        <f>hyperlink("https://skutracker.sierrawireless.local/projects/4209", "4209")</f>
        <v>4209</v>
      </c>
      <c r="L144" s="168" t="str">
        <f>hyperlink("https://agile.sierrawireless.com/Agile/PLMServlet?action=OpenEmailObject&amp;classid=6000&amp;objid=18399866", "ECO-024873")</f>
        <v>ECO-024873</v>
      </c>
      <c r="M144" s="30" t="s">
        <v>7382</v>
      </c>
      <c r="N144" s="30" t="s">
        <v>7311</v>
      </c>
    </row>
    <row r="145">
      <c r="A145" s="168" t="str">
        <f>hyperlink("https://issues.sierrawireless.com/browse/OEMPRI-4332", "OEMPRI-4332")</f>
        <v>OEMPRI-4332</v>
      </c>
      <c r="B145" s="30" t="b">
        <v>1</v>
      </c>
      <c r="C145" s="30">
        <v>1103139.0</v>
      </c>
      <c r="D145" s="191">
        <v>9906397.0</v>
      </c>
      <c r="E145" s="30" t="s">
        <v>139</v>
      </c>
      <c r="F145" s="35">
        <v>42950.0</v>
      </c>
      <c r="G145" s="35">
        <v>42963.0</v>
      </c>
      <c r="H145" s="30" t="s">
        <v>147</v>
      </c>
      <c r="I145" s="30" t="s">
        <v>148</v>
      </c>
      <c r="J145" s="30" t="s">
        <v>726</v>
      </c>
      <c r="K145" s="168" t="str">
        <f>hyperlink("https://skutracker.sierrawireless.local/projects/4042", "4042")</f>
        <v>4042</v>
      </c>
      <c r="L145" s="168" t="str">
        <f>hyperlink("https://agile.sierrawireless.com/Agile/PLMServlet?action=OpenEmailObject&amp;classid=8000&amp;objid=18955399", "TDN-012336")</f>
        <v>TDN-012336</v>
      </c>
      <c r="M145" s="30" t="s">
        <v>7347</v>
      </c>
      <c r="N145" s="30" t="s">
        <v>7316</v>
      </c>
    </row>
    <row r="146">
      <c r="A146" s="168" t="str">
        <f>hyperlink("https://issues.sierrawireless.com/browse/OEMPRI-4282", "OEMPRI-4282")</f>
        <v>OEMPRI-4282</v>
      </c>
      <c r="B146" s="30" t="b">
        <v>1</v>
      </c>
      <c r="C146" s="30">
        <v>1103744.0</v>
      </c>
      <c r="D146" s="191">
        <v>9905376.0</v>
      </c>
      <c r="E146" s="30" t="s">
        <v>139</v>
      </c>
      <c r="F146" s="35">
        <v>42943.0</v>
      </c>
      <c r="G146" s="35">
        <v>42964.0</v>
      </c>
      <c r="H146" s="30" t="s">
        <v>1399</v>
      </c>
      <c r="I146" s="30" t="s">
        <v>148</v>
      </c>
      <c r="J146" s="30" t="s">
        <v>1400</v>
      </c>
      <c r="K146" s="168" t="str">
        <f>hyperlink("https://skutracker.sierrawireless.local/projects/4238", "4238")</f>
        <v>4238</v>
      </c>
      <c r="L146" s="168" t="str">
        <f>hyperlink("https://agile.sierrawireless.com/Agile/PLMServlet?action=OpenEmailObject&amp;classid=6000&amp;objid=18145118", "ECO-024840")</f>
        <v>ECO-024840</v>
      </c>
      <c r="M146" s="30" t="s">
        <v>7195</v>
      </c>
    </row>
    <row r="147">
      <c r="A147" s="168" t="str">
        <f>hyperlink("https://issues.sierrawireless.com/browse/OEMPRI-4195", "OEMPRI-4195")</f>
        <v>OEMPRI-4195</v>
      </c>
      <c r="B147" s="30" t="b">
        <v>1</v>
      </c>
      <c r="C147" s="30">
        <v>1103151.0</v>
      </c>
      <c r="D147" s="191">
        <v>9906435.0</v>
      </c>
      <c r="E147" s="30" t="s">
        <v>139</v>
      </c>
      <c r="F147" s="35">
        <v>42940.0</v>
      </c>
      <c r="G147" s="35">
        <v>42949.0</v>
      </c>
      <c r="H147" s="30" t="s">
        <v>160</v>
      </c>
      <c r="I147" s="30" t="s">
        <v>283</v>
      </c>
      <c r="J147" s="30" t="s">
        <v>244</v>
      </c>
      <c r="K147" s="168" t="str">
        <f>hyperlink("https://skutracker.sierrawireless.local/projects/4175", "4175")</f>
        <v>4175</v>
      </c>
      <c r="L147" s="168" t="str">
        <f>hyperlink("https://agile.sierrawireless.com/Agile/PLMServlet?action=OpenEmailObject&amp;classid=8000&amp;objid=18957675", "TDN-012338")</f>
        <v>TDN-012338</v>
      </c>
      <c r="M147" s="30" t="s">
        <v>7066</v>
      </c>
      <c r="N147" s="30" t="s">
        <v>7303</v>
      </c>
    </row>
    <row r="148">
      <c r="A148" s="168" t="str">
        <f>hyperlink("https://issues.sierrawireless.com/browse/OEMPRI-4200", "OEMPRI-4200")</f>
        <v>OEMPRI-4200</v>
      </c>
      <c r="B148" s="30" t="b">
        <v>1</v>
      </c>
      <c r="C148" s="30">
        <v>1103371.0</v>
      </c>
      <c r="D148" s="191">
        <v>9906986.0</v>
      </c>
      <c r="E148" s="30" t="s">
        <v>139</v>
      </c>
      <c r="F148" s="35">
        <v>42940.0</v>
      </c>
      <c r="G148" s="35">
        <v>42947.0</v>
      </c>
      <c r="H148" s="30" t="s">
        <v>160</v>
      </c>
      <c r="I148" s="30" t="s">
        <v>283</v>
      </c>
      <c r="J148" s="30" t="s">
        <v>244</v>
      </c>
      <c r="K148" s="168" t="str">
        <f>hyperlink("https://skutracker.sierrawireless.local/projects/4215", "4215")</f>
        <v>4215</v>
      </c>
      <c r="L148" s="168" t="str">
        <f>hyperlink("https://agile.sierrawireless.com/Agile/PLMServlet?action=OpenEmailObject&amp;classid=8000&amp;objid=18538090", "TDN-012306")</f>
        <v>TDN-012306</v>
      </c>
      <c r="M148" s="30" t="s">
        <v>7390</v>
      </c>
      <c r="N148" s="30" t="s">
        <v>7303</v>
      </c>
    </row>
    <row r="149">
      <c r="A149" s="168" t="str">
        <f>hyperlink("https://issues.sierrawireless.com/browse/OEMPRI-4190", "OEMPRI-4190")</f>
        <v>OEMPRI-4190</v>
      </c>
      <c r="B149" s="30" t="b">
        <v>1</v>
      </c>
      <c r="C149" s="30">
        <v>1103367.0</v>
      </c>
      <c r="D149" s="191">
        <v>9906982.0</v>
      </c>
      <c r="E149" s="30" t="s">
        <v>139</v>
      </c>
      <c r="F149" s="35">
        <v>42940.0</v>
      </c>
      <c r="G149" s="35">
        <v>42947.0</v>
      </c>
      <c r="H149" s="30" t="s">
        <v>160</v>
      </c>
      <c r="I149" s="30" t="s">
        <v>148</v>
      </c>
      <c r="J149" s="30" t="s">
        <v>244</v>
      </c>
      <c r="K149" s="168" t="str">
        <f>hyperlink("https://skutracker.sierrawireless.local/projects/4231", "4231")</f>
        <v>4231</v>
      </c>
      <c r="L149" s="168" t="str">
        <f>hyperlink("https://agile.sierrawireless.com/Agile/PLMServlet?action=OpenEmailObject&amp;classid=8000&amp;objid=18164803", "TDN-012286")</f>
        <v>TDN-012286</v>
      </c>
      <c r="M149" s="30" t="s">
        <v>7066</v>
      </c>
      <c r="N149" s="30" t="s">
        <v>7303</v>
      </c>
    </row>
    <row r="150">
      <c r="A150" s="168" t="str">
        <f>hyperlink("https://issues.sierrawireless.com/browse/OEMPRI-4204", "OEMPRI-4204")</f>
        <v>OEMPRI-4204</v>
      </c>
      <c r="B150" s="30" t="b">
        <v>1</v>
      </c>
      <c r="C150" s="30">
        <v>1103362.0</v>
      </c>
      <c r="D150" s="191">
        <v>9906977.0</v>
      </c>
      <c r="E150" s="30" t="s">
        <v>139</v>
      </c>
      <c r="F150" s="35">
        <v>42940.0</v>
      </c>
      <c r="G150" s="35">
        <v>42947.0</v>
      </c>
      <c r="H150" s="30" t="s">
        <v>160</v>
      </c>
      <c r="I150" s="30" t="s">
        <v>283</v>
      </c>
      <c r="J150" s="30" t="s">
        <v>244</v>
      </c>
      <c r="K150" s="168" t="str">
        <f>hyperlink("https://skutracker.sierrawireless.local/projects/4281", "4281")</f>
        <v>4281</v>
      </c>
      <c r="L150" s="168" t="str">
        <f>hyperlink("https://agile.sierrawireless.com/Agile/PLMServlet?action=OpenEmailObject&amp;classid=6000&amp;objid=16738682", "ECO-024607")</f>
        <v>ECO-024607</v>
      </c>
      <c r="M150" s="30" t="s">
        <v>7393</v>
      </c>
      <c r="N150" s="30" t="s">
        <v>7303</v>
      </c>
    </row>
    <row r="151">
      <c r="A151" s="168" t="str">
        <f>hyperlink("https://issues.sierrawireless.com/browse/OEMPRI-4168", "OEMPRI-4168")</f>
        <v>OEMPRI-4168</v>
      </c>
      <c r="B151" s="30" t="b">
        <v>1</v>
      </c>
      <c r="C151" s="30">
        <v>1103721.0</v>
      </c>
      <c r="D151" s="191">
        <v>9907591.0</v>
      </c>
      <c r="E151" s="30" t="s">
        <v>139</v>
      </c>
      <c r="F151" s="35">
        <v>42935.0</v>
      </c>
      <c r="G151" s="35">
        <v>42963.0</v>
      </c>
      <c r="H151" s="30" t="s">
        <v>147</v>
      </c>
      <c r="I151" s="30" t="s">
        <v>148</v>
      </c>
      <c r="J151" s="30" t="s">
        <v>283</v>
      </c>
      <c r="K151" s="168" t="str">
        <f>hyperlink("https://skutracker.sierrawireless.local/projects/4173", "4173")</f>
        <v>4173</v>
      </c>
      <c r="L151" s="168" t="str">
        <f t="shared" ref="L151:L152" si="11">hyperlink("https://agile.sierrawireless.com/Agile/PLMServlet?action=OpenEmailObject&amp;classid=6000&amp;objid=20711555", "ECO-025206")</f>
        <v>ECO-025206</v>
      </c>
      <c r="M151" s="30" t="s">
        <v>7053</v>
      </c>
      <c r="N151" s="30" t="s">
        <v>7060</v>
      </c>
    </row>
    <row r="152">
      <c r="A152" s="168" t="str">
        <f>hyperlink("https://issues.sierrawireless.com/browse/OEMPRI-4069", "OEMPRI-4069")</f>
        <v>OEMPRI-4069</v>
      </c>
      <c r="B152" s="30" t="b">
        <v>1</v>
      </c>
      <c r="C152" s="30">
        <v>1103722.0</v>
      </c>
      <c r="D152" s="191">
        <v>9907592.0</v>
      </c>
      <c r="E152" s="30" t="s">
        <v>139</v>
      </c>
      <c r="F152" s="35">
        <v>42929.0</v>
      </c>
      <c r="G152" s="35">
        <v>42964.0</v>
      </c>
      <c r="H152" s="30" t="s">
        <v>147</v>
      </c>
      <c r="I152" s="30" t="s">
        <v>148</v>
      </c>
      <c r="J152" s="30" t="s">
        <v>283</v>
      </c>
      <c r="K152" s="168" t="str">
        <f>hyperlink("https://skutracker.sierrawireless.local/projects/4174", "4174")</f>
        <v>4174</v>
      </c>
      <c r="L152" s="168" t="str">
        <f t="shared" si="11"/>
        <v>ECO-025206</v>
      </c>
      <c r="M152" s="30" t="s">
        <v>7396</v>
      </c>
      <c r="N152" s="30" t="s">
        <v>7060</v>
      </c>
    </row>
    <row r="153">
      <c r="A153" s="168" t="str">
        <f>hyperlink("https://issues.sierrawireless.com/browse/OEMPRI-4020", "OEMPRI-4020")</f>
        <v>OEMPRI-4020</v>
      </c>
      <c r="B153" s="30" t="b">
        <v>1</v>
      </c>
      <c r="C153" s="30">
        <v>1103367.0</v>
      </c>
      <c r="D153" s="191">
        <v>9906982.0</v>
      </c>
      <c r="E153" s="30" t="s">
        <v>139</v>
      </c>
      <c r="F153" s="35">
        <v>42923.0</v>
      </c>
      <c r="G153" s="35">
        <v>42927.0</v>
      </c>
      <c r="H153" s="30" t="s">
        <v>160</v>
      </c>
      <c r="I153" s="30" t="s">
        <v>92</v>
      </c>
      <c r="J153" s="30" t="s">
        <v>244</v>
      </c>
      <c r="K153" s="168" t="str">
        <f>hyperlink("https://skutracker.sierrawireless.local/projects/3795", "3795")</f>
        <v>3795</v>
      </c>
      <c r="L153" s="168" t="str">
        <f>hyperlink("https://agile.sierrawireless.com/Agile/PLMServlet?action=OpenEmailObject&amp;classid=8000&amp;objid=11781812", "TDN-011778")</f>
        <v>TDN-011778</v>
      </c>
      <c r="M153" s="30" t="s">
        <v>7066</v>
      </c>
      <c r="N153" s="30" t="s">
        <v>7399</v>
      </c>
    </row>
    <row r="154">
      <c r="A154" s="168" t="str">
        <f>hyperlink("https://issues.sierrawireless.com/browse/OEMPRI-4016", "OEMPRI-4016")</f>
        <v>OEMPRI-4016</v>
      </c>
      <c r="B154" s="30" t="b">
        <v>1</v>
      </c>
      <c r="C154" s="30">
        <v>1103494.0</v>
      </c>
      <c r="D154" s="191">
        <v>9907253.0</v>
      </c>
      <c r="E154" s="30" t="s">
        <v>139</v>
      </c>
      <c r="F154" s="35">
        <v>42923.0</v>
      </c>
      <c r="G154" s="35">
        <v>42929.0</v>
      </c>
      <c r="H154" s="30" t="s">
        <v>160</v>
      </c>
      <c r="I154" s="30" t="s">
        <v>92</v>
      </c>
      <c r="J154" s="30" t="s">
        <v>244</v>
      </c>
      <c r="K154" s="168" t="str">
        <f>hyperlink("https://skutracker.sierrawireless.local/projects/4228", "4228")</f>
        <v>4228</v>
      </c>
      <c r="L154" s="168" t="str">
        <f>hyperlink("https://agile.sierrawireless.com/Agile/PLMServlet?action=OpenEmailObject&amp;classid=8000&amp;objid=18029423", "TDN-012277")</f>
        <v>TDN-012277</v>
      </c>
      <c r="M154" s="30" t="s">
        <v>7066</v>
      </c>
      <c r="N154" s="30" t="s">
        <v>7400</v>
      </c>
    </row>
    <row r="155">
      <c r="A155" s="168" t="str">
        <f>hyperlink("https://issues.sierrawireless.com/browse/OEMPRI-3745", "OEMPRI-3745")</f>
        <v>OEMPRI-3745</v>
      </c>
      <c r="B155" s="30" t="b">
        <v>1</v>
      </c>
      <c r="C155" s="30">
        <v>1103049.0</v>
      </c>
      <c r="D155" s="191">
        <v>9906093.0</v>
      </c>
      <c r="E155" s="30" t="s">
        <v>139</v>
      </c>
      <c r="F155" s="35">
        <v>42907.0</v>
      </c>
      <c r="G155" s="35">
        <v>42916.0</v>
      </c>
      <c r="H155" s="30" t="s">
        <v>176</v>
      </c>
      <c r="I155" s="30" t="s">
        <v>92</v>
      </c>
      <c r="J155" s="30" t="s">
        <v>177</v>
      </c>
      <c r="K155" s="168" t="str">
        <f>hyperlink("https://skutracker.sierrawireless.local/projects/4159", "4159")</f>
        <v>4159</v>
      </c>
      <c r="L155" s="168" t="str">
        <f>hyperlink("https://agile.sierrawireless.com/Agile/PLMServlet?action=OpenEmailObject&amp;classid=6000&amp;objid=17168585", "ECO-024661")</f>
        <v>ECO-024661</v>
      </c>
      <c r="M155" s="30" t="s">
        <v>7053</v>
      </c>
      <c r="N155" s="30" t="s">
        <v>7402</v>
      </c>
    </row>
    <row r="156">
      <c r="A156" s="168" t="str">
        <f>hyperlink("https://issues.sierrawireless.com/browse/OEMPRI-3751", "OEMPRI-3751")</f>
        <v>OEMPRI-3751</v>
      </c>
      <c r="B156" s="30" t="b">
        <v>1</v>
      </c>
      <c r="C156" s="30">
        <v>1103102.0</v>
      </c>
      <c r="D156" s="191">
        <v>9906297.0</v>
      </c>
      <c r="E156" s="30" t="s">
        <v>139</v>
      </c>
      <c r="F156" s="35">
        <v>42907.0</v>
      </c>
      <c r="G156" s="35">
        <v>42916.0</v>
      </c>
      <c r="H156" s="30" t="s">
        <v>176</v>
      </c>
      <c r="I156" s="30" t="s">
        <v>92</v>
      </c>
      <c r="J156" s="30" t="s">
        <v>177</v>
      </c>
      <c r="K156" s="168" t="str">
        <f>hyperlink("https://skutracker.sierrawireless.local/projects/4163", "4163")</f>
        <v>4163</v>
      </c>
      <c r="L156" s="168" t="str">
        <f>hyperlink("https://agile.sierrawireless.com/Agile/PLMServlet?action=OpenEmailObject&amp;classid=8000&amp;objid=17214180", "TDN-012232")</f>
        <v>TDN-012232</v>
      </c>
      <c r="M156" s="30" t="s">
        <v>7405</v>
      </c>
      <c r="N156" s="30" t="s">
        <v>7406</v>
      </c>
    </row>
    <row r="157">
      <c r="A157" s="168" t="str">
        <f>hyperlink("https://issues.sierrawireless.com/browse/OEMPRI-3479", "OEMPRI-3479")</f>
        <v>OEMPRI-3479</v>
      </c>
      <c r="B157" s="30" t="b">
        <v>1</v>
      </c>
      <c r="C157" s="30">
        <v>1103556.0</v>
      </c>
      <c r="D157" s="191" t="s">
        <v>7408</v>
      </c>
      <c r="E157" s="30" t="s">
        <v>139</v>
      </c>
      <c r="F157" s="35">
        <v>42878.0</v>
      </c>
      <c r="G157" s="30" t="s">
        <v>92</v>
      </c>
      <c r="H157" s="30" t="s">
        <v>215</v>
      </c>
      <c r="I157" s="30" t="s">
        <v>148</v>
      </c>
      <c r="J157" s="30" t="s">
        <v>216</v>
      </c>
      <c r="K157" s="168" t="str">
        <f>hyperlink("https://skutracker.sierrawireless.local/projects/3980", "3980")</f>
        <v>3980</v>
      </c>
      <c r="L157" s="168" t="str">
        <f>hyperlink("https://agile.sierrawireless.com/Agile/PLMServlet?action=OpenEmailObject&amp;classid=6000&amp;objid=14418045", "ECO-024218")</f>
        <v>ECO-024218</v>
      </c>
      <c r="M157" s="30" t="s">
        <v>7192</v>
      </c>
      <c r="N157" s="30" t="s">
        <v>7349</v>
      </c>
    </row>
    <row r="158">
      <c r="A158" s="168" t="str">
        <f>hyperlink("https://issues.sierrawireless.com/browse/OEMPRI-3465", "OEMPRI-3465")</f>
        <v>OEMPRI-3465</v>
      </c>
      <c r="B158" s="30" t="b">
        <v>1</v>
      </c>
      <c r="C158" s="30">
        <v>1103486.0</v>
      </c>
      <c r="D158" s="191">
        <v>9907214.0</v>
      </c>
      <c r="E158" s="30" t="s">
        <v>139</v>
      </c>
      <c r="F158" s="35">
        <v>42873.0</v>
      </c>
      <c r="G158" s="30" t="s">
        <v>92</v>
      </c>
      <c r="H158" s="30" t="s">
        <v>5635</v>
      </c>
      <c r="I158" s="30" t="s">
        <v>4728</v>
      </c>
      <c r="J158" s="30" t="s">
        <v>122</v>
      </c>
      <c r="K158" s="168" t="str">
        <f>hyperlink("https://skutracker.sierrawireless.local/projects/3755", "3755")</f>
        <v>3755</v>
      </c>
      <c r="L158" s="168" t="str">
        <f>hyperlink("https://agile.sierrawireless.com/Agile/PLMServlet?action=OpenEmailObject&amp;classid=6000&amp;objid=11652601", "ECO-023688")</f>
        <v>ECO-023688</v>
      </c>
      <c r="M158" s="30" t="s">
        <v>7359</v>
      </c>
    </row>
    <row r="159">
      <c r="A159" s="168" t="str">
        <f>hyperlink("https://issues.sierrawireless.com/browse/OEMPRI-3298", "OEMPRI-3298")</f>
        <v>OEMPRI-3298</v>
      </c>
      <c r="B159" s="30" t="b">
        <v>1</v>
      </c>
      <c r="C159" s="30">
        <v>1103367.0</v>
      </c>
      <c r="D159" s="191">
        <v>9906982.0</v>
      </c>
      <c r="E159" s="30" t="s">
        <v>139</v>
      </c>
      <c r="F159" s="35">
        <v>42859.0</v>
      </c>
      <c r="G159" s="35">
        <v>42886.0</v>
      </c>
      <c r="H159" s="30" t="s">
        <v>160</v>
      </c>
      <c r="I159" s="30" t="s">
        <v>244</v>
      </c>
      <c r="J159" s="30" t="s">
        <v>244</v>
      </c>
      <c r="K159" s="168" t="str">
        <f>hyperlink("https://skutracker.sierrawireless.local/projects/3795", "3795")</f>
        <v>3795</v>
      </c>
      <c r="L159" s="168" t="str">
        <f>hyperlink("https://agile.sierrawireless.com/Agile/PLMServlet?action=OpenEmailObject&amp;classid=8000&amp;objid=11781812", "TDN-011778")</f>
        <v>TDN-011778</v>
      </c>
      <c r="M159" s="30" t="s">
        <v>7066</v>
      </c>
      <c r="N159" s="30" t="s">
        <v>7410</v>
      </c>
    </row>
    <row r="160">
      <c r="A160" s="168" t="str">
        <f>hyperlink("https://issues.sierrawireless.com/browse/OEMPRI-3118", "OEMPRI-3118")</f>
        <v>OEMPRI-3118</v>
      </c>
      <c r="B160" s="30" t="b">
        <v>1</v>
      </c>
      <c r="C160" s="30">
        <v>1103514.0</v>
      </c>
      <c r="D160" s="191">
        <v>9907330.0</v>
      </c>
      <c r="E160" s="30" t="s">
        <v>139</v>
      </c>
      <c r="F160" s="35">
        <v>42842.0</v>
      </c>
      <c r="G160" s="30" t="s">
        <v>92</v>
      </c>
      <c r="H160" s="30" t="s">
        <v>215</v>
      </c>
      <c r="I160" s="30" t="s">
        <v>92</v>
      </c>
      <c r="J160" s="30" t="s">
        <v>216</v>
      </c>
      <c r="K160" s="168" t="str">
        <f>hyperlink("https://skutracker.sierrawireless.local/projects/3841", "3841")</f>
        <v>3841</v>
      </c>
      <c r="L160" s="168" t="str">
        <f>hyperlink("https://agile.sierrawireless.com/Agile/PLMServlet?action=OpenEmailObject&amp;classid=6000&amp;objid=12619706", "ECO-023894")</f>
        <v>ECO-023894</v>
      </c>
      <c r="M160" s="30" t="s">
        <v>7411</v>
      </c>
      <c r="N160" s="30" t="s">
        <v>7350</v>
      </c>
    </row>
    <row r="161">
      <c r="A161" s="168" t="str">
        <f>hyperlink("https://issues.sierrawireless.com/browse/OEMPRI-3068", "OEMPRI-3068")</f>
        <v>OEMPRI-3068</v>
      </c>
      <c r="B161" s="30" t="b">
        <v>1</v>
      </c>
      <c r="C161" s="30">
        <v>1103415.0</v>
      </c>
      <c r="D161" s="191">
        <v>9906995.0</v>
      </c>
      <c r="E161" s="30" t="s">
        <v>139</v>
      </c>
      <c r="F161" s="35">
        <v>42835.0</v>
      </c>
      <c r="G161" s="35">
        <v>42706.0</v>
      </c>
      <c r="H161" s="30" t="s">
        <v>176</v>
      </c>
      <c r="I161" s="30" t="s">
        <v>177</v>
      </c>
      <c r="J161" s="30" t="s">
        <v>177</v>
      </c>
      <c r="K161" s="168" t="str">
        <f>hyperlink("https://skutracker.sierrawireless.local/projects/3565", "3565")</f>
        <v>3565</v>
      </c>
      <c r="L161" s="168" t="str">
        <f>hyperlink("https://agile.sierrawireless.com/Agile/PLMServlet?action=OpenEmailObject&amp;classid=8000&amp;objid=11110809", "TDN-011526")</f>
        <v>TDN-011526</v>
      </c>
      <c r="M161" s="30" t="s">
        <v>7053</v>
      </c>
      <c r="N161" s="30" t="s">
        <v>7413</v>
      </c>
    </row>
    <row r="162">
      <c r="A162" s="168" t="str">
        <f>hyperlink("https://issues.sierrawireless.com/browse/OEMPRI-3064", "OEMPRI-3064")</f>
        <v>OEMPRI-3064</v>
      </c>
      <c r="B162" s="30" t="b">
        <v>1</v>
      </c>
      <c r="C162" s="30">
        <v>1103102.0</v>
      </c>
      <c r="D162" s="191">
        <v>9906297.0</v>
      </c>
      <c r="E162" s="30" t="s">
        <v>139</v>
      </c>
      <c r="F162" s="35">
        <v>42835.0</v>
      </c>
      <c r="G162" s="35">
        <v>42822.0</v>
      </c>
      <c r="H162" s="30" t="s">
        <v>176</v>
      </c>
      <c r="I162" s="30" t="s">
        <v>92</v>
      </c>
      <c r="J162" s="30" t="s">
        <v>177</v>
      </c>
      <c r="K162" s="168" t="str">
        <f>hyperlink("https://skutracker.sierrawireless.local/projects/3632", "3632")</f>
        <v>3632</v>
      </c>
      <c r="L162" s="168" t="str">
        <f>hyperlink("https://agile.sierrawireless.com/Agile/PLMServlet?action=OpenEmailObject&amp;classid=8000&amp;objid=11339332", "TDN-011609")</f>
        <v>TDN-011609</v>
      </c>
      <c r="M162" s="30" t="s">
        <v>7405</v>
      </c>
      <c r="N162" s="30" t="s">
        <v>7415</v>
      </c>
    </row>
    <row r="163">
      <c r="A163" s="168" t="str">
        <f>hyperlink("https://issues.sierrawireless.com/browse/OEMPRI-3029", "OEMPRI-3029")</f>
        <v>OEMPRI-3029</v>
      </c>
      <c r="B163" s="30" t="b">
        <v>1</v>
      </c>
      <c r="C163" s="30">
        <v>1103210.0</v>
      </c>
      <c r="D163" s="191">
        <v>9906623.0</v>
      </c>
      <c r="E163" s="30" t="s">
        <v>139</v>
      </c>
      <c r="F163" s="35">
        <v>42831.0</v>
      </c>
      <c r="G163" s="43">
        <v>42703.0</v>
      </c>
      <c r="H163" s="30" t="s">
        <v>176</v>
      </c>
      <c r="I163" s="30" t="s">
        <v>92</v>
      </c>
      <c r="J163" s="30" t="s">
        <v>177</v>
      </c>
      <c r="K163" s="168" t="str">
        <f>hyperlink("https://skutracker.sierrawireless.local/projects/3054", "3054")</f>
        <v>3054</v>
      </c>
      <c r="L163" s="168" t="str">
        <f>hyperlink("https://agile.sierrawireless.com/Agile/PLMServlet?action=OpenEmailObject&amp;classid=8000&amp;objid=10994638", "TDN-011479")</f>
        <v>TDN-011479</v>
      </c>
      <c r="M163" s="30" t="s">
        <v>7066</v>
      </c>
      <c r="N163" s="30" t="s">
        <v>7413</v>
      </c>
    </row>
    <row r="164">
      <c r="A164" s="168" t="str">
        <f>hyperlink("https://issues.sierrawireless.com/browse/OEMPRI-3051", "OEMPRI-3051")</f>
        <v>OEMPRI-3051</v>
      </c>
      <c r="B164" s="30" t="b">
        <v>1</v>
      </c>
      <c r="C164" s="30">
        <v>1103377.0</v>
      </c>
      <c r="D164" s="191">
        <v>9906994.0</v>
      </c>
      <c r="E164" s="30" t="s">
        <v>139</v>
      </c>
      <c r="F164" s="35">
        <v>42831.0</v>
      </c>
      <c r="G164" s="35">
        <v>42850.0</v>
      </c>
      <c r="H164" s="30" t="s">
        <v>160</v>
      </c>
      <c r="I164" s="30" t="s">
        <v>92</v>
      </c>
      <c r="J164" s="30" t="s">
        <v>244</v>
      </c>
      <c r="K164" s="168" t="str">
        <f>hyperlink("https://skutracker.sierrawireless.local/projects/3479", "3479")</f>
        <v>3479</v>
      </c>
      <c r="L164" s="168" t="str">
        <f>hyperlink("https://agile.sierrawireless.com/Agile/PLMServlet?action=OpenEmailObject&amp;classid=8000&amp;objid=10773309", "TDN-011393")</f>
        <v>TDN-011393</v>
      </c>
      <c r="M164" s="30" t="s">
        <v>7099</v>
      </c>
      <c r="N164" s="30" t="s">
        <v>7417</v>
      </c>
    </row>
    <row r="165">
      <c r="A165" s="168" t="str">
        <f>hyperlink("https://issues.sierrawireless.com/browse/OEMPRI-3048", "OEMPRI-3048")</f>
        <v>OEMPRI-3048</v>
      </c>
      <c r="B165" s="30" t="b">
        <v>1</v>
      </c>
      <c r="C165" s="30">
        <v>1103367.0</v>
      </c>
      <c r="D165" s="191">
        <v>9906982.0</v>
      </c>
      <c r="E165" s="30" t="s">
        <v>139</v>
      </c>
      <c r="F165" s="35">
        <v>42831.0</v>
      </c>
      <c r="G165" s="35">
        <v>42877.0</v>
      </c>
      <c r="H165" s="30" t="s">
        <v>160</v>
      </c>
      <c r="I165" s="30" t="s">
        <v>92</v>
      </c>
      <c r="J165" s="30" t="s">
        <v>244</v>
      </c>
      <c r="K165" s="168" t="str">
        <f>hyperlink("https://skutracker.sierrawireless.local/projects/3795", "3795")</f>
        <v>3795</v>
      </c>
      <c r="L165" s="168" t="str">
        <f>hyperlink("https://agile.sierrawireless.com/Agile/PLMServlet?action=OpenEmailObject&amp;classid=8000&amp;objid=11781812", "TDN-011778")</f>
        <v>TDN-011778</v>
      </c>
      <c r="M165" s="30" t="s">
        <v>7066</v>
      </c>
      <c r="N165" s="30" t="s">
        <v>7418</v>
      </c>
    </row>
    <row r="166">
      <c r="A166" s="168" t="str">
        <f>hyperlink("https://issues.sierrawireless.com/browse/OEMPRI-3018", "OEMPRI-3018")</f>
        <v>OEMPRI-3018</v>
      </c>
      <c r="B166" s="30" t="b">
        <v>1</v>
      </c>
      <c r="C166" s="30">
        <v>1103379.0</v>
      </c>
      <c r="D166" s="191">
        <v>9907000.0</v>
      </c>
      <c r="E166" s="30" t="s">
        <v>139</v>
      </c>
      <c r="F166" s="35">
        <v>42831.0</v>
      </c>
      <c r="G166" s="35">
        <v>42865.0</v>
      </c>
      <c r="H166" s="30" t="s">
        <v>160</v>
      </c>
      <c r="I166" s="30" t="s">
        <v>92</v>
      </c>
      <c r="J166" s="30" t="s">
        <v>244</v>
      </c>
      <c r="K166" s="168" t="str">
        <f>hyperlink("https://skutracker.sierrawireless.local/projects/3796", "3796")</f>
        <v>3796</v>
      </c>
      <c r="L166" s="168" t="str">
        <f>hyperlink("https://agile.sierrawireless.com/Agile/PLMServlet?action=OpenEmailObject&amp;classid=8000&amp;objid=11781828", "TDN-011779")</f>
        <v>TDN-011779</v>
      </c>
      <c r="M166" s="30" t="s">
        <v>7306</v>
      </c>
      <c r="N166" s="30" t="s">
        <v>7418</v>
      </c>
    </row>
    <row r="167">
      <c r="A167" s="168" t="str">
        <f>hyperlink("https://issues.sierrawireless.com/browse/OEMPRI-3045", "OEMPRI-3045")</f>
        <v>OEMPRI-3045</v>
      </c>
      <c r="B167" s="30" t="b">
        <v>1</v>
      </c>
      <c r="C167" s="30">
        <v>1103373.0</v>
      </c>
      <c r="D167" s="191">
        <v>9906988.0</v>
      </c>
      <c r="E167" s="30" t="s">
        <v>139</v>
      </c>
      <c r="F167" s="35">
        <v>42831.0</v>
      </c>
      <c r="G167" s="35">
        <v>42870.0</v>
      </c>
      <c r="H167" s="30" t="s">
        <v>160</v>
      </c>
      <c r="I167" s="30" t="s">
        <v>92</v>
      </c>
      <c r="J167" s="30" t="s">
        <v>244</v>
      </c>
      <c r="K167" s="168" t="str">
        <f>hyperlink("https://skutracker.sierrawireless.local/projects/3797", "3797")</f>
        <v>3797</v>
      </c>
      <c r="L167" s="168" t="str">
        <f>hyperlink("https://agile.sierrawireless.com/Agile/PLMServlet?action=OpenEmailObject&amp;classid=8000&amp;objid=11781837", "TDN-011780")</f>
        <v>TDN-011780</v>
      </c>
      <c r="M167" s="30" t="s">
        <v>7053</v>
      </c>
      <c r="N167" s="30" t="s">
        <v>7418</v>
      </c>
    </row>
    <row r="168">
      <c r="A168" s="168" t="str">
        <f>hyperlink("https://issues.sierrawireless.com/browse/OEMPRI-2980", "OEMPRI-2980")</f>
        <v>OEMPRI-2980</v>
      </c>
      <c r="B168" s="30" t="b">
        <v>1</v>
      </c>
      <c r="C168" s="30">
        <v>1103493.0</v>
      </c>
      <c r="D168" s="191">
        <v>9907246.0</v>
      </c>
      <c r="E168" s="30" t="s">
        <v>139</v>
      </c>
      <c r="F168" s="35">
        <v>42830.0</v>
      </c>
      <c r="G168" s="30" t="s">
        <v>92</v>
      </c>
      <c r="H168" s="30" t="s">
        <v>723</v>
      </c>
      <c r="I168" s="30" t="s">
        <v>92</v>
      </c>
      <c r="J168" s="30" t="s">
        <v>609</v>
      </c>
      <c r="K168" s="168" t="str">
        <f>hyperlink("https://skutracker.sierrawireless.local/projects/3764", "3764")</f>
        <v>3764</v>
      </c>
      <c r="L168" s="168" t="str">
        <f>hyperlink("https://agile.sierrawireless.com/Agile/PLMServlet?action=OpenEmailObject&amp;classid=6000&amp;objid=12671150", "ECO-023909")</f>
        <v>ECO-023909</v>
      </c>
      <c r="M168" s="30" t="s">
        <v>7420</v>
      </c>
      <c r="N168" s="30" t="s">
        <v>7421</v>
      </c>
    </row>
    <row r="169">
      <c r="A169" s="168" t="str">
        <f>hyperlink("https://issues.sierrawireless.com/browse/OEMPRI-2999", "OEMPRI-2999")</f>
        <v>OEMPRI-2999</v>
      </c>
      <c r="B169" s="30" t="b">
        <v>1</v>
      </c>
      <c r="C169" s="30">
        <v>1103151.0</v>
      </c>
      <c r="D169" s="191">
        <v>9906435.0</v>
      </c>
      <c r="E169" s="30" t="s">
        <v>139</v>
      </c>
      <c r="F169" s="35">
        <v>42830.0</v>
      </c>
      <c r="G169" s="35">
        <v>42849.0</v>
      </c>
      <c r="H169" s="30" t="s">
        <v>160</v>
      </c>
      <c r="I169" s="30" t="s">
        <v>244</v>
      </c>
      <c r="J169" s="30" t="s">
        <v>244</v>
      </c>
      <c r="K169" s="168" t="str">
        <f t="shared" ref="K169:K170" si="12">hyperlink("https://skutracker.sierrawireless.local/projects/3798", "3798")</f>
        <v>3798</v>
      </c>
      <c r="L169" s="168" t="str">
        <f t="shared" ref="L169:L170" si="13">hyperlink("https://agile.sierrawireless.com/Agile/PLMServlet?action=OpenEmailObject&amp;classid=8000&amp;objid=11781839", "TDN-011781")</f>
        <v>TDN-011781</v>
      </c>
      <c r="M169" s="30" t="s">
        <v>7066</v>
      </c>
      <c r="N169" s="30" t="s">
        <v>7422</v>
      </c>
    </row>
    <row r="170">
      <c r="A170" s="168" t="str">
        <f>hyperlink("https://issues.sierrawireless.com/browse/OEMPRI-3006", "OEMPRI-3006")</f>
        <v>OEMPRI-3006</v>
      </c>
      <c r="B170" s="30" t="b">
        <v>1</v>
      </c>
      <c r="C170" s="30">
        <v>1103151.0</v>
      </c>
      <c r="D170" s="191">
        <v>9906435.0</v>
      </c>
      <c r="E170" s="30" t="s">
        <v>139</v>
      </c>
      <c r="F170" s="35">
        <v>42830.0</v>
      </c>
      <c r="G170" s="35">
        <v>42849.0</v>
      </c>
      <c r="H170" s="30" t="s">
        <v>160</v>
      </c>
      <c r="I170" s="30" t="s">
        <v>92</v>
      </c>
      <c r="J170" s="30" t="s">
        <v>244</v>
      </c>
      <c r="K170" s="168" t="str">
        <f t="shared" si="12"/>
        <v>3798</v>
      </c>
      <c r="L170" s="168" t="str">
        <f t="shared" si="13"/>
        <v>TDN-011781</v>
      </c>
      <c r="M170" s="30" t="s">
        <v>7066</v>
      </c>
      <c r="N170" s="30" t="s">
        <v>7418</v>
      </c>
    </row>
    <row r="171">
      <c r="A171" s="168" t="str">
        <f>hyperlink("https://issues.sierrawireless.com/browse/OEMPRI-3009", "OEMPRI-3009")</f>
        <v>OEMPRI-3009</v>
      </c>
      <c r="B171" s="30" t="b">
        <v>1</v>
      </c>
      <c r="C171" s="30">
        <v>1103372.0</v>
      </c>
      <c r="D171" s="191">
        <v>9906987.0</v>
      </c>
      <c r="E171" s="30" t="s">
        <v>139</v>
      </c>
      <c r="F171" s="35">
        <v>42830.0</v>
      </c>
      <c r="G171" s="35">
        <v>42849.0</v>
      </c>
      <c r="H171" s="30" t="s">
        <v>160</v>
      </c>
      <c r="I171" s="30" t="s">
        <v>92</v>
      </c>
      <c r="J171" s="30" t="s">
        <v>244</v>
      </c>
      <c r="K171" s="168" t="str">
        <f>hyperlink("https://skutracker.sierrawireless.local/projects/3799", "3799")</f>
        <v>3799</v>
      </c>
      <c r="L171" s="168" t="str">
        <f>hyperlink("https://agile.sierrawireless.com/Agile/PLMServlet?action=OpenEmailObject&amp;classid=6000&amp;objid=13344014", "TDN-011782")</f>
        <v>TDN-011782</v>
      </c>
      <c r="M171" s="30" t="s">
        <v>7053</v>
      </c>
      <c r="N171" s="30" t="s">
        <v>7418</v>
      </c>
    </row>
    <row r="172">
      <c r="A172" s="168" t="str">
        <f>hyperlink("https://issues.sierrawireless.com/browse/OEMPRI-2996", "OEMPRI-2996")</f>
        <v>OEMPRI-2996</v>
      </c>
      <c r="B172" s="30" t="b">
        <v>1</v>
      </c>
      <c r="C172" s="30">
        <v>1103378.0</v>
      </c>
      <c r="D172" s="191">
        <v>9906998.0</v>
      </c>
      <c r="E172" s="30" t="s">
        <v>139</v>
      </c>
      <c r="F172" s="35">
        <v>42830.0</v>
      </c>
      <c r="G172" s="35">
        <v>42842.0</v>
      </c>
      <c r="H172" s="30" t="s">
        <v>160</v>
      </c>
      <c r="I172" s="30" t="s">
        <v>92</v>
      </c>
      <c r="J172" s="30" t="s">
        <v>244</v>
      </c>
      <c r="K172" s="168" t="str">
        <f>hyperlink("https://skutracker.sierrawireless.local/projects/3800", "3800")</f>
        <v>3800</v>
      </c>
      <c r="L172" s="168" t="str">
        <f>hyperlink("https://agile.sierrawireless.com/Agile/PLMServlet?action=OpenEmailObject&amp;classid=8000&amp;objid=11782591", "TDN-011783")</f>
        <v>TDN-011783</v>
      </c>
      <c r="M172" s="30" t="s">
        <v>7306</v>
      </c>
      <c r="N172" s="30" t="s">
        <v>7418</v>
      </c>
    </row>
    <row r="173">
      <c r="A173" s="168" t="str">
        <f>hyperlink("https://issues.sierrawireless.com/browse/OEMPRI-3002", "OEMPRI-3002")</f>
        <v>OEMPRI-3002</v>
      </c>
      <c r="B173" s="30" t="b">
        <v>1</v>
      </c>
      <c r="C173" s="30">
        <v>1103368.0</v>
      </c>
      <c r="D173" s="191">
        <v>9906983.0</v>
      </c>
      <c r="E173" s="30" t="s">
        <v>139</v>
      </c>
      <c r="F173" s="35">
        <v>42830.0</v>
      </c>
      <c r="G173" s="35">
        <v>42852.0</v>
      </c>
      <c r="H173" s="30" t="s">
        <v>160</v>
      </c>
      <c r="I173" s="30" t="s">
        <v>4728</v>
      </c>
      <c r="J173" s="30" t="s">
        <v>244</v>
      </c>
      <c r="K173" s="168" t="str">
        <f t="shared" ref="K173:K174" si="14">hyperlink("https://skutracker.sierrawireless.local/projects/3801", "3801")</f>
        <v>3801</v>
      </c>
      <c r="L173" s="168" t="str">
        <f t="shared" ref="L173:L174" si="15">hyperlink("https://agile.sierrawireless.com/Agile/PLMServlet?action=OpenEmailObject&amp;classid=8000&amp;objid=11782597", "TDN-011784")</f>
        <v>TDN-011784</v>
      </c>
      <c r="M173" s="30" t="s">
        <v>7099</v>
      </c>
      <c r="N173" s="30" t="s">
        <v>7422</v>
      </c>
    </row>
    <row r="174">
      <c r="A174" s="168" t="str">
        <f>hyperlink("https://issues.sierrawireless.com/browse/OEMPRI-3003", "OEMPRI-3003")</f>
        <v>OEMPRI-3003</v>
      </c>
      <c r="B174" s="30" t="b">
        <v>1</v>
      </c>
      <c r="C174" s="30">
        <v>1103368.0</v>
      </c>
      <c r="D174" s="191">
        <v>9906983.0</v>
      </c>
      <c r="E174" s="30" t="s">
        <v>139</v>
      </c>
      <c r="F174" s="35">
        <v>42830.0</v>
      </c>
      <c r="G174" s="35">
        <v>42852.0</v>
      </c>
      <c r="H174" s="30" t="s">
        <v>160</v>
      </c>
      <c r="I174" s="30" t="s">
        <v>92</v>
      </c>
      <c r="J174" s="30" t="s">
        <v>244</v>
      </c>
      <c r="K174" s="168" t="str">
        <f t="shared" si="14"/>
        <v>3801</v>
      </c>
      <c r="L174" s="168" t="str">
        <f t="shared" si="15"/>
        <v>TDN-011784</v>
      </c>
      <c r="M174" s="30" t="s">
        <v>7099</v>
      </c>
      <c r="N174" s="30" t="s">
        <v>7417</v>
      </c>
    </row>
    <row r="175">
      <c r="A175" s="168" t="str">
        <f>hyperlink("https://issues.sierrawireless.com/browse/OEMPRI-2988", "OEMPRI-2988")</f>
        <v>OEMPRI-2988</v>
      </c>
      <c r="B175" s="30" t="b">
        <v>1</v>
      </c>
      <c r="C175" s="30">
        <v>1103371.0</v>
      </c>
      <c r="D175" s="191">
        <v>9906986.0</v>
      </c>
      <c r="E175" s="30" t="s">
        <v>139</v>
      </c>
      <c r="F175" s="35">
        <v>42830.0</v>
      </c>
      <c r="G175" s="35">
        <v>42839.0</v>
      </c>
      <c r="H175" s="30" t="s">
        <v>160</v>
      </c>
      <c r="I175" s="30" t="s">
        <v>92</v>
      </c>
      <c r="J175" s="30" t="s">
        <v>244</v>
      </c>
      <c r="K175" s="168" t="str">
        <f>hyperlink("https://skutracker.sierrawireless.local/projects/3802", "3802")</f>
        <v>3802</v>
      </c>
      <c r="L175" s="168" t="str">
        <f>hyperlink("https://agile.sierrawireless.com/Agile/PLMServlet?action=OpenEmailObject&amp;classid=8000&amp;objid=14096368", "TDN-012006")</f>
        <v>TDN-012006</v>
      </c>
      <c r="M175" s="30" t="s">
        <v>7099</v>
      </c>
      <c r="N175" s="30" t="s">
        <v>7417</v>
      </c>
    </row>
    <row r="176">
      <c r="A176" s="168" t="str">
        <f>hyperlink("https://issues.sierrawireless.com/browse/OEMPRI-2976", "OEMPRI-2976")</f>
        <v>OEMPRI-2976</v>
      </c>
      <c r="B176" s="30" t="b">
        <v>1</v>
      </c>
      <c r="C176" s="30">
        <v>1103223.0</v>
      </c>
      <c r="D176" s="191">
        <v>9906693.0</v>
      </c>
      <c r="E176" s="30" t="s">
        <v>139</v>
      </c>
      <c r="F176" s="35">
        <v>42830.0</v>
      </c>
      <c r="G176" s="35">
        <v>42837.0</v>
      </c>
      <c r="H176" s="30" t="s">
        <v>160</v>
      </c>
      <c r="I176" s="30" t="s">
        <v>92</v>
      </c>
      <c r="J176" s="30" t="s">
        <v>244</v>
      </c>
      <c r="K176" s="168" t="str">
        <f>hyperlink("https://skutracker.sierrawireless.local/projects/3803", "3803")</f>
        <v>3803</v>
      </c>
      <c r="L176" s="168" t="str">
        <f>hyperlink("https://agile.sierrawireless.com/Agile/PLMServlet?action=OpenEmailObject&amp;classid=8000&amp;objid=11782790", "TDN-011786")</f>
        <v>TDN-011786</v>
      </c>
      <c r="M176" s="30" t="s">
        <v>7066</v>
      </c>
      <c r="N176" s="30" t="s">
        <v>7418</v>
      </c>
    </row>
    <row r="177">
      <c r="A177" s="168" t="str">
        <f>hyperlink("https://issues.sierrawireless.com/browse/OEMPRI-2984", "OEMPRI-2984")</f>
        <v>OEMPRI-2984</v>
      </c>
      <c r="B177" s="30" t="b">
        <v>1</v>
      </c>
      <c r="C177" s="30">
        <v>1103362.0</v>
      </c>
      <c r="D177" s="191">
        <v>1103362.0</v>
      </c>
      <c r="E177" s="30" t="s">
        <v>139</v>
      </c>
      <c r="F177" s="35">
        <v>42830.0</v>
      </c>
      <c r="G177" s="35">
        <v>42839.0</v>
      </c>
      <c r="H177" s="30" t="s">
        <v>160</v>
      </c>
      <c r="I177" s="30" t="s">
        <v>92</v>
      </c>
      <c r="J177" s="30" t="s">
        <v>244</v>
      </c>
      <c r="K177" s="168" t="str">
        <f>hyperlink("https://skutracker.sierrawireless.local/projects/3804", "3804")</f>
        <v>3804</v>
      </c>
      <c r="L177" s="168" t="str">
        <f>hyperlink("https://agile.sierrawireless.com/Agile/PLMServlet?action=OpenEmailObject&amp;classid=8000&amp;objid=11782795", "TDN-011787")</f>
        <v>TDN-011787</v>
      </c>
      <c r="M177" s="30" t="s">
        <v>7393</v>
      </c>
      <c r="N177" s="30" t="s">
        <v>7418</v>
      </c>
    </row>
    <row r="178">
      <c r="A178" s="168" t="str">
        <f>hyperlink("https://issues.sierrawireless.com/browse/OEMPRI-2979", "OEMPRI-2979")</f>
        <v>OEMPRI-2979</v>
      </c>
      <c r="B178" s="30" t="b">
        <v>1</v>
      </c>
      <c r="C178" s="30">
        <v>1103370.0</v>
      </c>
      <c r="D178" s="191">
        <v>9906985.0</v>
      </c>
      <c r="E178" s="30" t="s">
        <v>139</v>
      </c>
      <c r="F178" s="35">
        <v>42830.0</v>
      </c>
      <c r="G178" s="35">
        <v>42837.0</v>
      </c>
      <c r="H178" s="30" t="s">
        <v>160</v>
      </c>
      <c r="I178" s="30" t="s">
        <v>140</v>
      </c>
      <c r="J178" s="30" t="s">
        <v>244</v>
      </c>
      <c r="K178" s="168" t="str">
        <f>hyperlink("https://skutracker.sierrawireless.local/projects/3805", "3805")</f>
        <v>3805</v>
      </c>
      <c r="L178" s="168" t="str">
        <f>hyperlink("https://agile.sierrawireless.com/Agile/PLMServlet?action=OpenEmailObject&amp;classid=0&amp;objid=-1", "TDN-011788")</f>
        <v>TDN-011788</v>
      </c>
      <c r="M178" s="30" t="s">
        <v>7053</v>
      </c>
      <c r="N178" s="30" t="s">
        <v>7418</v>
      </c>
    </row>
    <row r="179">
      <c r="A179" s="168" t="str">
        <f>hyperlink("https://issues.sierrawireless.com/browse/OEMPRI-2973", "OEMPRI-2973")</f>
        <v>OEMPRI-2973</v>
      </c>
      <c r="B179" s="30" t="b">
        <v>1</v>
      </c>
      <c r="C179" s="30">
        <v>1103358.0</v>
      </c>
      <c r="D179" s="191">
        <v>9906968.0</v>
      </c>
      <c r="E179" s="30" t="s">
        <v>139</v>
      </c>
      <c r="F179" s="35">
        <v>42830.0</v>
      </c>
      <c r="G179" s="35">
        <v>42867.0</v>
      </c>
      <c r="H179" s="30" t="s">
        <v>160</v>
      </c>
      <c r="I179" s="30" t="s">
        <v>92</v>
      </c>
      <c r="J179" s="30" t="s">
        <v>244</v>
      </c>
      <c r="K179" s="168" t="str">
        <f>hyperlink("https://skutracker.sierrawireless.local/projects/3806", "3806")</f>
        <v>3806</v>
      </c>
      <c r="L179" s="168" t="str">
        <f>hyperlink("https://agile.sierrawireless.com/Agile/PLMServlet?action=OpenEmailObject&amp;classid=8000&amp;objid=11782802", "TDN-011789")</f>
        <v>TDN-011789</v>
      </c>
      <c r="M179" s="30" t="s">
        <v>7306</v>
      </c>
      <c r="N179" s="30" t="s">
        <v>7418</v>
      </c>
    </row>
    <row r="180">
      <c r="A180" s="168" t="str">
        <f>hyperlink("https://issues.sierrawireless.com/browse/OEMPRI-3012", "OEMPRI-3012")</f>
        <v>OEMPRI-3012</v>
      </c>
      <c r="B180" s="30" t="b">
        <v>1</v>
      </c>
      <c r="C180" s="30">
        <v>1103494.0</v>
      </c>
      <c r="D180" s="191">
        <v>9907253.0</v>
      </c>
      <c r="E180" s="30" t="s">
        <v>139</v>
      </c>
      <c r="F180" s="35">
        <v>42830.0</v>
      </c>
      <c r="G180" s="35">
        <v>42851.0</v>
      </c>
      <c r="H180" s="30" t="s">
        <v>160</v>
      </c>
      <c r="I180" s="30" t="s">
        <v>92</v>
      </c>
      <c r="J180" s="30" t="s">
        <v>244</v>
      </c>
      <c r="K180" s="168" t="str">
        <f>hyperlink("https://skutracker.sierrawireless.local/projects/3807", "3807")</f>
        <v>3807</v>
      </c>
      <c r="L180" s="168" t="str">
        <f>hyperlink("https://agile.sierrawireless.com/Agile/PLMServlet?action=OpenEmailObject&amp;classid=8000&amp;objid=11907080", "TDN-011790")</f>
        <v>TDN-011790</v>
      </c>
      <c r="M180" s="30" t="s">
        <v>7066</v>
      </c>
      <c r="N180" s="30" t="s">
        <v>7418</v>
      </c>
    </row>
    <row r="181">
      <c r="A181" s="168" t="str">
        <f>hyperlink("https://issues.sierrawireless.com/browse/OEMPRI-2945", "OEMPRI-2945")</f>
        <v>OEMPRI-2945</v>
      </c>
      <c r="B181" s="30" t="b">
        <v>1</v>
      </c>
      <c r="C181" s="30">
        <v>1103173.0</v>
      </c>
      <c r="D181" s="191">
        <v>9906506.0</v>
      </c>
      <c r="E181" s="30" t="s">
        <v>139</v>
      </c>
      <c r="F181" s="35">
        <v>42823.0</v>
      </c>
      <c r="G181" s="35">
        <v>42837.0</v>
      </c>
      <c r="H181" s="30" t="s">
        <v>176</v>
      </c>
      <c r="I181" s="30" t="s">
        <v>92</v>
      </c>
      <c r="J181" s="30" t="s">
        <v>177</v>
      </c>
      <c r="K181" s="168" t="str">
        <f>hyperlink("https://skutracker.sierrawireless.local/projects/3634", "3634")</f>
        <v>3634</v>
      </c>
      <c r="L181" s="168" t="str">
        <f>hyperlink("https://agile.sierrawireless.com/Agile/PLMServlet?action=OpenEmailObject&amp;classid=8000&amp;objid=14144071", "TDN-012011")</f>
        <v>TDN-012011</v>
      </c>
      <c r="M181" s="30" t="s">
        <v>7431</v>
      </c>
      <c r="N181" s="30" t="s">
        <v>7432</v>
      </c>
    </row>
    <row r="182">
      <c r="A182" s="168" t="str">
        <f>hyperlink("https://issues.sierrawireless.com/browse/OEMPRI-2915", "OEMPRI-2915")</f>
        <v>OEMPRI-2915</v>
      </c>
      <c r="B182" s="30" t="b">
        <v>1</v>
      </c>
      <c r="C182" s="30">
        <v>1103148.0</v>
      </c>
      <c r="D182" s="191" t="s">
        <v>7134</v>
      </c>
      <c r="E182" s="30" t="s">
        <v>139</v>
      </c>
      <c r="F182" s="35">
        <v>42817.0</v>
      </c>
      <c r="G182" s="30" t="s">
        <v>92</v>
      </c>
      <c r="H182" s="30" t="s">
        <v>3271</v>
      </c>
      <c r="I182" s="30" t="s">
        <v>283</v>
      </c>
      <c r="J182" s="30" t="s">
        <v>216</v>
      </c>
      <c r="K182" s="168" t="str">
        <f>hyperlink("https://skutracker.sierrawireless.local/projects/2820", "2820")</f>
        <v>2820</v>
      </c>
      <c r="L182" s="168" t="str">
        <f>hyperlink("https://agile.sierrawireless.com/Agile/PLMServlet?action=OpenEmailObject&amp;classid=6000&amp;objid=17100505", "ECO-024659")</f>
        <v>ECO-024659</v>
      </c>
      <c r="M182" s="30" t="s">
        <v>7359</v>
      </c>
    </row>
    <row r="183">
      <c r="A183" s="168" t="str">
        <f>hyperlink("https://issues.sierrawireless.com/browse/OEMPRI-2836", "OEMPRI-2836")</f>
        <v>OEMPRI-2836</v>
      </c>
      <c r="B183" s="30" t="b">
        <v>1</v>
      </c>
      <c r="C183" s="30">
        <v>1103185.0</v>
      </c>
      <c r="D183" s="191">
        <v>9907196.0</v>
      </c>
      <c r="E183" s="30" t="s">
        <v>139</v>
      </c>
      <c r="F183" s="35">
        <v>42807.0</v>
      </c>
      <c r="G183" s="35">
        <v>42818.0</v>
      </c>
      <c r="H183" s="30" t="s">
        <v>2596</v>
      </c>
      <c r="I183" s="30" t="s">
        <v>4728</v>
      </c>
      <c r="J183" s="30" t="s">
        <v>609</v>
      </c>
      <c r="K183" s="168" t="str">
        <f>hyperlink("https://skutracker.sierrawireless.local/projects/3736", "3736")</f>
        <v>3736</v>
      </c>
      <c r="L183" s="168" t="str">
        <f>hyperlink("https://agile.sierrawireless.com/Agile/PLMServlet?action=OpenEmailObject&amp;classid=6000&amp;objid=15847374", "ECO-024474")</f>
        <v>ECO-024474</v>
      </c>
      <c r="M183" s="30" t="s">
        <v>7306</v>
      </c>
      <c r="N183" s="30" t="s">
        <v>7434</v>
      </c>
    </row>
    <row r="184">
      <c r="A184" s="168" t="str">
        <f>hyperlink("https://issues.sierrawireless.com/browse/OEMPRI-2838", "OEMPRI-2838")</f>
        <v>OEMPRI-2838</v>
      </c>
      <c r="B184" s="30" t="b">
        <v>1</v>
      </c>
      <c r="C184" s="30">
        <v>1103484.0</v>
      </c>
      <c r="D184" s="191">
        <v>9907198.0</v>
      </c>
      <c r="E184" s="30" t="s">
        <v>139</v>
      </c>
      <c r="F184" s="35">
        <v>42807.0</v>
      </c>
      <c r="G184" s="35">
        <v>42811.0</v>
      </c>
      <c r="H184" s="30" t="s">
        <v>2596</v>
      </c>
      <c r="I184" s="30" t="s">
        <v>4728</v>
      </c>
      <c r="J184" s="30" t="s">
        <v>609</v>
      </c>
      <c r="K184" s="168" t="str">
        <f>hyperlink("https://skutracker.sierrawireless.local/projects/3737", "3737")</f>
        <v>3737</v>
      </c>
      <c r="L184" s="168" t="str">
        <f>hyperlink("https://agile.sierrawireless.com/Agile/PLMServlet?action=OpenEmailObject&amp;classid=6000&amp;objid=15847365", "ECO-024473")</f>
        <v>ECO-024473</v>
      </c>
      <c r="M184" s="30" t="s">
        <v>7187</v>
      </c>
    </row>
    <row r="185">
      <c r="A185" s="168" t="str">
        <f>hyperlink("https://issues.sierrawireless.com/browse/OEMPRI-2827", "OEMPRI-2827")</f>
        <v>OEMPRI-2827</v>
      </c>
      <c r="B185" s="30" t="b">
        <v>1</v>
      </c>
      <c r="C185" s="30">
        <v>1103368.0</v>
      </c>
      <c r="D185" s="191">
        <v>9906983.0</v>
      </c>
      <c r="E185" s="30" t="s">
        <v>139</v>
      </c>
      <c r="F185" s="35">
        <v>42807.0</v>
      </c>
      <c r="G185" s="35">
        <v>42823.0</v>
      </c>
      <c r="H185" s="30" t="s">
        <v>160</v>
      </c>
      <c r="I185" s="30" t="s">
        <v>92</v>
      </c>
      <c r="J185" s="30" t="s">
        <v>244</v>
      </c>
      <c r="K185" s="168" t="str">
        <f>hyperlink("https://skutracker.sierrawireless.local/projects/3705", "3705")</f>
        <v>3705</v>
      </c>
      <c r="L185" s="168" t="str">
        <f>hyperlink("https://agile.sierrawireless.com/Agile/PLMServlet?action=OpenEmailObject&amp;classid=8000&amp;objid=11458269", "TDN-011661")</f>
        <v>TDN-011661</v>
      </c>
      <c r="M185" s="30" t="s">
        <v>7340</v>
      </c>
      <c r="N185" s="30" t="s">
        <v>7418</v>
      </c>
    </row>
    <row r="186">
      <c r="A186" s="168" t="str">
        <f>hyperlink("https://issues.sierrawireless.com/browse/OEMPRI-2760", "OEMPRI-2760")</f>
        <v>OEMPRI-2760</v>
      </c>
      <c r="B186" s="30" t="b">
        <v>1</v>
      </c>
      <c r="C186" s="30">
        <v>1103049.0</v>
      </c>
      <c r="D186" s="191">
        <v>9906093.0</v>
      </c>
      <c r="E186" s="30" t="s">
        <v>139</v>
      </c>
      <c r="F186" s="35">
        <v>42795.0</v>
      </c>
      <c r="G186" s="35">
        <v>42804.0</v>
      </c>
      <c r="H186" s="30" t="s">
        <v>176</v>
      </c>
      <c r="I186" s="30" t="s">
        <v>92</v>
      </c>
      <c r="J186" s="30" t="s">
        <v>177</v>
      </c>
      <c r="K186" s="168" t="str">
        <f>hyperlink("https://skutracker.sierrawireless.local/projects/3424", "3424")</f>
        <v>3424</v>
      </c>
      <c r="L186" s="168" t="str">
        <f>hyperlink("https://agile.sierrawireless.com/Agile/PLMServlet?action=OpenEmailObject&amp;classid=6000&amp;objid=9884634", "ECO-022406")</f>
        <v>ECO-022406</v>
      </c>
      <c r="M186" s="30" t="s">
        <v>7053</v>
      </c>
      <c r="N186" s="30" t="s">
        <v>7437</v>
      </c>
    </row>
    <row r="187">
      <c r="A187" s="168" t="str">
        <f>hyperlink("https://issues.sierrawireless.com/browse/OEMPRI-2764", "OEMPRI-2764")</f>
        <v>OEMPRI-2764</v>
      </c>
      <c r="B187" s="30" t="b">
        <v>1</v>
      </c>
      <c r="C187" s="30">
        <v>1103102.0</v>
      </c>
      <c r="D187" s="191">
        <v>9906297.0</v>
      </c>
      <c r="E187" s="30" t="s">
        <v>139</v>
      </c>
      <c r="F187" s="35">
        <v>42795.0</v>
      </c>
      <c r="G187" s="35">
        <v>42811.0</v>
      </c>
      <c r="H187" s="30" t="s">
        <v>176</v>
      </c>
      <c r="I187" s="30" t="s">
        <v>92</v>
      </c>
      <c r="J187" s="30" t="s">
        <v>177</v>
      </c>
      <c r="K187" s="168" t="str">
        <f>hyperlink("https://skutracker.sierrawireless.local/projects/3632", "3632")</f>
        <v>3632</v>
      </c>
      <c r="L187" s="168" t="str">
        <f>hyperlink("https://agile.sierrawireless.com/Agile/PLMServlet?action=OpenEmailObject&amp;classid=8000&amp;objid=11339332", "TDN-011609")</f>
        <v>TDN-011609</v>
      </c>
      <c r="M187" s="30" t="s">
        <v>7405</v>
      </c>
      <c r="N187" s="30" t="s">
        <v>7439</v>
      </c>
    </row>
    <row r="188">
      <c r="A188" s="168" t="str">
        <f>hyperlink("https://issues.sierrawireless.com/browse/OEMPRI-2769", "OEMPRI-2769")</f>
        <v>OEMPRI-2769</v>
      </c>
      <c r="B188" s="30" t="b">
        <v>1</v>
      </c>
      <c r="C188" s="30">
        <v>1103097.0</v>
      </c>
      <c r="D188" s="191">
        <v>9906295.0</v>
      </c>
      <c r="E188" s="30" t="s">
        <v>139</v>
      </c>
      <c r="F188" s="35">
        <v>42795.0</v>
      </c>
      <c r="G188" s="35">
        <v>42804.0</v>
      </c>
      <c r="H188" s="30" t="s">
        <v>176</v>
      </c>
      <c r="I188" s="30" t="s">
        <v>92</v>
      </c>
      <c r="J188" s="30" t="s">
        <v>177</v>
      </c>
      <c r="K188" s="168" t="str">
        <f>hyperlink("https://skutracker.sierrawireless.local/projects/3636", "3636")</f>
        <v>3636</v>
      </c>
      <c r="L188" s="168" t="str">
        <f>hyperlink("https://agile.sierrawireless.com/Agile/PLMServlet?action=OpenEmailObject&amp;classid=0&amp;objid=-1", "TDN-011659")</f>
        <v>TDN-011659</v>
      </c>
      <c r="M188" s="30" t="s">
        <v>7053</v>
      </c>
      <c r="N188" s="30" t="s">
        <v>7440</v>
      </c>
    </row>
    <row r="189">
      <c r="A189" s="168" t="str">
        <f>hyperlink("https://issues.sierrawireless.com/browse/OEMPRI-2722", "OEMPRI-2722")</f>
        <v>OEMPRI-2722</v>
      </c>
      <c r="B189" s="30" t="b">
        <v>1</v>
      </c>
      <c r="C189" s="30">
        <v>1103041.0</v>
      </c>
      <c r="D189" s="191">
        <v>9906062.0</v>
      </c>
      <c r="E189" s="30" t="s">
        <v>139</v>
      </c>
      <c r="F189" s="35">
        <v>42789.0</v>
      </c>
      <c r="G189" s="35">
        <v>42795.0</v>
      </c>
      <c r="H189" s="30" t="s">
        <v>176</v>
      </c>
      <c r="I189" s="30" t="s">
        <v>92</v>
      </c>
      <c r="J189" s="30" t="s">
        <v>177</v>
      </c>
      <c r="K189" s="168" t="str">
        <f>hyperlink("https://skutracker.sierrawireless.local/projects/3699", "3699")</f>
        <v>3699</v>
      </c>
      <c r="L189" s="168" t="str">
        <f>hyperlink("https://agile.sierrawireless.com/Agile/PLMServlet?action=OpenEmailObject&amp;classid=6000&amp;objid=11713869", "TDN-011639")</f>
        <v>TDN-011639</v>
      </c>
      <c r="M189" s="30" t="s">
        <v>7053</v>
      </c>
      <c r="N189" s="30" t="s">
        <v>7444</v>
      </c>
    </row>
    <row r="190">
      <c r="A190" s="168" t="str">
        <f>hyperlink("https://issues.sierrawireless.com/browse/OEMPRI-2698", "OEMPRI-2698")</f>
        <v>OEMPRI-2698</v>
      </c>
      <c r="B190" s="30" t="b">
        <v>1</v>
      </c>
      <c r="C190" s="30">
        <v>1102756.0</v>
      </c>
      <c r="D190" s="191" t="s">
        <v>7134</v>
      </c>
      <c r="E190" s="30" t="s">
        <v>139</v>
      </c>
      <c r="F190" s="35">
        <v>42783.0</v>
      </c>
      <c r="G190" s="35">
        <v>42794.0</v>
      </c>
      <c r="H190" s="30" t="s">
        <v>2596</v>
      </c>
      <c r="I190" s="30" t="s">
        <v>140</v>
      </c>
      <c r="J190" s="30" t="s">
        <v>5270</v>
      </c>
      <c r="K190" s="168" t="str">
        <f>hyperlink("https://skutracker.sierrawireless.local/projects/3621", "3621")</f>
        <v>3621</v>
      </c>
      <c r="L190" s="168" t="str">
        <f>hyperlink("https://agile.sierrawireless.com/Agile/PLMServlet?action=OpenEmailObject&amp;classid=6000&amp;objid=11757600", "ECO-023753")</f>
        <v>ECO-023753</v>
      </c>
      <c r="M190" s="30" t="s">
        <v>7187</v>
      </c>
      <c r="N190" s="30" t="s">
        <v>7445</v>
      </c>
    </row>
    <row r="191">
      <c r="A191" s="168" t="str">
        <f>hyperlink("https://issues.sierrawireless.com/browse/OEMPRI-2688", "OEMPRI-2688")</f>
        <v>OEMPRI-2688</v>
      </c>
      <c r="B191" s="30" t="b">
        <v>1</v>
      </c>
      <c r="C191" s="30">
        <v>1103040.0</v>
      </c>
      <c r="D191" s="191">
        <v>9906144.0</v>
      </c>
      <c r="E191" s="30" t="s">
        <v>139</v>
      </c>
      <c r="F191" s="35">
        <v>42781.0</v>
      </c>
      <c r="G191" s="35">
        <v>42797.0</v>
      </c>
      <c r="H191" s="30" t="s">
        <v>160</v>
      </c>
      <c r="I191" s="30" t="s">
        <v>4728</v>
      </c>
      <c r="J191" s="30" t="s">
        <v>244</v>
      </c>
      <c r="K191" s="168" t="str">
        <f>hyperlink("https://skutracker.sierrawireless.local/projects/2360", "2360")</f>
        <v>2360</v>
      </c>
      <c r="L191" s="168" t="str">
        <f>hyperlink("https://agile.sierrawireless.com/Agile/PLMServlet?action=OpenEmailObject&amp;classid=6000&amp;objid=11467066", "ECO-023514")</f>
        <v>ECO-023514</v>
      </c>
      <c r="M191" s="30" t="s">
        <v>7053</v>
      </c>
      <c r="N191" s="30" t="s">
        <v>7446</v>
      </c>
    </row>
    <row r="192">
      <c r="A192" s="168" t="str">
        <f>hyperlink("https://issues.sierrawireless.com/browse/OEMPRI-2685", "OEMPRI-2685")</f>
        <v>OEMPRI-2685</v>
      </c>
      <c r="B192" s="30" t="b">
        <v>1</v>
      </c>
      <c r="C192" s="30">
        <v>1103360.0</v>
      </c>
      <c r="D192" s="191">
        <v>9906969.0</v>
      </c>
      <c r="E192" s="30" t="s">
        <v>139</v>
      </c>
      <c r="F192" s="35">
        <v>42781.0</v>
      </c>
      <c r="G192" s="35">
        <v>42811.0</v>
      </c>
      <c r="H192" s="30" t="s">
        <v>160</v>
      </c>
      <c r="I192" s="30" t="s">
        <v>140</v>
      </c>
      <c r="J192" s="30" t="s">
        <v>244</v>
      </c>
      <c r="K192" s="168" t="str">
        <f>hyperlink("https://skutracker.sierrawireless.local/projects/3461", "3461")</f>
        <v>3461</v>
      </c>
      <c r="L192" s="168" t="str">
        <f>hyperlink("https://agile.sierrawireless.com/Agile/PLMServlet?action=OpenEmailObject&amp;classid=8000&amp;objid=11027435", "TDN-011491")</f>
        <v>TDN-011491</v>
      </c>
      <c r="M192" s="30" t="s">
        <v>7306</v>
      </c>
      <c r="N192" s="30" t="s">
        <v>7446</v>
      </c>
    </row>
    <row r="193">
      <c r="A193" s="168" t="str">
        <f>hyperlink("https://issues.sierrawireless.com/browse/OEMPRI-2679", "OEMPRI-2679")</f>
        <v>OEMPRI-2679</v>
      </c>
      <c r="B193" s="30" t="b">
        <v>1</v>
      </c>
      <c r="C193" s="30">
        <v>1103361.0</v>
      </c>
      <c r="D193" s="191">
        <v>9906970.0</v>
      </c>
      <c r="E193" s="30" t="s">
        <v>139</v>
      </c>
      <c r="F193" s="35">
        <v>42781.0</v>
      </c>
      <c r="G193" s="35">
        <v>42797.0</v>
      </c>
      <c r="H193" s="30" t="s">
        <v>160</v>
      </c>
      <c r="I193" s="30" t="s">
        <v>140</v>
      </c>
      <c r="J193" s="30" t="s">
        <v>244</v>
      </c>
      <c r="K193" s="168" t="str">
        <f>hyperlink("https://skutracker.sierrawireless.local/projects/3462", "3462")</f>
        <v>3462</v>
      </c>
      <c r="L193" s="168" t="str">
        <f>hyperlink("https://agile.sierrawireless.com/Agile/PLMServlet?action=OpenEmailObject&amp;classid=8000&amp;objid=11060622", "TDN-011508")</f>
        <v>TDN-011508</v>
      </c>
      <c r="M193" s="30" t="s">
        <v>7306</v>
      </c>
      <c r="N193" s="30" t="s">
        <v>7446</v>
      </c>
    </row>
    <row r="194">
      <c r="A194" s="168" t="str">
        <f>hyperlink("https://issues.sierrawireless.com/browse/OEMPRI-2682", "OEMPRI-2682")</f>
        <v>OEMPRI-2682</v>
      </c>
      <c r="B194" s="30" t="b">
        <v>1</v>
      </c>
      <c r="C194" s="30">
        <v>1103367.0</v>
      </c>
      <c r="D194" s="191">
        <v>9906982.0</v>
      </c>
      <c r="E194" s="30" t="s">
        <v>139</v>
      </c>
      <c r="F194" s="35">
        <v>42781.0</v>
      </c>
      <c r="G194" s="35">
        <v>42800.0</v>
      </c>
      <c r="H194" s="30" t="s">
        <v>160</v>
      </c>
      <c r="I194" s="30" t="s">
        <v>92</v>
      </c>
      <c r="J194" s="30" t="s">
        <v>244</v>
      </c>
      <c r="K194" s="168" t="str">
        <f>hyperlink("https://skutracker.sierrawireless.local/projects/3465", "3465")</f>
        <v>3465</v>
      </c>
      <c r="L194" s="168" t="str">
        <f>hyperlink("https://agile.sierrawireless.com/Agile/PLMServlet?action=OpenEmailObject&amp;classid=8000&amp;objid=10916521", "TDN-011445")</f>
        <v>TDN-011445</v>
      </c>
      <c r="M194" s="30" t="s">
        <v>7066</v>
      </c>
      <c r="N194" s="30" t="s">
        <v>7446</v>
      </c>
    </row>
    <row r="195">
      <c r="A195" s="168" t="str">
        <f>hyperlink("https://issues.sierrawireless.com/browse/OEMPRI-2619", "OEMPRI-2619")</f>
        <v>OEMPRI-2619</v>
      </c>
      <c r="B195" s="30" t="b">
        <v>1</v>
      </c>
      <c r="C195" s="30">
        <v>1103049.0</v>
      </c>
      <c r="D195" s="191">
        <v>9906093.0</v>
      </c>
      <c r="E195" s="30" t="s">
        <v>139</v>
      </c>
      <c r="F195" s="35">
        <v>42776.0</v>
      </c>
      <c r="G195" s="35">
        <v>42780.0</v>
      </c>
      <c r="H195" s="30" t="s">
        <v>176</v>
      </c>
      <c r="I195" s="30" t="s">
        <v>4728</v>
      </c>
      <c r="J195" s="30" t="s">
        <v>177</v>
      </c>
      <c r="K195" s="168" t="str">
        <f>hyperlink("https://skutracker.sierrawireless.local/projects/3566", "3566")</f>
        <v>3566</v>
      </c>
      <c r="L195" s="168" t="str">
        <f>hyperlink("https://agile.sierrawireless.com/Agile/PLMServlet?action=OpenEmailObject&amp;classid=8000&amp;objid=11103289", "TDN-011519")</f>
        <v>TDN-011519</v>
      </c>
      <c r="M195" s="30" t="s">
        <v>7431</v>
      </c>
      <c r="N195" s="30" t="s">
        <v>7448</v>
      </c>
    </row>
    <row r="196">
      <c r="A196" s="168" t="str">
        <f>hyperlink("https://issues.sierrawireless.com/browse/OEMPRI-2597", "OEMPRI-2597")</f>
        <v>OEMPRI-2597</v>
      </c>
      <c r="B196" s="30" t="b">
        <v>1</v>
      </c>
      <c r="C196" s="30">
        <v>1103151.0</v>
      </c>
      <c r="D196" s="191">
        <v>9906435.0</v>
      </c>
      <c r="E196" s="30" t="s">
        <v>139</v>
      </c>
      <c r="F196" s="35">
        <v>42774.0</v>
      </c>
      <c r="G196" s="35">
        <v>42789.0</v>
      </c>
      <c r="H196" s="30" t="s">
        <v>160</v>
      </c>
      <c r="I196" s="30" t="s">
        <v>140</v>
      </c>
      <c r="J196" s="30" t="s">
        <v>244</v>
      </c>
      <c r="K196" s="168" t="str">
        <f>hyperlink("https://skutracker.sierrawireless.local/projects/3464", "3464")</f>
        <v>3464</v>
      </c>
      <c r="L196" s="168" t="str">
        <f>hyperlink("https://agile.sierrawireless.com/Agile/PLMServlet?action=OpenEmailObject&amp;classid=8000&amp;objid=10915402", "TDN-011444")</f>
        <v>TDN-011444</v>
      </c>
      <c r="M196" s="30" t="s">
        <v>7066</v>
      </c>
      <c r="N196" s="30" t="s">
        <v>7446</v>
      </c>
    </row>
    <row r="197">
      <c r="A197" s="168" t="str">
        <f>hyperlink("https://issues.sierrawireless.com/browse/OEMPRI-2600", "OEMPRI-2600")</f>
        <v>OEMPRI-2600</v>
      </c>
      <c r="B197" s="30" t="b">
        <v>1</v>
      </c>
      <c r="C197" s="30">
        <v>1103372.0</v>
      </c>
      <c r="D197" s="191">
        <v>9906987.0</v>
      </c>
      <c r="E197" s="30" t="s">
        <v>139</v>
      </c>
      <c r="F197" s="35">
        <v>42774.0</v>
      </c>
      <c r="G197" s="35">
        <v>42789.0</v>
      </c>
      <c r="H197" s="30" t="s">
        <v>160</v>
      </c>
      <c r="I197" s="30" t="s">
        <v>140</v>
      </c>
      <c r="J197" s="30" t="s">
        <v>244</v>
      </c>
      <c r="K197" s="168" t="str">
        <f>hyperlink("https://skutracker.sierrawireless.local/projects/3482", "3482")</f>
        <v>3482</v>
      </c>
      <c r="L197" s="168" t="str">
        <f>hyperlink("https://agile.sierrawireless.com/Agile/PLMServlet?action=OpenEmailObject&amp;classid=8000&amp;objid=10948579", "TDN-011456")</f>
        <v>TDN-011456</v>
      </c>
      <c r="M197" s="30" t="s">
        <v>7053</v>
      </c>
      <c r="N197" s="30" t="s">
        <v>7446</v>
      </c>
    </row>
    <row r="198">
      <c r="A198" s="168" t="str">
        <f>hyperlink("https://issues.sierrawireless.com/browse/OEMPRI-2603", "OEMPRI-2603")</f>
        <v>OEMPRI-2603</v>
      </c>
      <c r="B198" s="30" t="b">
        <v>1</v>
      </c>
      <c r="C198" s="30">
        <v>1103379.0</v>
      </c>
      <c r="D198" s="191">
        <v>9907000.0</v>
      </c>
      <c r="E198" s="30" t="s">
        <v>139</v>
      </c>
      <c r="F198" s="35">
        <v>42774.0</v>
      </c>
      <c r="G198" s="35">
        <v>42787.0</v>
      </c>
      <c r="H198" s="30" t="s">
        <v>160</v>
      </c>
      <c r="I198" s="30" t="s">
        <v>140</v>
      </c>
      <c r="J198" s="30" t="s">
        <v>244</v>
      </c>
      <c r="K198" s="168" t="str">
        <f>hyperlink("https://skutracker.sierrawireless.local/projects/3508", "3508")</f>
        <v>3508</v>
      </c>
      <c r="L198" s="168" t="str">
        <f>hyperlink("https://agile.sierrawireless.com/Agile/PLMServlet?action=OpenEmailObject&amp;classid=8000&amp;objid=11035703", "TDN-011493")</f>
        <v>TDN-011493</v>
      </c>
      <c r="M198" s="30" t="s">
        <v>7306</v>
      </c>
      <c r="N198" s="30" t="s">
        <v>7446</v>
      </c>
    </row>
    <row r="199">
      <c r="A199" s="168" t="str">
        <f>hyperlink("https://issues.sierrawireless.com/browse/OEMPRI-2585", "OEMPRI-2585")</f>
        <v>OEMPRI-2585</v>
      </c>
      <c r="B199" s="30" t="b">
        <v>1</v>
      </c>
      <c r="C199" s="30">
        <v>1103378.0</v>
      </c>
      <c r="D199" s="191">
        <v>9906998.0</v>
      </c>
      <c r="E199" s="30" t="s">
        <v>139</v>
      </c>
      <c r="F199" s="35">
        <v>42773.0</v>
      </c>
      <c r="G199" s="35">
        <v>42788.0</v>
      </c>
      <c r="H199" s="30" t="s">
        <v>160</v>
      </c>
      <c r="I199" s="30" t="s">
        <v>140</v>
      </c>
      <c r="J199" s="30" t="s">
        <v>244</v>
      </c>
      <c r="K199" s="168" t="str">
        <f>hyperlink("https://skutracker.sierrawireless.local/projects/3507", "3507")</f>
        <v>3507</v>
      </c>
      <c r="L199" s="168" t="str">
        <f>hyperlink("https://agile.sierrawireless.com/Agile/PLMServlet?action=OpenEmailObject&amp;classid=8000&amp;objid=11310868", "TDN-011603")</f>
        <v>TDN-011603</v>
      </c>
      <c r="M199" s="30" t="s">
        <v>7306</v>
      </c>
      <c r="N199" s="30" t="s">
        <v>7446</v>
      </c>
    </row>
    <row r="200">
      <c r="A200" s="168" t="str">
        <f>hyperlink("https://issues.sierrawireless.com/browse/OEMPRI-2582", "OEMPRI-2582")</f>
        <v>OEMPRI-2582</v>
      </c>
      <c r="B200" s="30" t="b">
        <v>1</v>
      </c>
      <c r="C200" s="30">
        <v>1103419.0</v>
      </c>
      <c r="D200" s="191">
        <v>9907059.0</v>
      </c>
      <c r="E200" s="30" t="s">
        <v>139</v>
      </c>
      <c r="F200" s="35">
        <v>42773.0</v>
      </c>
      <c r="G200" s="35">
        <v>42779.0</v>
      </c>
      <c r="H200" s="30" t="s">
        <v>160</v>
      </c>
      <c r="I200" s="30" t="s">
        <v>4728</v>
      </c>
      <c r="J200" s="30" t="s">
        <v>244</v>
      </c>
      <c r="K200" s="168" t="str">
        <f>hyperlink("https://skutracker.sierrawireless.local/projects/3579", "3579")</f>
        <v>3579</v>
      </c>
      <c r="L200" s="168" t="str">
        <f>hyperlink("https://agile.sierrawireless.com/Agile/PLMServlet?action=OpenEmailObject&amp;classid=0&amp;objid=-1", "TDN-011546")</f>
        <v>TDN-011546</v>
      </c>
      <c r="M200" s="30" t="s">
        <v>7431</v>
      </c>
      <c r="N200" s="30" t="s">
        <v>7452</v>
      </c>
    </row>
    <row r="201">
      <c r="A201" s="168" t="str">
        <f>hyperlink("https://issues.sierrawireless.com/browse/OEMPRI-2513", "OEMPRI-2513")</f>
        <v>OEMPRI-2513</v>
      </c>
      <c r="B201" s="30" t="b">
        <v>1</v>
      </c>
      <c r="C201" s="30">
        <v>1103039.0</v>
      </c>
      <c r="D201" s="191">
        <v>9906058.0</v>
      </c>
      <c r="E201" s="30" t="s">
        <v>139</v>
      </c>
      <c r="F201" s="35">
        <v>42758.0</v>
      </c>
      <c r="G201" s="35">
        <v>42758.0</v>
      </c>
      <c r="H201" s="30" t="s">
        <v>160</v>
      </c>
      <c r="I201" s="30" t="s">
        <v>140</v>
      </c>
      <c r="J201" s="30" t="s">
        <v>244</v>
      </c>
      <c r="K201" s="168" t="str">
        <f>hyperlink("https://skutracker.sierrawireless.local/projects/3357", "3357")</f>
        <v>3357</v>
      </c>
      <c r="L201" s="168" t="str">
        <f>hyperlink("https://agile.sierrawireless.com/Agile/PLMServlet?action=OpenEmailObject&amp;classid=8000&amp;objid=10962807", "TDN-011460")</f>
        <v>TDN-011460</v>
      </c>
      <c r="M201" s="30" t="s">
        <v>7053</v>
      </c>
      <c r="N201" s="30" t="s">
        <v>7455</v>
      </c>
    </row>
    <row r="202">
      <c r="A202" s="168" t="str">
        <f>hyperlink("https://issues.sierrawireless.com/browse/OEMPRI-2401", "OEMPRI-2401")</f>
        <v>OEMPRI-2401</v>
      </c>
      <c r="B202" s="30" t="b">
        <v>1</v>
      </c>
      <c r="C202" s="30">
        <v>1103362.0</v>
      </c>
      <c r="D202" s="191">
        <v>9906977.0</v>
      </c>
      <c r="E202" s="30" t="s">
        <v>139</v>
      </c>
      <c r="F202" s="35">
        <v>42739.0</v>
      </c>
      <c r="G202" s="35">
        <v>42746.0</v>
      </c>
      <c r="H202" s="30" t="s">
        <v>160</v>
      </c>
      <c r="I202" s="30" t="s">
        <v>140</v>
      </c>
      <c r="J202" s="30" t="s">
        <v>244</v>
      </c>
      <c r="K202" s="168" t="str">
        <f>hyperlink("https://skutracker.sierrawireless.local/projects/3467", "3467")</f>
        <v>3467</v>
      </c>
      <c r="L202" s="168" t="str">
        <f>hyperlink("https://agile.sierrawireless.com/Agile/PLMServlet?action=OpenEmailObject&amp;classid=8000&amp;objid=11414536", "TDN-011641")</f>
        <v>TDN-011641</v>
      </c>
      <c r="M202" s="30" t="s">
        <v>7393</v>
      </c>
      <c r="N202" s="30" t="s">
        <v>7456</v>
      </c>
    </row>
    <row r="203">
      <c r="A203" s="168" t="str">
        <f>hyperlink("https://issues.sierrawireless.com/browse/OEMPRI-2391", "OEMPRI-2391")</f>
        <v>OEMPRI-2391</v>
      </c>
      <c r="B203" s="30" t="b">
        <v>1</v>
      </c>
      <c r="C203" s="30">
        <v>1103363.0</v>
      </c>
      <c r="D203" s="191">
        <v>9906978.0</v>
      </c>
      <c r="E203" s="30" t="s">
        <v>139</v>
      </c>
      <c r="F203" s="35">
        <v>42739.0</v>
      </c>
      <c r="G203" s="35">
        <v>42743.0</v>
      </c>
      <c r="H203" s="30" t="s">
        <v>160</v>
      </c>
      <c r="I203" s="30" t="s">
        <v>4728</v>
      </c>
      <c r="J203" s="30" t="s">
        <v>244</v>
      </c>
      <c r="K203" s="168" t="str">
        <f>hyperlink("https://skutracker.sierrawireless.local/projects/3468", "3468")</f>
        <v>3468</v>
      </c>
      <c r="L203" s="168" t="str">
        <f>hyperlink("https://agile.sierrawireless.com/Agile/PLMServlet?action=OpenEmailObject&amp;classid=0&amp;objid=-1", "TDN-011458")</f>
        <v>TDN-011458</v>
      </c>
      <c r="M203" s="30" t="s">
        <v>7457</v>
      </c>
      <c r="N203" s="30" t="s">
        <v>7452</v>
      </c>
    </row>
    <row r="204">
      <c r="A204" s="168" t="str">
        <f>hyperlink("https://issues.sierrawireless.com/browse/OEMPRI-2395", "OEMPRI-2395")</f>
        <v>OEMPRI-2395</v>
      </c>
      <c r="B204" s="30" t="b">
        <v>1</v>
      </c>
      <c r="C204" s="30">
        <v>1103371.0</v>
      </c>
      <c r="D204" s="191">
        <v>9906986.0</v>
      </c>
      <c r="E204" s="30" t="s">
        <v>139</v>
      </c>
      <c r="F204" s="35">
        <v>42739.0</v>
      </c>
      <c r="G204" s="35">
        <v>42744.0</v>
      </c>
      <c r="H204" s="30" t="s">
        <v>160</v>
      </c>
      <c r="I204" s="30" t="s">
        <v>4728</v>
      </c>
      <c r="J204" s="30" t="s">
        <v>244</v>
      </c>
      <c r="K204" s="168" t="str">
        <f>hyperlink("https://skutracker.sierrawireless.local/projects/3477", "3477")</f>
        <v>3477</v>
      </c>
      <c r="L204" s="168" t="str">
        <f>hyperlink("https://agile.sierrawireless.com/Agile/PLMServlet?action=OpenEmailObject&amp;classid=8000&amp;objid=11476997", "TDN-011669")</f>
        <v>TDN-011669</v>
      </c>
      <c r="M204" s="30" t="s">
        <v>7458</v>
      </c>
      <c r="N204" s="30" t="s">
        <v>7456</v>
      </c>
    </row>
    <row r="205">
      <c r="A205" s="168" t="str">
        <f>hyperlink("https://issues.sierrawireless.com/browse/OEMPRI-2398", "OEMPRI-2398")</f>
        <v>OEMPRI-2398</v>
      </c>
      <c r="B205" s="30" t="b">
        <v>1</v>
      </c>
      <c r="C205" s="30">
        <v>1103370.0</v>
      </c>
      <c r="D205" s="191">
        <v>9906985.0</v>
      </c>
      <c r="E205" s="30" t="s">
        <v>139</v>
      </c>
      <c r="F205" s="35">
        <v>42739.0</v>
      </c>
      <c r="G205" s="35">
        <v>42744.0</v>
      </c>
      <c r="H205" s="30" t="s">
        <v>160</v>
      </c>
      <c r="I205" s="30" t="s">
        <v>4728</v>
      </c>
      <c r="J205" s="30" t="s">
        <v>244</v>
      </c>
      <c r="K205" s="168" t="str">
        <f>hyperlink("https://skutracker.sierrawireless.local/projects/3480", "3480")</f>
        <v>3480</v>
      </c>
      <c r="L205" s="168" t="str">
        <f>hyperlink("https://agile.sierrawireless.com/Agile/PLMServlet?action=OpenEmailObject&amp;classid=0&amp;objid=-1", "TDN-011454")</f>
        <v>TDN-011454</v>
      </c>
      <c r="M205" s="30" t="s">
        <v>7053</v>
      </c>
      <c r="N205" s="30" t="s">
        <v>7452</v>
      </c>
    </row>
    <row r="206">
      <c r="A206" s="168" t="str">
        <f>hyperlink("https://issues.sierrawireless.com/browse/OEMPRI-2404", "OEMPRI-2404")</f>
        <v>OEMPRI-2404</v>
      </c>
      <c r="B206" s="30" t="b">
        <v>1</v>
      </c>
      <c r="C206" s="30">
        <v>1103369.0</v>
      </c>
      <c r="D206" s="191">
        <v>9906984.0</v>
      </c>
      <c r="E206" s="30" t="s">
        <v>139</v>
      </c>
      <c r="F206" s="35">
        <v>42739.0</v>
      </c>
      <c r="G206" s="35">
        <v>42746.0</v>
      </c>
      <c r="H206" s="30" t="s">
        <v>160</v>
      </c>
      <c r="I206" s="30" t="s">
        <v>4728</v>
      </c>
      <c r="J206" s="30" t="s">
        <v>244</v>
      </c>
      <c r="K206" s="168" t="str">
        <f>hyperlink("https://skutracker.sierrawireless.local/projects/3481", "3481")</f>
        <v>3481</v>
      </c>
      <c r="L206" s="168" t="str">
        <f>hyperlink("https://agile.sierrawireless.com/Agile/PLMServlet?action=OpenEmailObject&amp;classid=8000&amp;objid=10948572", "TDN-011455")</f>
        <v>TDN-011455</v>
      </c>
      <c r="M206" s="30" t="s">
        <v>7053</v>
      </c>
      <c r="N206" s="30" t="s">
        <v>7456</v>
      </c>
    </row>
    <row r="207">
      <c r="A207" s="168" t="str">
        <f>hyperlink("https://issues.sierrawireless.com/browse/OEMPRI-2360", "OEMPRI-2360")</f>
        <v>OEMPRI-2360</v>
      </c>
      <c r="B207" s="30" t="b">
        <v>1</v>
      </c>
      <c r="C207" s="30">
        <v>1103049.0</v>
      </c>
      <c r="D207" s="191">
        <v>9906093.0</v>
      </c>
      <c r="E207" s="30" t="s">
        <v>139</v>
      </c>
      <c r="F207" s="43">
        <v>42733.0</v>
      </c>
      <c r="G207" s="43">
        <v>42727.0</v>
      </c>
      <c r="H207" s="30" t="s">
        <v>176</v>
      </c>
      <c r="I207" s="30" t="s">
        <v>4728</v>
      </c>
      <c r="J207" s="30" t="s">
        <v>177</v>
      </c>
      <c r="K207" s="168" t="str">
        <f>hyperlink("https://skutracker.sierrawireless.local/projects/3192", "3192")</f>
        <v>3192</v>
      </c>
      <c r="L207" s="168" t="str">
        <f>hyperlink("https://agile.sierrawireless.com/Agile/PLMServlet?action=OpenEmailObject&amp;classid=8000&amp;objid=10846272", "TDN-011414")</f>
        <v>TDN-011414</v>
      </c>
      <c r="M207" s="30" t="s">
        <v>7053</v>
      </c>
      <c r="N207" s="30" t="s">
        <v>7448</v>
      </c>
    </row>
    <row r="208">
      <c r="A208" s="168" t="str">
        <f>hyperlink("https://issues.sierrawireless.com/browse/OEMPRI-2334", "OEMPRI-2334")</f>
        <v>OEMPRI-2334</v>
      </c>
      <c r="B208" s="30" t="b">
        <v>1</v>
      </c>
      <c r="C208" s="30">
        <v>1103359.0</v>
      </c>
      <c r="D208" s="191">
        <v>9906968.0</v>
      </c>
      <c r="E208" s="30" t="s">
        <v>139</v>
      </c>
      <c r="F208" s="43">
        <v>42727.0</v>
      </c>
      <c r="G208" s="43">
        <v>42734.0</v>
      </c>
      <c r="H208" s="30" t="s">
        <v>160</v>
      </c>
      <c r="I208" s="30" t="s">
        <v>4728</v>
      </c>
      <c r="J208" s="30" t="s">
        <v>244</v>
      </c>
      <c r="K208" s="168" t="str">
        <f>hyperlink("https://skutracker.sierrawireless.local/projects/3460", "3460")</f>
        <v>3460</v>
      </c>
      <c r="L208" s="168" t="str">
        <f>hyperlink("https://agile.sierrawireless.com/Agile/PLMServlet?action=OpenEmailObject&amp;classid=8000&amp;objid=10897980", "TDN-011433")</f>
        <v>TDN-011433</v>
      </c>
      <c r="M208" s="30" t="s">
        <v>7306</v>
      </c>
      <c r="N208" s="30" t="s">
        <v>7452</v>
      </c>
    </row>
    <row r="209">
      <c r="A209" s="168" t="str">
        <f>hyperlink("https://issues.sierrawireless.com/browse/OEMPRI-2337", "OEMPRI-2337")</f>
        <v>OEMPRI-2337</v>
      </c>
      <c r="B209" s="30" t="b">
        <v>1</v>
      </c>
      <c r="C209" s="30">
        <v>1103223.0</v>
      </c>
      <c r="D209" s="191">
        <v>9906693.0</v>
      </c>
      <c r="E209" s="30" t="s">
        <v>139</v>
      </c>
      <c r="F209" s="43">
        <v>42727.0</v>
      </c>
      <c r="G209" s="35">
        <v>42739.0</v>
      </c>
      <c r="H209" s="30" t="s">
        <v>160</v>
      </c>
      <c r="I209" s="30" t="s">
        <v>4728</v>
      </c>
      <c r="J209" s="30" t="s">
        <v>244</v>
      </c>
      <c r="K209" s="168" t="str">
        <f>hyperlink("https://skutracker.sierrawireless.local/projects/3463", "3463")</f>
        <v>3463</v>
      </c>
      <c r="L209" s="168" t="str">
        <f>hyperlink("https://agile.sierrawireless.com/Agile/PLMServlet?action=OpenEmailObject&amp;classid=8000&amp;objid=10906716", "TDN-011436")</f>
        <v>TDN-011436</v>
      </c>
      <c r="M209" s="30" t="s">
        <v>7066</v>
      </c>
      <c r="N209" s="30" t="s">
        <v>7452</v>
      </c>
    </row>
    <row r="210">
      <c r="A210" s="168" t="str">
        <f>hyperlink("https://issues.sierrawireless.com/browse/OEMPRI-2235", "OEMPRI-2235")</f>
        <v>OEMPRI-2235</v>
      </c>
      <c r="B210" s="30" t="b">
        <v>1</v>
      </c>
      <c r="C210" s="30">
        <v>1102804.0</v>
      </c>
      <c r="D210" s="191">
        <v>9906060.0</v>
      </c>
      <c r="E210" s="30" t="s">
        <v>139</v>
      </c>
      <c r="F210" s="35">
        <v>42710.0</v>
      </c>
      <c r="G210" s="43">
        <v>42727.0</v>
      </c>
      <c r="H210" s="30" t="s">
        <v>176</v>
      </c>
      <c r="I210" s="30" t="s">
        <v>4728</v>
      </c>
      <c r="J210" s="30" t="s">
        <v>177</v>
      </c>
      <c r="K210" s="168" t="str">
        <f>hyperlink("https://skutracker.sierrawireless.local/projects/3283", "3283")</f>
        <v>3283</v>
      </c>
      <c r="L210" s="168" t="str">
        <f>hyperlink("https://agile.sierrawireless.com/Agile/PLMServlet?action=OpenEmailObject&amp;classid=8000&amp;objid=10895218", "TDN-011429")</f>
        <v>TDN-011429</v>
      </c>
      <c r="M210" s="30" t="s">
        <v>7053</v>
      </c>
      <c r="N210" s="30" t="s">
        <v>7448</v>
      </c>
    </row>
    <row r="211">
      <c r="A211" s="168" t="str">
        <f>hyperlink("https://issues.sierrawireless.com/browse/OEMPRI-2203", "OEMPRI-2203")</f>
        <v>OEMPRI-2203</v>
      </c>
      <c r="B211" s="30" t="b">
        <v>1</v>
      </c>
      <c r="C211" s="30">
        <v>1103040.0</v>
      </c>
      <c r="D211" s="191">
        <v>9906144.0</v>
      </c>
      <c r="E211" s="30" t="s">
        <v>139</v>
      </c>
      <c r="F211" s="35">
        <v>42706.0</v>
      </c>
      <c r="G211" s="35">
        <v>42711.0</v>
      </c>
      <c r="H211" s="30" t="s">
        <v>274</v>
      </c>
      <c r="I211" s="30" t="s">
        <v>4728</v>
      </c>
      <c r="J211" s="30" t="s">
        <v>244</v>
      </c>
      <c r="K211" s="168" t="str">
        <f>hyperlink("https://skutracker.sierrawireless.local/projects/3284", "3284")</f>
        <v>3284</v>
      </c>
      <c r="L211" s="168" t="str">
        <f>hyperlink("https://agile.sierrawireless.com/Agile/PLMServlet?action=OpenEmailObject&amp;classid=8000&amp;objid=10193776", "TDN-011174")</f>
        <v>TDN-011174</v>
      </c>
      <c r="M211" s="30" t="s">
        <v>7053</v>
      </c>
      <c r="N211" s="30" t="s">
        <v>7455</v>
      </c>
    </row>
    <row r="212">
      <c r="A212" s="168" t="str">
        <f>hyperlink("https://issues.sierrawireless.com/browse/OEMPRI-2200", "OEMPRI-2200")</f>
        <v>OEMPRI-2200</v>
      </c>
      <c r="B212" s="30" t="b">
        <v>1</v>
      </c>
      <c r="C212" s="30">
        <v>1103226.0</v>
      </c>
      <c r="D212" s="191">
        <v>9906703.0</v>
      </c>
      <c r="E212" s="30" t="s">
        <v>139</v>
      </c>
      <c r="F212" s="35">
        <v>42706.0</v>
      </c>
      <c r="G212" s="35">
        <v>42711.0</v>
      </c>
      <c r="H212" s="30" t="s">
        <v>274</v>
      </c>
      <c r="I212" s="30" t="s">
        <v>4728</v>
      </c>
      <c r="J212" s="30" t="s">
        <v>244</v>
      </c>
      <c r="K212" s="168" t="str">
        <f>hyperlink("https://skutracker.sierrawireless.local/projects/3285", "3285")</f>
        <v>3285</v>
      </c>
      <c r="L212" s="168" t="str">
        <f>hyperlink("https://agile.sierrawireless.com/Agile/PLMServlet?action=OpenEmailObject&amp;classid=8000&amp;objid=10193771", "TDN-011173")</f>
        <v>TDN-011173</v>
      </c>
      <c r="M212" s="30" t="s">
        <v>7390</v>
      </c>
      <c r="N212" s="30" t="s">
        <v>7455</v>
      </c>
    </row>
    <row r="213">
      <c r="A213" s="168" t="str">
        <f>hyperlink("https://issues.sierrawireless.com/browse/OEMPRI-2194", "OEMPRI-2194")</f>
        <v>OEMPRI-2194</v>
      </c>
      <c r="B213" s="30" t="b">
        <v>1</v>
      </c>
      <c r="C213" s="30">
        <v>1103249.0</v>
      </c>
      <c r="D213" s="191">
        <v>9906741.0</v>
      </c>
      <c r="E213" s="30" t="s">
        <v>139</v>
      </c>
      <c r="F213" s="35">
        <v>42705.0</v>
      </c>
      <c r="G213" s="43">
        <v>42720.0</v>
      </c>
      <c r="H213" s="30" t="s">
        <v>176</v>
      </c>
      <c r="I213" s="30" t="s">
        <v>4728</v>
      </c>
      <c r="J213" s="30" t="s">
        <v>177</v>
      </c>
      <c r="K213" s="168" t="str">
        <f>hyperlink("https://skutracker.sierrawireless.local/projects/3229", "3229")</f>
        <v>3229</v>
      </c>
      <c r="L213" s="168" t="str">
        <f>hyperlink("https://agile.sierrawireless.com/Agile/PLMServlet?action=OpenEmailObject&amp;classid=8000&amp;objid=10540798", "TDN-011308")</f>
        <v>TDN-011308</v>
      </c>
      <c r="M213" s="30" t="s">
        <v>7053</v>
      </c>
      <c r="N213" s="30" t="s">
        <v>7448</v>
      </c>
    </row>
    <row r="214">
      <c r="A214" s="168" t="str">
        <f>hyperlink("https://issues.sierrawireless.com/browse/OEMPRI-2174", "OEMPRI-2174")</f>
        <v>OEMPRI-2174</v>
      </c>
      <c r="B214" s="30" t="b">
        <v>1</v>
      </c>
      <c r="C214" s="30">
        <v>1103332.0</v>
      </c>
      <c r="D214" s="191">
        <v>9906851.0</v>
      </c>
      <c r="E214" s="30" t="s">
        <v>139</v>
      </c>
      <c r="F214" s="43">
        <v>42699.0</v>
      </c>
      <c r="G214" s="30" t="s">
        <v>92</v>
      </c>
      <c r="H214" s="30" t="s">
        <v>147</v>
      </c>
      <c r="I214" s="30" t="s">
        <v>140</v>
      </c>
      <c r="J214" s="30" t="s">
        <v>4728</v>
      </c>
      <c r="K214" s="168" t="str">
        <f>hyperlink("https://skutracker.sierrawireless.local/projects/3365", "3365")</f>
        <v>3365</v>
      </c>
      <c r="L214" s="168" t="str">
        <f>hyperlink("https://agile.sierrawireless.com/Agile/PLMServlet?action=OpenEmailObject&amp;classid=6000&amp;objid=10428428", "ECO-022749")</f>
        <v>ECO-022749</v>
      </c>
      <c r="M214" s="30" t="s">
        <v>7490</v>
      </c>
      <c r="N214" s="30" t="s">
        <v>7491</v>
      </c>
    </row>
    <row r="215">
      <c r="A215" s="168" t="str">
        <f>hyperlink("https://issues.sierrawireless.com/browse/OEMPRI-1520", "OEMPRI-1520")</f>
        <v>OEMPRI-1520</v>
      </c>
      <c r="B215" s="30" t="b">
        <v>1</v>
      </c>
      <c r="C215" s="30">
        <v>1103327.0</v>
      </c>
      <c r="D215" s="191" t="s">
        <v>7492</v>
      </c>
      <c r="E215" s="30" t="s">
        <v>139</v>
      </c>
      <c r="F215" s="43">
        <v>42695.0</v>
      </c>
      <c r="G215" s="30" t="s">
        <v>92</v>
      </c>
      <c r="H215" s="30" t="s">
        <v>215</v>
      </c>
      <c r="I215" s="30" t="s">
        <v>140</v>
      </c>
      <c r="J215" s="30" t="s">
        <v>216</v>
      </c>
      <c r="K215" s="168" t="str">
        <f>hyperlink("https://skutracker.sierrawireless.local/projects/3329", "3329")</f>
        <v>3329</v>
      </c>
      <c r="L215" s="168" t="str">
        <f>hyperlink("https://agile.sierrawireless.com/Agile/PLMServlet?action=OpenEmailObject&amp;classid=6000&amp;objid=10320022", "ECO-022694")</f>
        <v>ECO-022694</v>
      </c>
      <c r="M215" s="30" t="s">
        <v>7495</v>
      </c>
      <c r="N215" s="30" t="s">
        <v>7350</v>
      </c>
    </row>
    <row r="216">
      <c r="A216" s="168" t="str">
        <f>hyperlink("https://issues.sierrawireless.com/browse/OEMPRI-1519", "OEMPRI-1519")</f>
        <v>OEMPRI-1519</v>
      </c>
      <c r="B216" s="30" t="b">
        <v>1</v>
      </c>
      <c r="C216" s="30">
        <v>1103333.0</v>
      </c>
      <c r="D216" s="191">
        <v>9906854.0</v>
      </c>
      <c r="E216" s="30" t="s">
        <v>139</v>
      </c>
      <c r="F216" s="43">
        <v>42694.0</v>
      </c>
      <c r="G216" s="43">
        <v>42695.0</v>
      </c>
      <c r="H216" s="30" t="s">
        <v>160</v>
      </c>
      <c r="I216" s="30" t="s">
        <v>4728</v>
      </c>
      <c r="J216" s="30" t="s">
        <v>244</v>
      </c>
      <c r="K216" s="168" t="str">
        <f>hyperlink("https://skutracker.sierrawireless.local/projects/3373", "3373")</f>
        <v>3373</v>
      </c>
      <c r="L216" s="168" t="str">
        <f>hyperlink("https://agile.sierrawireless.com/Agile/PLMServlet?action=OpenEmailObject&amp;classid=8000&amp;objid=10428698", "TDN-011261")</f>
        <v>TDN-011261</v>
      </c>
      <c r="M216" s="30" t="s">
        <v>7066</v>
      </c>
      <c r="N216" s="30" t="s">
        <v>7500</v>
      </c>
    </row>
    <row r="217">
      <c r="A217" s="168" t="str">
        <f>hyperlink("https://issues.sierrawireless.com/browse/OEMPRI-1497", "OEMPRI-1497")</f>
        <v>OEMPRI-1497</v>
      </c>
      <c r="B217" s="30" t="b">
        <v>1</v>
      </c>
      <c r="C217" s="30">
        <v>1103210.0</v>
      </c>
      <c r="D217" s="191">
        <v>9906623.0</v>
      </c>
      <c r="E217" s="30" t="s">
        <v>139</v>
      </c>
      <c r="F217" s="43">
        <v>42692.0</v>
      </c>
      <c r="G217" s="43">
        <v>42703.0</v>
      </c>
      <c r="H217" s="30" t="s">
        <v>176</v>
      </c>
      <c r="I217" s="30" t="s">
        <v>4728</v>
      </c>
      <c r="J217" s="30" t="s">
        <v>177</v>
      </c>
      <c r="K217" s="168" t="str">
        <f>hyperlink("https://skutracker.sierrawireless.local/projects/3054", "3054")</f>
        <v>3054</v>
      </c>
      <c r="L217" s="168" t="str">
        <f>hyperlink("https://agile.sierrawireless.com/Agile/PLMServlet?action=OpenEmailObject&amp;classid=8000&amp;objid=10994638", "TDN-011479")</f>
        <v>TDN-011479</v>
      </c>
      <c r="M217" s="30" t="s">
        <v>7053</v>
      </c>
      <c r="N217" s="30" t="s">
        <v>7448</v>
      </c>
    </row>
    <row r="218">
      <c r="A218" s="168" t="str">
        <f>hyperlink("https://issues.sierrawireless.com/browse/OEMPRI-1508", "OEMPRI-1508")</f>
        <v>OEMPRI-1508</v>
      </c>
      <c r="B218" s="30" t="b">
        <v>1</v>
      </c>
      <c r="C218" s="30">
        <v>1103211.0</v>
      </c>
      <c r="D218" s="191">
        <v>9906625.0</v>
      </c>
      <c r="E218" s="30" t="s">
        <v>139</v>
      </c>
      <c r="F218" s="43">
        <v>42692.0</v>
      </c>
      <c r="G218" s="35">
        <v>42706.0</v>
      </c>
      <c r="H218" s="30" t="s">
        <v>176</v>
      </c>
      <c r="I218" s="30" t="s">
        <v>4728</v>
      </c>
      <c r="J218" s="30" t="s">
        <v>177</v>
      </c>
      <c r="K218" s="168" t="str">
        <f>hyperlink("https://skutracker.sierrawireless.local/projects/3055", "3055")</f>
        <v>3055</v>
      </c>
      <c r="L218" s="168" t="str">
        <f t="shared" ref="L218:L219" si="16">hyperlink("https://agile.sierrawireless.com/Agile/PLMServlet?action=OpenEmailObject&amp;classid=8000&amp;objid=10995648", "TDN-011480")</f>
        <v>TDN-011480</v>
      </c>
      <c r="M218" s="30" t="s">
        <v>7053</v>
      </c>
      <c r="N218" s="30" t="s">
        <v>7448</v>
      </c>
    </row>
    <row r="219">
      <c r="A219" s="168" t="str">
        <f>hyperlink("https://issues.sierrawireless.com/browse/OEMPRI-1503", "OEMPRI-1503")</f>
        <v>OEMPRI-1503</v>
      </c>
      <c r="B219" s="30" t="b">
        <v>1</v>
      </c>
      <c r="C219" s="30">
        <v>1103207.0</v>
      </c>
      <c r="D219" s="191">
        <v>9906620.0</v>
      </c>
      <c r="E219" s="30" t="s">
        <v>139</v>
      </c>
      <c r="F219" s="43">
        <v>42692.0</v>
      </c>
      <c r="G219" s="43">
        <v>42703.0</v>
      </c>
      <c r="H219" s="30" t="s">
        <v>176</v>
      </c>
      <c r="I219" s="30" t="s">
        <v>4728</v>
      </c>
      <c r="J219" s="30" t="s">
        <v>177</v>
      </c>
      <c r="K219" s="168" t="str">
        <f>hyperlink("https://skutracker.sierrawireless.local/projects/3282", "3282")</f>
        <v>3282</v>
      </c>
      <c r="L219" s="168" t="str">
        <f t="shared" si="16"/>
        <v>TDN-011480</v>
      </c>
      <c r="M219" s="30" t="s">
        <v>7053</v>
      </c>
      <c r="N219" s="30" t="s">
        <v>7448</v>
      </c>
    </row>
    <row r="220">
      <c r="A220" s="168" t="str">
        <f>hyperlink("https://issues.sierrawireless.com/browse/OEMPRI-1494", "OEMPRI-1494")</f>
        <v>OEMPRI-1494</v>
      </c>
      <c r="B220" s="30" t="b">
        <v>1</v>
      </c>
      <c r="C220" s="30">
        <v>1103204.0</v>
      </c>
      <c r="D220" s="191">
        <v>9906619.0</v>
      </c>
      <c r="E220" s="30" t="s">
        <v>139</v>
      </c>
      <c r="F220" s="43">
        <v>42692.0</v>
      </c>
      <c r="G220" s="43">
        <v>42699.0</v>
      </c>
      <c r="H220" s="30" t="s">
        <v>176</v>
      </c>
      <c r="I220" s="30" t="s">
        <v>4728</v>
      </c>
      <c r="J220" s="30" t="s">
        <v>177</v>
      </c>
      <c r="K220" s="168" t="str">
        <f>hyperlink("https://skutracker.sierrawireless.local/projects/3290", "3290")</f>
        <v>3290</v>
      </c>
      <c r="L220" s="168" t="str">
        <f>hyperlink("https://agile.sierrawireless.com/Agile/PLMServlet?action=OpenEmailObject&amp;classid=8000&amp;objid=10994638", "TDN-011479")</f>
        <v>TDN-011479</v>
      </c>
      <c r="M220" s="30" t="s">
        <v>7053</v>
      </c>
      <c r="N220" s="30" t="s">
        <v>7448</v>
      </c>
    </row>
    <row r="221">
      <c r="A221" s="168" t="str">
        <f>hyperlink("https://issues.sierrawireless.com/browse/OEMPRI-1439", "OEMPRI-1439")</f>
        <v>OEMPRI-1439</v>
      </c>
      <c r="B221" s="30" t="b">
        <v>1</v>
      </c>
      <c r="C221" s="30">
        <v>1103039.0</v>
      </c>
      <c r="D221" s="191">
        <v>9906058.0</v>
      </c>
      <c r="E221" s="30" t="s">
        <v>139</v>
      </c>
      <c r="F221" s="35">
        <v>42683.0</v>
      </c>
      <c r="G221" s="43">
        <v>42692.0</v>
      </c>
      <c r="H221" s="30" t="s">
        <v>160</v>
      </c>
      <c r="I221" s="30" t="s">
        <v>4728</v>
      </c>
      <c r="J221" s="30" t="s">
        <v>244</v>
      </c>
      <c r="K221" s="168" t="str">
        <f>hyperlink("https://skutracker.sierrawireless.local/projects/3240", "3240")</f>
        <v>3240</v>
      </c>
      <c r="L221" s="168" t="str">
        <f>hyperlink("https://agile.sierrawireless.com/Agile/PLMServlet?action=OpenEmailObject&amp;classid=0&amp;objid=-1", "TDN-011104")</f>
        <v>TDN-011104</v>
      </c>
      <c r="M221" s="30" t="s">
        <v>7053</v>
      </c>
      <c r="N221" s="30" t="s">
        <v>7512</v>
      </c>
    </row>
    <row r="222">
      <c r="A222" s="168" t="str">
        <f>hyperlink("https://issues.sierrawireless.com/browse/OEMPRI-1411", "OEMPRI-1411")</f>
        <v>OEMPRI-1411</v>
      </c>
      <c r="B222" s="30" t="b">
        <v>1</v>
      </c>
      <c r="C222" s="30">
        <v>1103151.0</v>
      </c>
      <c r="D222" s="191">
        <v>9906435.0</v>
      </c>
      <c r="E222" s="30" t="s">
        <v>139</v>
      </c>
      <c r="F222" s="35">
        <v>42681.0</v>
      </c>
      <c r="G222" s="43">
        <v>42684.0</v>
      </c>
      <c r="H222" s="30" t="s">
        <v>160</v>
      </c>
      <c r="I222" s="30" t="s">
        <v>4728</v>
      </c>
      <c r="J222" s="30" t="s">
        <v>244</v>
      </c>
      <c r="K222" s="168" t="str">
        <f>hyperlink("https://skutracker.sierrawireless.local/projects/3187", "3187")</f>
        <v>3187</v>
      </c>
      <c r="L222" s="168" t="str">
        <f>hyperlink("https://agile.sierrawireless.com/Agile/PLMServlet?action=OpenEmailObject&amp;classid=8000&amp;objid=9884216", "TDN-011054")</f>
        <v>TDN-011054</v>
      </c>
      <c r="M222" s="30" t="s">
        <v>7066</v>
      </c>
      <c r="N222" s="30" t="s">
        <v>7455</v>
      </c>
    </row>
    <row r="223">
      <c r="A223" s="168" t="str">
        <f>hyperlink("https://issues.sierrawireless.com/browse/OEMPRI-1413", "OEMPRI-1413")</f>
        <v>OEMPRI-1413</v>
      </c>
      <c r="B223" s="30" t="b">
        <v>1</v>
      </c>
      <c r="C223" s="30">
        <v>1103150.0</v>
      </c>
      <c r="D223" s="191">
        <v>9906434.0</v>
      </c>
      <c r="E223" s="30" t="s">
        <v>139</v>
      </c>
      <c r="F223" s="35">
        <v>42681.0</v>
      </c>
      <c r="G223" s="43">
        <v>42684.0</v>
      </c>
      <c r="H223" s="30" t="s">
        <v>160</v>
      </c>
      <c r="I223" s="30" t="s">
        <v>4728</v>
      </c>
      <c r="J223" s="30" t="s">
        <v>244</v>
      </c>
      <c r="K223" s="168" t="str">
        <f>hyperlink("https://skutracker.sierrawireless.local/projects/3188", "3188")</f>
        <v>3188</v>
      </c>
      <c r="L223" s="168" t="str">
        <f>hyperlink("https://agile.sierrawireless.com/Agile/PLMServlet?action=OpenEmailObject&amp;classid=8000&amp;objid=9884593", "TDN-011055")</f>
        <v>TDN-011055</v>
      </c>
      <c r="M223" s="30" t="s">
        <v>7053</v>
      </c>
      <c r="N223" s="30" t="s">
        <v>7455</v>
      </c>
    </row>
    <row r="224">
      <c r="A224" s="168" t="str">
        <f>hyperlink("https://issues.sierrawireless.com/browse/OEMPRI-1415", "OEMPRI-1415")</f>
        <v>OEMPRI-1415</v>
      </c>
      <c r="B224" s="30" t="b">
        <v>1</v>
      </c>
      <c r="C224" s="30">
        <v>1103146.0</v>
      </c>
      <c r="D224" s="191">
        <v>9906416.0</v>
      </c>
      <c r="E224" s="30" t="s">
        <v>139</v>
      </c>
      <c r="F224" s="35">
        <v>42681.0</v>
      </c>
      <c r="G224" s="43">
        <v>42684.0</v>
      </c>
      <c r="H224" s="30" t="s">
        <v>160</v>
      </c>
      <c r="I224" s="30" t="s">
        <v>4728</v>
      </c>
      <c r="J224" s="30" t="s">
        <v>244</v>
      </c>
      <c r="K224" s="168" t="str">
        <f>hyperlink("https://skutracker.sierrawireless.local/projects/3189", "3189")</f>
        <v>3189</v>
      </c>
      <c r="L224" s="168" t="str">
        <f>hyperlink("https://agile.sierrawireless.com/Agile/PLMServlet?action=OpenEmailObject&amp;classid=8000&amp;objid=9884627", "TDN-011056")</f>
        <v>TDN-011056</v>
      </c>
      <c r="M224" s="30" t="s">
        <v>7306</v>
      </c>
      <c r="N224" s="30" t="s">
        <v>7455</v>
      </c>
    </row>
    <row r="225">
      <c r="A225" s="168" t="str">
        <f>hyperlink("https://issues.sierrawireless.com/browse/OEMPRI-1417", "OEMPRI-1417")</f>
        <v>OEMPRI-1417</v>
      </c>
      <c r="B225" s="30" t="b">
        <v>1</v>
      </c>
      <c r="C225" s="30">
        <v>1103037.0</v>
      </c>
      <c r="D225" s="191">
        <v>9906056.0</v>
      </c>
      <c r="E225" s="30" t="s">
        <v>139</v>
      </c>
      <c r="F225" s="35">
        <v>42681.0</v>
      </c>
      <c r="G225" s="43">
        <v>42691.0</v>
      </c>
      <c r="H225" s="30" t="s">
        <v>160</v>
      </c>
      <c r="I225" s="30" t="s">
        <v>4728</v>
      </c>
      <c r="J225" s="30" t="s">
        <v>244</v>
      </c>
      <c r="K225" s="168" t="str">
        <f>hyperlink("https://skutracker.sierrawireless.local/projects/3286", "3286")</f>
        <v>3286</v>
      </c>
      <c r="L225" s="168" t="str">
        <f>hyperlink("https://agile.sierrawireless.com/Agile/PLMServlet?action=OpenEmailObject&amp;classid=8000&amp;objid=10193560", "TDN-011172")</f>
        <v>TDN-011172</v>
      </c>
      <c r="M225" s="30" t="s">
        <v>7053</v>
      </c>
      <c r="N225" s="30" t="s">
        <v>7455</v>
      </c>
    </row>
    <row r="226">
      <c r="A226" s="168" t="str">
        <f>hyperlink("https://issues.sierrawireless.com/browse/OEMPRI-1350", "OEMPRI-1350")</f>
        <v>OEMPRI-1350</v>
      </c>
      <c r="B226" s="30" t="b">
        <v>1</v>
      </c>
      <c r="C226" s="30">
        <v>1103095.0</v>
      </c>
      <c r="D226" s="191">
        <v>9906290.0</v>
      </c>
      <c r="E226" s="30" t="s">
        <v>139</v>
      </c>
      <c r="F226" s="35">
        <v>42676.0</v>
      </c>
      <c r="G226" s="35">
        <v>42678.0</v>
      </c>
      <c r="H226" s="30" t="s">
        <v>160</v>
      </c>
      <c r="I226" s="30" t="s">
        <v>4728</v>
      </c>
      <c r="J226" s="30" t="s">
        <v>244</v>
      </c>
      <c r="K226" s="168" t="str">
        <f>hyperlink("https://skutracker.sierrawireless.local/projects/3134", "3134")</f>
        <v>3134</v>
      </c>
      <c r="L226" s="168" t="str">
        <f>hyperlink("https://agile.sierrawireless.com/Agile/PLMServlet?action=OpenEmailObject&amp;classid=8000&amp;objid=9624213", "TDN-011003")</f>
        <v>TDN-011003</v>
      </c>
      <c r="M226" s="30" t="s">
        <v>7457</v>
      </c>
      <c r="N226" s="30" t="s">
        <v>7455</v>
      </c>
    </row>
    <row r="227">
      <c r="A227" s="168" t="str">
        <f>hyperlink("https://issues.sierrawireless.com/browse/OEMPRI-1352", "OEMPRI-1352")</f>
        <v>OEMPRI-1352</v>
      </c>
      <c r="B227" s="30" t="b">
        <v>1</v>
      </c>
      <c r="C227" s="30">
        <v>1103038.0</v>
      </c>
      <c r="D227" s="191">
        <v>9906551.0</v>
      </c>
      <c r="E227" s="30" t="s">
        <v>139</v>
      </c>
      <c r="F227" s="35">
        <v>42676.0</v>
      </c>
      <c r="G227" s="35">
        <v>42678.0</v>
      </c>
      <c r="H227" s="30" t="s">
        <v>160</v>
      </c>
      <c r="I227" s="30" t="s">
        <v>4728</v>
      </c>
      <c r="J227" s="30" t="s">
        <v>244</v>
      </c>
      <c r="K227" s="168" t="str">
        <f>hyperlink("https://skutracker.sierrawireless.local/projects/3135", "3135")</f>
        <v>3135</v>
      </c>
      <c r="L227" s="168" t="str">
        <f t="shared" ref="L227:L228" si="17">hyperlink("https://agile.sierrawireless.com/Agile/PLMServlet?action=OpenEmailObject&amp;classid=8000&amp;objid=10049687", "TDN-011105")</f>
        <v>TDN-011105</v>
      </c>
      <c r="M227" s="30" t="s">
        <v>7053</v>
      </c>
      <c r="N227" s="30" t="s">
        <v>7455</v>
      </c>
    </row>
    <row r="228">
      <c r="A228" s="168" t="str">
        <f>hyperlink("https://issues.sierrawireless.com/browse/OEMPRI-1354", "OEMPRI-1354")</f>
        <v>OEMPRI-1354</v>
      </c>
      <c r="B228" s="30" t="b">
        <v>1</v>
      </c>
      <c r="C228" s="30">
        <v>1103251.0</v>
      </c>
      <c r="D228" s="191">
        <v>9906765.0</v>
      </c>
      <c r="E228" s="30" t="s">
        <v>139</v>
      </c>
      <c r="F228" s="35">
        <v>42676.0</v>
      </c>
      <c r="G228" s="35">
        <v>42678.0</v>
      </c>
      <c r="H228" s="30" t="s">
        <v>160</v>
      </c>
      <c r="I228" s="30" t="s">
        <v>4728</v>
      </c>
      <c r="J228" s="30" t="s">
        <v>244</v>
      </c>
      <c r="K228" s="168" t="str">
        <f>hyperlink("https://skutracker.sierrawireless.local/projects/3241", "3241")</f>
        <v>3241</v>
      </c>
      <c r="L228" s="168" t="str">
        <f t="shared" si="17"/>
        <v>TDN-011105</v>
      </c>
      <c r="M228" s="30" t="s">
        <v>7167</v>
      </c>
      <c r="N228" s="30" t="s">
        <v>7455</v>
      </c>
    </row>
    <row r="229">
      <c r="A229" s="168" t="str">
        <f>hyperlink("https://issues.sierrawireless.com/browse/OEMPRI-1341", "OEMPRI-1341")</f>
        <v>OEMPRI-1341</v>
      </c>
      <c r="B229" s="30" t="b">
        <v>1</v>
      </c>
      <c r="C229" s="30">
        <v>1103222.0</v>
      </c>
      <c r="D229" s="191">
        <v>9906692.0</v>
      </c>
      <c r="E229" s="30" t="s">
        <v>139</v>
      </c>
      <c r="F229" s="35">
        <v>42675.0</v>
      </c>
      <c r="G229" s="35">
        <v>42678.0</v>
      </c>
      <c r="H229" s="30" t="s">
        <v>160</v>
      </c>
      <c r="I229" s="30" t="s">
        <v>4728</v>
      </c>
      <c r="J229" s="30" t="s">
        <v>244</v>
      </c>
      <c r="K229" s="168" t="str">
        <f>hyperlink("https://skutracker.sierrawireless.local/projects/3109", "3109")</f>
        <v>3109</v>
      </c>
      <c r="L229" s="168" t="str">
        <f t="shared" ref="L229:L230" si="18">hyperlink("https://agile.sierrawireless.com/Agile/PLMServlet?action=OpenEmailObject&amp;classid=8000&amp;objid=9624181", "TDN-011002")</f>
        <v>TDN-011002</v>
      </c>
      <c r="M229" s="30" t="s">
        <v>7393</v>
      </c>
      <c r="N229" s="30" t="s">
        <v>7455</v>
      </c>
    </row>
    <row r="230">
      <c r="A230" s="168" t="str">
        <f>hyperlink("https://issues.sierrawireless.com/browse/OEMPRI-1343", "OEMPRI-1343")</f>
        <v>OEMPRI-1343</v>
      </c>
      <c r="B230" s="30" t="b">
        <v>1</v>
      </c>
      <c r="C230" s="30">
        <v>1103223.0</v>
      </c>
      <c r="D230" s="191">
        <v>9906693.0</v>
      </c>
      <c r="E230" s="30" t="s">
        <v>139</v>
      </c>
      <c r="F230" s="35">
        <v>42675.0</v>
      </c>
      <c r="G230" s="35">
        <v>42678.0</v>
      </c>
      <c r="H230" s="30" t="s">
        <v>160</v>
      </c>
      <c r="I230" s="30" t="s">
        <v>4728</v>
      </c>
      <c r="J230" s="30" t="s">
        <v>244</v>
      </c>
      <c r="K230" s="168" t="str">
        <f>hyperlink("https://skutracker.sierrawireless.local/projects/3132", "3132")</f>
        <v>3132</v>
      </c>
      <c r="L230" s="168" t="str">
        <f t="shared" si="18"/>
        <v>TDN-011002</v>
      </c>
      <c r="M230" s="30" t="s">
        <v>7066</v>
      </c>
      <c r="N230" s="30" t="s">
        <v>7455</v>
      </c>
    </row>
    <row r="231">
      <c r="A231" s="168" t="str">
        <f>hyperlink("https://issues.sierrawireless.com/browse/OEMPRI-1345", "OEMPRI-1345")</f>
        <v>OEMPRI-1345</v>
      </c>
      <c r="B231" s="30" t="b">
        <v>1</v>
      </c>
      <c r="C231" s="30">
        <v>1103175.0</v>
      </c>
      <c r="D231" s="191">
        <v>9906525.0</v>
      </c>
      <c r="E231" s="30" t="s">
        <v>139</v>
      </c>
      <c r="F231" s="35">
        <v>42675.0</v>
      </c>
      <c r="G231" s="35">
        <v>42678.0</v>
      </c>
      <c r="H231" s="30" t="s">
        <v>160</v>
      </c>
      <c r="I231" s="30" t="s">
        <v>4728</v>
      </c>
      <c r="J231" s="30" t="s">
        <v>244</v>
      </c>
      <c r="K231" s="168" t="str">
        <f>hyperlink("https://skutracker.sierrawireless.local/projects/3133", "3133")</f>
        <v>3133</v>
      </c>
      <c r="L231" s="168" t="str">
        <f>hyperlink("https://agile.sierrawireless.com/Agile/PLMServlet?action=OpenEmailObject&amp;classid=8000&amp;objid=9624213", "TDN-011003")</f>
        <v>TDN-011003</v>
      </c>
      <c r="M231" s="30" t="s">
        <v>7306</v>
      </c>
      <c r="N231" s="30" t="s">
        <v>7455</v>
      </c>
    </row>
    <row r="232">
      <c r="A232" s="168" t="str">
        <f>hyperlink("https://issues.sierrawireless.com/browse/OEMPRI-1332", "OEMPRI-1332")</f>
        <v>OEMPRI-1332</v>
      </c>
      <c r="B232" s="30" t="b">
        <v>1</v>
      </c>
      <c r="C232" s="30">
        <v>1103102.0</v>
      </c>
      <c r="D232" s="191">
        <v>9906809.0</v>
      </c>
      <c r="E232" s="30" t="s">
        <v>139</v>
      </c>
      <c r="F232" s="43">
        <v>42674.0</v>
      </c>
      <c r="G232" s="43">
        <v>42660.0</v>
      </c>
      <c r="H232" s="30" t="s">
        <v>176</v>
      </c>
      <c r="I232" s="30" t="s">
        <v>140</v>
      </c>
      <c r="J232" s="30" t="s">
        <v>177</v>
      </c>
      <c r="K232" s="168" t="str">
        <f>hyperlink("https://skutracker.sierrawireless.local/projects/3190", "3190")</f>
        <v>3190</v>
      </c>
      <c r="L232" s="168" t="str">
        <f>hyperlink("https://agile.sierrawireless.com/Agile/PLMServlet?action=OpenEmailObject&amp;classid=8000&amp;objid=9884209", "TDN-011053")</f>
        <v>TDN-011053</v>
      </c>
      <c r="M232" s="30" t="s">
        <v>7405</v>
      </c>
      <c r="N232" s="30" t="s">
        <v>7550</v>
      </c>
    </row>
    <row r="233">
      <c r="A233" s="168" t="str">
        <f>hyperlink("https://issues.sierrawireless.com/browse/OEMPRI-1307", "OEMPRI-1307")</f>
        <v>OEMPRI-1307</v>
      </c>
      <c r="B233" s="30" t="b">
        <v>1</v>
      </c>
      <c r="C233" s="30">
        <v>1103238.0</v>
      </c>
      <c r="D233" s="191">
        <v>9906724.0</v>
      </c>
      <c r="E233" s="30" t="s">
        <v>139</v>
      </c>
      <c r="F233" s="43">
        <v>42667.0</v>
      </c>
      <c r="G233" s="30" t="s">
        <v>92</v>
      </c>
      <c r="H233" s="30" t="s">
        <v>1629</v>
      </c>
      <c r="I233" s="30" t="s">
        <v>140</v>
      </c>
      <c r="J233" s="30" t="s">
        <v>4728</v>
      </c>
      <c r="K233" s="168" t="str">
        <f>hyperlink("https://skutracker.sierrawireless.local/projects/3181", "3181")</f>
        <v>3181</v>
      </c>
      <c r="L233" s="168" t="str">
        <f>hyperlink("https://agile.sierrawireless.com/Agile/PLMServlet?action=OpenEmailObject&amp;classid=6000&amp;objid=9905708", "ECO-022426")</f>
        <v>ECO-022426</v>
      </c>
      <c r="M233" s="30" t="s">
        <v>7298</v>
      </c>
      <c r="N233" s="30" t="s">
        <v>7299</v>
      </c>
    </row>
    <row r="234">
      <c r="A234" s="168" t="str">
        <f>hyperlink("https://issues.sierrawireless.com/browse/OEMPRI-1273", "OEMPRI-1273")</f>
        <v>OEMPRI-1273</v>
      </c>
      <c r="B234" s="30" t="b">
        <v>1</v>
      </c>
      <c r="C234" s="30">
        <v>1103155.0</v>
      </c>
      <c r="D234" s="191">
        <v>9906452.0</v>
      </c>
      <c r="E234" s="30" t="s">
        <v>139</v>
      </c>
      <c r="F234" s="43">
        <v>42661.0</v>
      </c>
      <c r="G234" s="43">
        <v>42663.0</v>
      </c>
      <c r="H234" s="30" t="s">
        <v>5635</v>
      </c>
      <c r="I234" s="30" t="s">
        <v>140</v>
      </c>
      <c r="J234" s="30" t="s">
        <v>5270</v>
      </c>
      <c r="K234" s="168" t="str">
        <f>hyperlink("https://skutracker.sierrawireless.local/projects/2819", "2819")</f>
        <v>2819</v>
      </c>
      <c r="L234" s="168" t="str">
        <f>hyperlink("https://agile.sierrawireless.com/Agile/PLMServlet?action=OpenEmailObject&amp;classid=6000&amp;objid=10141608", "ECO-022566")</f>
        <v>ECO-022566</v>
      </c>
      <c r="M234" s="30" t="s">
        <v>7359</v>
      </c>
    </row>
    <row r="235">
      <c r="A235" s="168" t="str">
        <f>hyperlink("https://issues.sierrawireless.com/browse/OEMPRI-1247", "OEMPRI-1247")</f>
        <v>OEMPRI-1247</v>
      </c>
      <c r="B235" s="30" t="b">
        <v>1</v>
      </c>
      <c r="C235" s="30">
        <v>1103241.0</v>
      </c>
      <c r="D235" s="191">
        <v>9906726.0</v>
      </c>
      <c r="E235" s="30" t="s">
        <v>139</v>
      </c>
      <c r="F235" s="43">
        <v>42655.0</v>
      </c>
      <c r="G235" s="30" t="s">
        <v>92</v>
      </c>
      <c r="H235" s="30" t="s">
        <v>147</v>
      </c>
      <c r="I235" s="30" t="s">
        <v>140</v>
      </c>
      <c r="J235" s="30" t="s">
        <v>4728</v>
      </c>
      <c r="K235" s="168" t="str">
        <f>hyperlink("https://skutracker.sierrawireless.local/projects/3216", "3216")</f>
        <v>3216</v>
      </c>
      <c r="L235" s="168" t="str">
        <f>hyperlink("https://agile.sierrawireless.com/Agile/PLMServlet?action=OpenEmailObject&amp;classid=6000&amp;objid=9960861", "ECO-022449")</f>
        <v>ECO-022449</v>
      </c>
      <c r="M235" s="30" t="s">
        <v>7562</v>
      </c>
      <c r="N235" s="30" t="s">
        <v>7316</v>
      </c>
    </row>
    <row r="236">
      <c r="A236" s="168" t="str">
        <f>hyperlink("https://issues.sierrawireless.com/browse/OEMPRI-1239", "OEMPRI-1239")</f>
        <v>OEMPRI-1239</v>
      </c>
      <c r="B236" s="30" t="b">
        <v>1</v>
      </c>
      <c r="C236" s="30">
        <v>1103216.0</v>
      </c>
      <c r="D236" s="191">
        <v>9906652.0</v>
      </c>
      <c r="E236" s="30" t="s">
        <v>139</v>
      </c>
      <c r="F236" s="43">
        <v>42653.0</v>
      </c>
      <c r="G236" s="30" t="s">
        <v>92</v>
      </c>
      <c r="H236" s="30" t="s">
        <v>147</v>
      </c>
      <c r="I236" s="30" t="s">
        <v>140</v>
      </c>
      <c r="J236" s="30" t="s">
        <v>4728</v>
      </c>
      <c r="K236" s="168" t="str">
        <f>hyperlink("https://skutracker.sierrawireless.local/projects/3105", "3105")</f>
        <v>3105</v>
      </c>
      <c r="L236" s="168" t="str">
        <f>hyperlink("https://agile.sierrawireless.com/Agile/PLMServlet?action=OpenEmailObject&amp;classid=6000&amp;objid=9492195", "ECO-022197")</f>
        <v>ECO-022197</v>
      </c>
      <c r="M236" s="30" t="s">
        <v>7053</v>
      </c>
      <c r="N236" s="30" t="s">
        <v>7564</v>
      </c>
    </row>
    <row r="237">
      <c r="A237" s="168" t="str">
        <f>hyperlink("https://issues.sierrawireless.com/browse/OEMPRI-1242", "OEMPRI-1242")</f>
        <v>OEMPRI-1242</v>
      </c>
      <c r="B237" s="30" t="b">
        <v>1</v>
      </c>
      <c r="C237" s="30">
        <v>1103102.0</v>
      </c>
      <c r="D237" s="191">
        <v>9906297.0</v>
      </c>
      <c r="E237" s="30" t="s">
        <v>139</v>
      </c>
      <c r="F237" s="43">
        <v>42653.0</v>
      </c>
      <c r="G237" s="43">
        <v>42660.0</v>
      </c>
      <c r="H237" s="30" t="s">
        <v>176</v>
      </c>
      <c r="I237" s="30" t="s">
        <v>4728</v>
      </c>
      <c r="J237" s="30" t="s">
        <v>177</v>
      </c>
      <c r="K237" s="168" t="str">
        <f>hyperlink("https://skutracker.sierrawireless.local/projects/3190", "3190")</f>
        <v>3190</v>
      </c>
      <c r="L237" s="168" t="str">
        <f>hyperlink("https://agile.sierrawireless.com/Agile/PLMServlet?action=OpenEmailObject&amp;classid=8000&amp;objid=9884209", "TDN-011053")</f>
        <v>TDN-011053</v>
      </c>
      <c r="M237" s="30" t="s">
        <v>7405</v>
      </c>
      <c r="N237" s="30" t="s">
        <v>7550</v>
      </c>
    </row>
    <row r="238">
      <c r="A238" s="168" t="str">
        <f>hyperlink("https://issues.sierrawireless.com/browse/OEMPRI-1747", "OEMPRI-1747")</f>
        <v>OEMPRI-1747</v>
      </c>
      <c r="B238" s="30" t="b">
        <v>1</v>
      </c>
      <c r="C238" s="30">
        <v>1102332.0</v>
      </c>
      <c r="D238" s="191" t="s">
        <v>7571</v>
      </c>
      <c r="E238" s="30" t="s">
        <v>139</v>
      </c>
      <c r="F238" s="35">
        <v>42400.0</v>
      </c>
      <c r="G238" s="30" t="s">
        <v>92</v>
      </c>
      <c r="H238" s="30" t="s">
        <v>2707</v>
      </c>
      <c r="I238" s="30" t="s">
        <v>216</v>
      </c>
      <c r="J238" s="30" t="s">
        <v>216</v>
      </c>
      <c r="K238" s="168" t="str">
        <f t="shared" ref="K238:K239" si="19">hyperlink("https://skutracker.sierrawireless.local/projects/1807", "1807")</f>
        <v>1807</v>
      </c>
      <c r="L238" s="168" t="str">
        <f t="shared" ref="L238:L239" si="20">hyperlink("https://agile.sierrawireless.com/Agile/PLMServlet?action=OpenEmailObject&amp;classid=6000&amp;objid=8132129", "ECO-020757")</f>
        <v>ECO-020757</v>
      </c>
      <c r="M238" s="30" t="s">
        <v>7574</v>
      </c>
      <c r="N238" s="30" t="s">
        <v>7575</v>
      </c>
    </row>
    <row r="239">
      <c r="A239" s="168" t="str">
        <f>hyperlink("https://issues.sierrawireless.com/browse/OEMPRI-1748", "OEMPRI-1748")</f>
        <v>OEMPRI-1748</v>
      </c>
      <c r="B239" s="30" t="b">
        <v>1</v>
      </c>
      <c r="C239" s="30">
        <v>1102067.0</v>
      </c>
      <c r="D239" s="191" t="s">
        <v>7577</v>
      </c>
      <c r="E239" s="30" t="s">
        <v>139</v>
      </c>
      <c r="F239" s="35">
        <v>42400.0</v>
      </c>
      <c r="G239" s="30" t="s">
        <v>92</v>
      </c>
      <c r="H239" s="30" t="s">
        <v>2707</v>
      </c>
      <c r="I239" s="30" t="s">
        <v>216</v>
      </c>
      <c r="J239" s="30" t="s">
        <v>216</v>
      </c>
      <c r="K239" s="168" t="str">
        <f t="shared" si="19"/>
        <v>1807</v>
      </c>
      <c r="L239" s="168" t="str">
        <f t="shared" si="20"/>
        <v>ECO-020757</v>
      </c>
      <c r="M239" s="30" t="s">
        <v>7327</v>
      </c>
      <c r="N239" s="30" t="s">
        <v>7579</v>
      </c>
    </row>
    <row r="240">
      <c r="A240" s="168" t="str">
        <f>hyperlink("https://issues.sierrawireless.com/browse/OEMPRI-1746", "OEMPRI-1746")</f>
        <v>OEMPRI-1746</v>
      </c>
      <c r="B240" s="30" t="b">
        <v>1</v>
      </c>
      <c r="C240" s="30">
        <v>1102723.0</v>
      </c>
      <c r="D240" s="191">
        <v>9905112.0</v>
      </c>
      <c r="E240" s="30" t="s">
        <v>139</v>
      </c>
      <c r="F240" s="35">
        <v>42400.0</v>
      </c>
      <c r="G240" s="30" t="s">
        <v>92</v>
      </c>
      <c r="H240" s="30" t="s">
        <v>3685</v>
      </c>
      <c r="I240" s="30" t="s">
        <v>216</v>
      </c>
      <c r="J240" s="30" t="s">
        <v>216</v>
      </c>
      <c r="K240" s="168" t="str">
        <f>hyperlink("https://skutracker.sierrawireless.local/projects/1926", "1926")</f>
        <v>1926</v>
      </c>
      <c r="L240" s="168" t="str">
        <f>hyperlink("https://agile.sierrawireless.com/Agile/PLMServlet?action=OpenEmailObject&amp;classid=6000&amp;objid=8175677", "ECO-020898")</f>
        <v>ECO-020898</v>
      </c>
      <c r="M240" s="30" t="s">
        <v>7586</v>
      </c>
      <c r="N240" s="30" t="s">
        <v>7587</v>
      </c>
    </row>
    <row r="241">
      <c r="A241" s="168" t="str">
        <f>hyperlink("https://issues.sierrawireless.com/browse/OEMPRI-1666", "OEMPRI-1666")</f>
        <v>OEMPRI-1666</v>
      </c>
      <c r="B241" s="30" t="b">
        <v>1</v>
      </c>
      <c r="C241" s="30">
        <v>1103047.0</v>
      </c>
      <c r="D241" s="191" t="s">
        <v>7590</v>
      </c>
      <c r="E241" s="30" t="s">
        <v>139</v>
      </c>
      <c r="F241" s="35">
        <v>42399.0</v>
      </c>
      <c r="G241" s="30" t="s">
        <v>92</v>
      </c>
      <c r="H241" s="30" t="s">
        <v>2707</v>
      </c>
      <c r="I241" s="30" t="s">
        <v>216</v>
      </c>
      <c r="J241" s="30" t="s">
        <v>216</v>
      </c>
      <c r="K241" s="168" t="str">
        <f>hyperlink("https://skutracker.sierrawireless.local/projects/2464", "2464")</f>
        <v>2464</v>
      </c>
      <c r="L241" s="168" t="str">
        <f>hyperlink("https://agile.sierrawireless.com/Agile/PLMServlet?action=OpenEmailObject&amp;classid=6000&amp;objid=8037436", "ECO-020492")</f>
        <v>ECO-020492</v>
      </c>
      <c r="M241" s="30" t="s">
        <v>7595</v>
      </c>
      <c r="N241" s="30" t="s">
        <v>7596</v>
      </c>
    </row>
    <row r="242">
      <c r="A242" s="168" t="str">
        <f>hyperlink("https://issues.sierrawireless.com/browse/OEMPRI-1719", "OEMPRI-1719")</f>
        <v>OEMPRI-1719</v>
      </c>
      <c r="B242" s="30" t="b">
        <v>1</v>
      </c>
      <c r="C242" s="30">
        <v>1103056.0</v>
      </c>
      <c r="D242" s="191">
        <v>9906230.0</v>
      </c>
      <c r="E242" s="30" t="s">
        <v>139</v>
      </c>
      <c r="F242" s="35">
        <v>42398.0</v>
      </c>
      <c r="G242" s="30" t="s">
        <v>92</v>
      </c>
      <c r="H242" s="30" t="s">
        <v>723</v>
      </c>
      <c r="I242" s="30" t="s">
        <v>609</v>
      </c>
      <c r="J242" s="30" t="s">
        <v>609</v>
      </c>
      <c r="K242" s="168" t="str">
        <f>hyperlink("https://skutracker.sierrawireless.local/projects/2514", "2514")</f>
        <v>2514</v>
      </c>
      <c r="L242" s="168" t="str">
        <f>hyperlink("https://agile.sierrawireless.com/Agile/PLMServlet?action=OpenEmailObject&amp;classid=6000&amp;objid=9021333", "ECO-021763")</f>
        <v>ECO-021763</v>
      </c>
      <c r="M242" s="30" t="s">
        <v>7600</v>
      </c>
      <c r="N242" s="30" t="s">
        <v>7601</v>
      </c>
    </row>
    <row r="243">
      <c r="A243" s="168" t="str">
        <f>hyperlink("https://issues.sierrawireless.com/browse/OEMPRI-1667", "OEMPRI-1667")</f>
        <v>OEMPRI-1667</v>
      </c>
      <c r="B243" s="30" t="b">
        <v>1</v>
      </c>
      <c r="C243" s="30">
        <v>1103123.0</v>
      </c>
      <c r="D243" s="191">
        <v>9906369.0</v>
      </c>
      <c r="E243" s="30" t="s">
        <v>139</v>
      </c>
      <c r="F243" s="35">
        <v>42398.0</v>
      </c>
      <c r="G243" s="30" t="s">
        <v>92</v>
      </c>
      <c r="H243" s="30" t="s">
        <v>215</v>
      </c>
      <c r="I243" s="30" t="s">
        <v>216</v>
      </c>
      <c r="J243" s="30" t="s">
        <v>216</v>
      </c>
      <c r="K243" s="168" t="str">
        <f>hyperlink("https://skutracker.sierrawireless.local/projects/2771", "2771")</f>
        <v>2771</v>
      </c>
      <c r="L243" s="168" t="str">
        <f>hyperlink("https://agile.sierrawireless.com/Agile/PLMServlet?action=OpenEmailObject&amp;classid=6000&amp;objid=8572179", "ECO-021407")</f>
        <v>ECO-021407</v>
      </c>
      <c r="M243" s="30" t="s">
        <v>7605</v>
      </c>
      <c r="N243" s="30" t="s">
        <v>7350</v>
      </c>
    </row>
    <row r="244">
      <c r="A244" s="168" t="str">
        <f>hyperlink("https://issues.sierrawireless.com/browse/OEMPRI-1607", "OEMPRI-1607")</f>
        <v>OEMPRI-1607</v>
      </c>
      <c r="B244" s="30" t="b">
        <v>1</v>
      </c>
      <c r="C244" s="30">
        <v>1102559.0</v>
      </c>
      <c r="D244" s="191">
        <v>9904575.0</v>
      </c>
      <c r="E244" s="30" t="s">
        <v>139</v>
      </c>
      <c r="F244" s="35">
        <v>42398.0</v>
      </c>
      <c r="G244" s="30" t="s">
        <v>92</v>
      </c>
      <c r="H244" s="30" t="s">
        <v>723</v>
      </c>
      <c r="I244" s="30" t="s">
        <v>609</v>
      </c>
      <c r="J244" s="30" t="s">
        <v>609</v>
      </c>
      <c r="K244" s="168" t="str">
        <f>hyperlink("https://skutracker.sierrawireless.local/projects/3029", "3029")</f>
        <v>3029</v>
      </c>
      <c r="L244" s="168" t="str">
        <f>hyperlink("https://agile.sierrawireless.com/Agile/PLMServlet?action=OpenEmailObject&amp;classid=6000&amp;objid=9389393", "ECO-022091")</f>
        <v>ECO-022091</v>
      </c>
      <c r="M244" s="30" t="s">
        <v>7586</v>
      </c>
      <c r="N244" s="30" t="s">
        <v>7606</v>
      </c>
    </row>
    <row r="245">
      <c r="A245" s="168" t="str">
        <f>hyperlink("https://issues.sierrawireless.com/browse/OEMPRI-1783", "OEMPRI-1783")</f>
        <v>OEMPRI-1783</v>
      </c>
      <c r="B245" s="30" t="b">
        <v>1</v>
      </c>
      <c r="C245" s="30">
        <v>1102242.0</v>
      </c>
      <c r="D245" s="191">
        <v>9903562.0</v>
      </c>
      <c r="E245" s="30" t="s">
        <v>139</v>
      </c>
      <c r="F245" s="35">
        <v>42395.0</v>
      </c>
      <c r="G245" s="30" t="s">
        <v>92</v>
      </c>
      <c r="H245" s="30" t="s">
        <v>3685</v>
      </c>
      <c r="I245" s="30" t="s">
        <v>216</v>
      </c>
      <c r="J245" s="30" t="s">
        <v>216</v>
      </c>
      <c r="K245" s="168" t="str">
        <f>hyperlink("https://skutracker.sierrawireless.local/projects/1915", "1915")</f>
        <v>1915</v>
      </c>
      <c r="L245" s="168" t="str">
        <f>hyperlink("https://agile.sierrawireless.com/Agile/PLMServlet?action=OpenEmailObject&amp;classid=6000&amp;objid=8016780", "ECO-020407")</f>
        <v>ECO-020407</v>
      </c>
      <c r="M245" s="30" t="s">
        <v>7053</v>
      </c>
      <c r="N245" s="30" t="s">
        <v>7610</v>
      </c>
    </row>
    <row r="246">
      <c r="A246" s="168" t="str">
        <f>hyperlink("https://issues.sierrawireless.com/browse/OEMPRI-1729", "OEMPRI-1729")</f>
        <v>OEMPRI-1729</v>
      </c>
      <c r="B246" s="30" t="b">
        <v>1</v>
      </c>
      <c r="C246" s="30">
        <v>1102723.0</v>
      </c>
      <c r="D246" s="191">
        <v>9905112.0</v>
      </c>
      <c r="E246" s="30" t="s">
        <v>139</v>
      </c>
      <c r="F246" s="35">
        <v>42395.0</v>
      </c>
      <c r="G246" s="30" t="s">
        <v>92</v>
      </c>
      <c r="H246" s="30" t="s">
        <v>3685</v>
      </c>
      <c r="I246" s="30" t="s">
        <v>216</v>
      </c>
      <c r="J246" s="30" t="s">
        <v>216</v>
      </c>
      <c r="K246" s="168" t="str">
        <f>hyperlink("https://skutracker.sierrawireless.local/projects/1926", "1926")</f>
        <v>1926</v>
      </c>
      <c r="L246" s="168" t="str">
        <f>hyperlink("https://agile.sierrawireless.com/Agile/PLMServlet?action=OpenEmailObject&amp;classid=6000&amp;objid=8175677", "ECO-020898")</f>
        <v>ECO-020898</v>
      </c>
      <c r="M246" s="30" t="s">
        <v>7586</v>
      </c>
      <c r="N246" s="30" t="s">
        <v>7587</v>
      </c>
    </row>
    <row r="247">
      <c r="A247" s="168" t="str">
        <f>hyperlink("https://issues.sierrawireless.com/browse/OEMPRI-1782", "OEMPRI-1782")</f>
        <v>OEMPRI-1782</v>
      </c>
      <c r="B247" s="30" t="b">
        <v>1</v>
      </c>
      <c r="C247" s="30">
        <v>1102727.0</v>
      </c>
      <c r="D247" s="191">
        <v>9905119.0</v>
      </c>
      <c r="E247" s="30" t="s">
        <v>139</v>
      </c>
      <c r="F247" s="35">
        <v>42395.0</v>
      </c>
      <c r="G247" s="30" t="s">
        <v>92</v>
      </c>
      <c r="H247" s="30" t="s">
        <v>3685</v>
      </c>
      <c r="I247" s="30" t="s">
        <v>216</v>
      </c>
      <c r="J247" s="30" t="s">
        <v>216</v>
      </c>
      <c r="K247" s="168" t="str">
        <f>hyperlink("https://skutracker.sierrawireless.local/projects/1987", "1987")</f>
        <v>1987</v>
      </c>
      <c r="L247" s="168" t="str">
        <f t="shared" ref="L247:L248" si="21">hyperlink("https://agile.sierrawireless.com/Agile/PLMServlet?action=OpenEmailObject&amp;classid=6000&amp;objid=8041610", "ECO-020508")</f>
        <v>ECO-020508</v>
      </c>
      <c r="M247" s="30" t="s">
        <v>7053</v>
      </c>
      <c r="N247" s="30" t="s">
        <v>7610</v>
      </c>
    </row>
    <row r="248">
      <c r="A248" s="168" t="str">
        <f>hyperlink("https://issues.sierrawireless.com/browse/OEMPRI-1781", "OEMPRI-1781")</f>
        <v>OEMPRI-1781</v>
      </c>
      <c r="B248" s="30" t="b">
        <v>1</v>
      </c>
      <c r="C248" s="30">
        <v>1102728.0</v>
      </c>
      <c r="D248" s="191">
        <v>9905120.0</v>
      </c>
      <c r="E248" s="30" t="s">
        <v>139</v>
      </c>
      <c r="F248" s="35">
        <v>42395.0</v>
      </c>
      <c r="G248" s="30" t="s">
        <v>92</v>
      </c>
      <c r="H248" s="30" t="s">
        <v>3685</v>
      </c>
      <c r="I248" s="30" t="s">
        <v>216</v>
      </c>
      <c r="J248" s="30" t="s">
        <v>216</v>
      </c>
      <c r="K248" s="168" t="str">
        <f>hyperlink("https://skutracker.sierrawireless.local/projects/1988", "1988")</f>
        <v>1988</v>
      </c>
      <c r="L248" s="168" t="str">
        <f t="shared" si="21"/>
        <v>ECO-020508</v>
      </c>
      <c r="M248" s="30" t="s">
        <v>7053</v>
      </c>
      <c r="N248" s="30" t="s">
        <v>7610</v>
      </c>
    </row>
    <row r="249">
      <c r="A249" s="168" t="str">
        <f>hyperlink("https://issues.sierrawireless.com/browse/OEMPRI-1700", "OEMPRI-1700")</f>
        <v>OEMPRI-1700</v>
      </c>
      <c r="B249" s="30" t="b">
        <v>1</v>
      </c>
      <c r="C249" s="30">
        <v>1103041.0</v>
      </c>
      <c r="D249" s="191">
        <v>9906062.0</v>
      </c>
      <c r="E249" s="30" t="s">
        <v>139</v>
      </c>
      <c r="F249" s="35">
        <v>42395.0</v>
      </c>
      <c r="G249" s="30" t="s">
        <v>92</v>
      </c>
      <c r="H249" s="30" t="s">
        <v>176</v>
      </c>
      <c r="I249" s="30" t="s">
        <v>177</v>
      </c>
      <c r="J249" s="30" t="s">
        <v>177</v>
      </c>
      <c r="K249" s="168" t="str">
        <f>hyperlink("https://skutracker.sierrawireless.local/projects/2350", "2350")</f>
        <v>2350</v>
      </c>
      <c r="L249" s="30" t="s">
        <v>166</v>
      </c>
      <c r="M249" s="30" t="s">
        <v>7053</v>
      </c>
      <c r="N249" s="30" t="s">
        <v>7613</v>
      </c>
    </row>
    <row r="250">
      <c r="A250" s="168" t="str">
        <f>hyperlink("https://issues.sierrawireless.com/browse/OEMPRI-1581", "OEMPRI-1581")</f>
        <v>OEMPRI-1581</v>
      </c>
      <c r="B250" s="30" t="b">
        <v>1</v>
      </c>
      <c r="C250" s="30">
        <v>1103047.0</v>
      </c>
      <c r="D250" s="191" t="s">
        <v>7590</v>
      </c>
      <c r="E250" s="30" t="s">
        <v>139</v>
      </c>
      <c r="F250" s="35">
        <v>42395.0</v>
      </c>
      <c r="G250" s="30" t="s">
        <v>92</v>
      </c>
      <c r="H250" s="30" t="s">
        <v>2707</v>
      </c>
      <c r="I250" s="30" t="s">
        <v>4728</v>
      </c>
      <c r="J250" s="30" t="s">
        <v>216</v>
      </c>
      <c r="K250" s="168" t="str">
        <f>hyperlink("https://skutracker.sierrawireless.local/projects/2464", "2464")</f>
        <v>2464</v>
      </c>
      <c r="L250" s="168" t="str">
        <f>hyperlink("https://agile.sierrawireless.com/Agile/PLMServlet?action=OpenEmailObject&amp;classid=6000&amp;objid=8037436", "ECO-020492")</f>
        <v>ECO-020492</v>
      </c>
      <c r="M250" s="30" t="s">
        <v>7595</v>
      </c>
      <c r="N250" s="30" t="s">
        <v>7614</v>
      </c>
    </row>
    <row r="251">
      <c r="A251" s="168" t="str">
        <f>hyperlink("https://issues.sierrawireless.com/browse/OEMPRI-1582", "OEMPRI-1582")</f>
        <v>OEMPRI-1582</v>
      </c>
      <c r="B251" s="30" t="b">
        <v>1</v>
      </c>
      <c r="C251" s="30">
        <v>1103050.0</v>
      </c>
      <c r="D251" s="191">
        <v>9906084.0</v>
      </c>
      <c r="E251" s="30" t="s">
        <v>139</v>
      </c>
      <c r="F251" s="35">
        <v>42395.0</v>
      </c>
      <c r="G251" s="30" t="s">
        <v>92</v>
      </c>
      <c r="H251" s="30" t="s">
        <v>2707</v>
      </c>
      <c r="I251" s="30" t="s">
        <v>4728</v>
      </c>
      <c r="J251" s="30" t="s">
        <v>216</v>
      </c>
      <c r="K251" s="168" t="str">
        <f>hyperlink("https://skutracker.sierrawireless.local/projects/2474", "2474")</f>
        <v>2474</v>
      </c>
      <c r="L251" s="168" t="str">
        <f>hyperlink("https://agile.sierrawireless.com/Agile/PLMServlet?action=OpenEmailObject&amp;classid=6000&amp;objid=8053338", "ECO-020539")</f>
        <v>ECO-020539</v>
      </c>
      <c r="M251" s="30" t="s">
        <v>7595</v>
      </c>
      <c r="N251" s="30" t="s">
        <v>7596</v>
      </c>
    </row>
    <row r="252">
      <c r="A252" s="168" t="str">
        <f>hyperlink("https://issues.sierrawireless.com/browse/OEMPRI-1728", "OEMPRI-1728")</f>
        <v>OEMPRI-1728</v>
      </c>
      <c r="B252" s="30" t="b">
        <v>1</v>
      </c>
      <c r="C252" s="30">
        <v>1103071.0</v>
      </c>
      <c r="D252" s="191">
        <v>9906191.0</v>
      </c>
      <c r="E252" s="30" t="s">
        <v>139</v>
      </c>
      <c r="F252" s="35">
        <v>42395.0</v>
      </c>
      <c r="G252" s="30" t="s">
        <v>92</v>
      </c>
      <c r="H252" s="30" t="s">
        <v>3685</v>
      </c>
      <c r="I252" s="30" t="s">
        <v>216</v>
      </c>
      <c r="J252" s="30" t="s">
        <v>216</v>
      </c>
      <c r="K252" s="168" t="str">
        <f>hyperlink("https://skutracker.sierrawireless.local/projects/2527", "2527")</f>
        <v>2527</v>
      </c>
      <c r="L252" s="168" t="str">
        <f>hyperlink("https://agile.sierrawireless.com/Agile/PLMServlet?action=OpenEmailObject&amp;classid=6000&amp;objid=8175069", "ECO-020896")</f>
        <v>ECO-020896</v>
      </c>
      <c r="M252" s="30" t="s">
        <v>7053</v>
      </c>
      <c r="N252" s="30" t="s">
        <v>7610</v>
      </c>
    </row>
    <row r="253">
      <c r="A253" s="168" t="str">
        <f>hyperlink("https://issues.sierrawireless.com/browse/OEMPRI-1580", "OEMPRI-1580")</f>
        <v>OEMPRI-1580</v>
      </c>
      <c r="B253" s="30" t="b">
        <v>1</v>
      </c>
      <c r="C253" s="30">
        <v>1103225.0</v>
      </c>
      <c r="D253" s="191">
        <v>9906699.0</v>
      </c>
      <c r="E253" s="30" t="s">
        <v>139</v>
      </c>
      <c r="F253" s="35">
        <v>42395.0</v>
      </c>
      <c r="G253" s="30" t="s">
        <v>92</v>
      </c>
      <c r="H253" s="30" t="s">
        <v>2707</v>
      </c>
      <c r="I253" s="30" t="s">
        <v>4728</v>
      </c>
      <c r="J253" s="30" t="s">
        <v>216</v>
      </c>
      <c r="K253" s="168" t="str">
        <f>hyperlink("https://skutracker.sierrawireless.local/projects/2565", "2565")</f>
        <v>2565</v>
      </c>
      <c r="L253" s="168" t="str">
        <f>hyperlink("https://agile.sierrawireless.com/Agile/PLMServlet?action=OpenEmailObject&amp;classid=6000&amp;objid=9794343", "ECO-022325")</f>
        <v>ECO-022325</v>
      </c>
      <c r="M253" s="30" t="s">
        <v>7595</v>
      </c>
      <c r="N253" s="30" t="s">
        <v>7596</v>
      </c>
    </row>
    <row r="254">
      <c r="A254" s="168" t="str">
        <f>hyperlink("https://issues.sierrawireless.com/browse/OEMPRI-1639", "OEMPRI-1639")</f>
        <v>OEMPRI-1639</v>
      </c>
      <c r="B254" s="30" t="b">
        <v>1</v>
      </c>
      <c r="C254" s="30">
        <v>1102571.0</v>
      </c>
      <c r="D254" s="191">
        <v>9904615.0</v>
      </c>
      <c r="E254" s="30" t="s">
        <v>139</v>
      </c>
      <c r="F254" s="35">
        <v>42395.0</v>
      </c>
      <c r="G254" s="30" t="s">
        <v>92</v>
      </c>
      <c r="H254" s="30" t="s">
        <v>215</v>
      </c>
      <c r="I254" s="30" t="s">
        <v>216</v>
      </c>
      <c r="J254" s="30" t="s">
        <v>216</v>
      </c>
      <c r="K254" s="168" t="str">
        <f>hyperlink("https://skutracker.sierrawireless.local/projects/2845", "2845")</f>
        <v>2845</v>
      </c>
      <c r="L254" s="168" t="str">
        <f>hyperlink("https://agile.sierrawireless.com/Agile/PLMServlet?action=OpenEmailObject&amp;classid=6000&amp;objid=9104202", "ECO-021852")</f>
        <v>ECO-021852</v>
      </c>
      <c r="M254" s="30" t="s">
        <v>7620</v>
      </c>
      <c r="N254" s="30" t="s">
        <v>7349</v>
      </c>
    </row>
    <row r="255">
      <c r="A255" s="168" t="str">
        <f>hyperlink("https://issues.sierrawireless.com/browse/OEMPRI-1579", "OEMPRI-1579")</f>
        <v>OEMPRI-1579</v>
      </c>
      <c r="B255" s="30" t="b">
        <v>1</v>
      </c>
      <c r="C255" s="30">
        <v>1103247.0</v>
      </c>
      <c r="D255" s="191">
        <v>9906737.0</v>
      </c>
      <c r="E255" s="30" t="s">
        <v>139</v>
      </c>
      <c r="F255" s="35">
        <v>42395.0</v>
      </c>
      <c r="G255" s="30" t="s">
        <v>92</v>
      </c>
      <c r="H255" s="30" t="s">
        <v>2707</v>
      </c>
      <c r="I255" s="30" t="s">
        <v>5621</v>
      </c>
      <c r="J255" s="30" t="s">
        <v>216</v>
      </c>
      <c r="K255" s="168" t="str">
        <f>hyperlink("https://skutracker.sierrawireless.local/projects/3228", "3228")</f>
        <v>3228</v>
      </c>
      <c r="L255" s="168" t="str">
        <f>hyperlink("https://agile.sierrawireless.com/Agile/PLMServlet?action=OpenEmailObject&amp;classid=0&amp;objid=-1", "ECO-022470")</f>
        <v>ECO-022470</v>
      </c>
      <c r="M255" s="30" t="s">
        <v>7327</v>
      </c>
      <c r="N255" s="30" t="s">
        <v>7328</v>
      </c>
    </row>
    <row r="256">
      <c r="A256" s="168" t="str">
        <f>hyperlink("https://issues.sierrawireless.com/browse/OEMPRI-1806", "OEMPRI-1806")</f>
        <v>OEMPRI-1806</v>
      </c>
      <c r="B256" s="30" t="b">
        <v>1</v>
      </c>
      <c r="C256" s="30">
        <v>1102599.0</v>
      </c>
      <c r="D256" s="191">
        <v>9905377.0</v>
      </c>
      <c r="E256" s="30" t="s">
        <v>139</v>
      </c>
      <c r="F256" s="35">
        <v>42394.0</v>
      </c>
      <c r="G256" s="30" t="s">
        <v>92</v>
      </c>
      <c r="H256" s="30" t="s">
        <v>1399</v>
      </c>
      <c r="I256" s="30" t="s">
        <v>453</v>
      </c>
      <c r="J256" s="30" t="s">
        <v>1400</v>
      </c>
      <c r="K256" s="168" t="str">
        <f>hyperlink("https://skutracker.sierrawireless.local/projects/1395", "1395")</f>
        <v>1395</v>
      </c>
      <c r="L256" s="168" t="str">
        <f>hyperlink("https://agile.sierrawireless.com/Agile/PLMServlet?action=OpenEmailObject&amp;classid=6000&amp;objid=7912266", "ECO-016278")</f>
        <v>ECO-016278</v>
      </c>
      <c r="M256" s="30" t="s">
        <v>7631</v>
      </c>
      <c r="N256" s="30" t="s">
        <v>7289</v>
      </c>
    </row>
    <row r="257">
      <c r="A257" s="168" t="str">
        <f>hyperlink("https://issues.sierrawireless.com/browse/OEMPRI-1807", "OEMPRI-1807")</f>
        <v>OEMPRI-1807</v>
      </c>
      <c r="B257" s="30" t="b">
        <v>1</v>
      </c>
      <c r="C257" s="30">
        <v>1102783.0</v>
      </c>
      <c r="D257" s="191">
        <v>9905377.0</v>
      </c>
      <c r="E257" s="30" t="s">
        <v>139</v>
      </c>
      <c r="F257" s="35">
        <v>42394.0</v>
      </c>
      <c r="G257" s="30" t="s">
        <v>92</v>
      </c>
      <c r="H257" s="30" t="s">
        <v>1399</v>
      </c>
      <c r="I257" s="30" t="s">
        <v>1400</v>
      </c>
      <c r="J257" s="30" t="s">
        <v>1400</v>
      </c>
      <c r="K257" s="168" t="str">
        <f>hyperlink("https://skutracker.sierrawireless.local/projects/2160", "2160")</f>
        <v>2160</v>
      </c>
      <c r="L257" s="168" t="str">
        <f>hyperlink("https://agile.sierrawireless.com/Agile/PLMServlet?action=OpenEmailObject&amp;classid=6000&amp;objid=8114666", "ECO-020707")</f>
        <v>ECO-020707</v>
      </c>
      <c r="M257" s="30" t="s">
        <v>7631</v>
      </c>
      <c r="N257" s="30" t="s">
        <v>7289</v>
      </c>
    </row>
    <row r="258">
      <c r="A258" s="168" t="str">
        <f>hyperlink("https://issues.sierrawireless.com/browse/OEMPRI-1788", "OEMPRI-1788")</f>
        <v>OEMPRI-1788</v>
      </c>
      <c r="B258" s="30" t="b">
        <v>1</v>
      </c>
      <c r="C258" s="30">
        <v>1102407.0</v>
      </c>
      <c r="D258" s="191">
        <v>9904064.0</v>
      </c>
      <c r="E258" s="30" t="s">
        <v>139</v>
      </c>
      <c r="F258" s="35">
        <v>42393.0</v>
      </c>
      <c r="G258" s="30" t="s">
        <v>92</v>
      </c>
      <c r="H258" s="30" t="s">
        <v>215</v>
      </c>
      <c r="I258" s="30" t="s">
        <v>216</v>
      </c>
      <c r="J258" s="30" t="s">
        <v>216</v>
      </c>
      <c r="K258" s="168" t="str">
        <f>hyperlink("https://skutracker.sierrawireless.local/projects/2248", "2248")</f>
        <v>2248</v>
      </c>
      <c r="L258" s="168" t="str">
        <f t="shared" ref="L258:L260" si="22">hyperlink("https://agile.sierrawireless.com/Agile/PLMServlet?action=OpenEmailObject&amp;classid=6000&amp;objid=7966983", "ECO-020196")</f>
        <v>ECO-020196</v>
      </c>
      <c r="M258" s="30" t="s">
        <v>7620</v>
      </c>
      <c r="N258" s="30" t="s">
        <v>7311</v>
      </c>
    </row>
    <row r="259">
      <c r="A259" s="168" t="str">
        <f>hyperlink("https://issues.sierrawireless.com/browse/OEMPRI-1787", "OEMPRI-1787")</f>
        <v>OEMPRI-1787</v>
      </c>
      <c r="B259" s="30" t="b">
        <v>1</v>
      </c>
      <c r="C259" s="30">
        <v>1102552.0</v>
      </c>
      <c r="D259" s="191">
        <v>9904565.0</v>
      </c>
      <c r="E259" s="30" t="s">
        <v>139</v>
      </c>
      <c r="F259" s="35">
        <v>42393.0</v>
      </c>
      <c r="G259" s="30" t="s">
        <v>92</v>
      </c>
      <c r="H259" s="30" t="s">
        <v>215</v>
      </c>
      <c r="I259" s="30" t="s">
        <v>216</v>
      </c>
      <c r="J259" s="30" t="s">
        <v>216</v>
      </c>
      <c r="K259" s="168" t="str">
        <f>hyperlink("https://skutracker.sierrawireless.local/projects/2249", "2249")</f>
        <v>2249</v>
      </c>
      <c r="L259" s="168" t="str">
        <f t="shared" si="22"/>
        <v>ECO-020196</v>
      </c>
      <c r="M259" s="30" t="s">
        <v>7620</v>
      </c>
      <c r="N259" s="30" t="s">
        <v>7311</v>
      </c>
    </row>
    <row r="260">
      <c r="A260" s="168" t="str">
        <f>hyperlink("https://issues.sierrawireless.com/browse/OEMPRI-1786", "OEMPRI-1786")</f>
        <v>OEMPRI-1786</v>
      </c>
      <c r="B260" s="30" t="b">
        <v>1</v>
      </c>
      <c r="C260" s="30">
        <v>1102290.0</v>
      </c>
      <c r="D260" s="191">
        <v>9903748.0</v>
      </c>
      <c r="E260" s="30" t="s">
        <v>139</v>
      </c>
      <c r="F260" s="35">
        <v>42393.0</v>
      </c>
      <c r="G260" s="30" t="s">
        <v>92</v>
      </c>
      <c r="H260" s="30" t="s">
        <v>215</v>
      </c>
      <c r="I260" s="30" t="s">
        <v>216</v>
      </c>
      <c r="J260" s="30" t="s">
        <v>216</v>
      </c>
      <c r="K260" s="168" t="str">
        <f>hyperlink("https://skutracker.sierrawireless.local/projects/2250", "2250")</f>
        <v>2250</v>
      </c>
      <c r="L260" s="168" t="str">
        <f t="shared" si="22"/>
        <v>ECO-020196</v>
      </c>
      <c r="M260" s="30" t="s">
        <v>7638</v>
      </c>
      <c r="N260" s="30" t="s">
        <v>7311</v>
      </c>
    </row>
    <row r="261">
      <c r="A261" s="168" t="str">
        <f>hyperlink("https://issues.sierrawireless.com/browse/OEMPRI-1704", "OEMPRI-1704")</f>
        <v>OEMPRI-1704</v>
      </c>
      <c r="B261" s="30" t="b">
        <v>1</v>
      </c>
      <c r="C261" s="30">
        <v>1102761.0</v>
      </c>
      <c r="D261" s="191">
        <v>9905322.0</v>
      </c>
      <c r="E261" s="30" t="s">
        <v>139</v>
      </c>
      <c r="F261" s="35">
        <v>42393.0</v>
      </c>
      <c r="G261" s="30" t="s">
        <v>92</v>
      </c>
      <c r="H261" s="30" t="s">
        <v>176</v>
      </c>
      <c r="I261" s="30" t="s">
        <v>177</v>
      </c>
      <c r="J261" s="30" t="s">
        <v>177</v>
      </c>
      <c r="K261" s="168" t="str">
        <f>hyperlink("https://skutracker.sierrawireless.local/projects/2449", "2449")</f>
        <v>2449</v>
      </c>
      <c r="L261" s="168" t="str">
        <f>hyperlink("https://agile.sierrawireless.com/Agile/PLMServlet?action=OpenEmailObject&amp;classid=8000&amp;objid=8109018", "TDN-010273")</f>
        <v>TDN-010273</v>
      </c>
      <c r="M261" s="30" t="s">
        <v>7066</v>
      </c>
      <c r="N261" s="30" t="s">
        <v>7641</v>
      </c>
    </row>
    <row r="262">
      <c r="A262" s="168" t="str">
        <f>hyperlink("https://issues.sierrawireless.com/browse/OEMPRI-1680", "OEMPRI-1680")</f>
        <v>OEMPRI-1680</v>
      </c>
      <c r="B262" s="30" t="b">
        <v>1</v>
      </c>
      <c r="C262" s="30">
        <v>1102202.0</v>
      </c>
      <c r="D262" s="191" t="s">
        <v>7642</v>
      </c>
      <c r="E262" s="30" t="s">
        <v>139</v>
      </c>
      <c r="F262" s="35">
        <v>42393.0</v>
      </c>
      <c r="G262" s="30" t="s">
        <v>92</v>
      </c>
      <c r="H262" s="30" t="s">
        <v>215</v>
      </c>
      <c r="I262" s="30" t="s">
        <v>216</v>
      </c>
      <c r="J262" s="30" t="s">
        <v>216</v>
      </c>
      <c r="K262" s="168" t="str">
        <f>hyperlink("https://skutracker.sierrawireless.local/projects/2803", "2803")</f>
        <v>2803</v>
      </c>
      <c r="L262" s="168" t="str">
        <f>hyperlink("https://agile.sierrawireless.com/Agile/PLMServlet?action=OpenEmailObject&amp;classid=6000&amp;objid=8645665", "ECO-021464")</f>
        <v>ECO-021464</v>
      </c>
      <c r="M262" s="30" t="s">
        <v>7644</v>
      </c>
      <c r="N262" s="30" t="s">
        <v>7645</v>
      </c>
    </row>
    <row r="263">
      <c r="A263" s="168" t="str">
        <f>hyperlink("https://issues.sierrawireless.com/browse/OEMPRI-1682", "OEMPRI-1682")</f>
        <v>OEMPRI-1682</v>
      </c>
      <c r="B263" s="30" t="b">
        <v>1</v>
      </c>
      <c r="C263" s="30">
        <v>1103032.0</v>
      </c>
      <c r="D263" s="191">
        <v>9906054.0</v>
      </c>
      <c r="E263" s="30" t="s">
        <v>139</v>
      </c>
      <c r="F263" s="35">
        <v>42392.0</v>
      </c>
      <c r="G263" s="30" t="s">
        <v>92</v>
      </c>
      <c r="H263" s="30" t="s">
        <v>176</v>
      </c>
      <c r="I263" s="30" t="s">
        <v>177</v>
      </c>
      <c r="J263" s="30" t="s">
        <v>177</v>
      </c>
      <c r="K263" s="168" t="str">
        <f>hyperlink("https://skutracker.sierrawireless.local/projects/2348", "2348")</f>
        <v>2348</v>
      </c>
      <c r="L263" s="30" t="s">
        <v>166</v>
      </c>
      <c r="M263" s="30" t="s">
        <v>7053</v>
      </c>
      <c r="N263" s="30" t="s">
        <v>7613</v>
      </c>
    </row>
    <row r="264">
      <c r="A264" s="168" t="str">
        <f>hyperlink("https://issues.sierrawireless.com/browse/OEMPRI-1681", "OEMPRI-1681")</f>
        <v>OEMPRI-1681</v>
      </c>
      <c r="B264" s="30" t="b">
        <v>1</v>
      </c>
      <c r="C264" s="30">
        <v>1103125.0</v>
      </c>
      <c r="D264" s="191">
        <v>9906379.0</v>
      </c>
      <c r="E264" s="30" t="s">
        <v>139</v>
      </c>
      <c r="F264" s="35">
        <v>42392.0</v>
      </c>
      <c r="G264" s="30" t="s">
        <v>92</v>
      </c>
      <c r="H264" s="30" t="s">
        <v>3685</v>
      </c>
      <c r="I264" s="30" t="s">
        <v>216</v>
      </c>
      <c r="J264" s="30" t="s">
        <v>216</v>
      </c>
      <c r="K264" s="168" t="str">
        <f>hyperlink("https://skutracker.sierrawireless.local/projects/2791", "2791")</f>
        <v>2791</v>
      </c>
      <c r="L264" s="168" t="str">
        <f>hyperlink("https://agile.sierrawireless.com/Agile/PLMServlet?action=OpenEmailObject&amp;classid=6000&amp;objid=8426767", "ECO-021256")</f>
        <v>ECO-021256</v>
      </c>
      <c r="M264" s="30" t="s">
        <v>7053</v>
      </c>
      <c r="N264" s="30" t="s">
        <v>7650</v>
      </c>
    </row>
    <row r="265">
      <c r="A265" s="168" t="str">
        <f>hyperlink("https://issues.sierrawireless.com/browse/OEMPRI-1611", "OEMPRI-1611")</f>
        <v>OEMPRI-1611</v>
      </c>
      <c r="B265" s="30" t="b">
        <v>1</v>
      </c>
      <c r="C265" s="30">
        <v>1103197.0</v>
      </c>
      <c r="D265" s="191">
        <v>9906601.0</v>
      </c>
      <c r="E265" s="30" t="s">
        <v>139</v>
      </c>
      <c r="F265" s="35">
        <v>42392.0</v>
      </c>
      <c r="G265" s="30" t="s">
        <v>92</v>
      </c>
      <c r="H265" s="30" t="s">
        <v>215</v>
      </c>
      <c r="I265" s="30" t="s">
        <v>216</v>
      </c>
      <c r="J265" s="30" t="s">
        <v>216</v>
      </c>
      <c r="K265" s="168" t="str">
        <f>hyperlink("https://skutracker.sierrawireless.local/projects/3007", "3007")</f>
        <v>3007</v>
      </c>
      <c r="L265" s="168" t="str">
        <f>hyperlink("https://agile.sierrawireless.com/Agile/PLMServlet?action=OpenEmailObject&amp;classid=6000&amp;objid=9302202", "ECO-022028")</f>
        <v>ECO-022028</v>
      </c>
      <c r="M265" s="30" t="s">
        <v>7327</v>
      </c>
      <c r="N265" s="30" t="s">
        <v>7311</v>
      </c>
    </row>
    <row r="266">
      <c r="A266" s="168" t="str">
        <f>hyperlink("https://issues.sierrawireless.com/browse/OEMPRI-1789", "OEMPRI-1789")</f>
        <v>OEMPRI-1789</v>
      </c>
      <c r="B266" s="30" t="b">
        <v>1</v>
      </c>
      <c r="C266" s="30">
        <v>1102754.0</v>
      </c>
      <c r="D266" s="191">
        <v>9905253.0</v>
      </c>
      <c r="E266" s="30" t="s">
        <v>139</v>
      </c>
      <c r="F266" s="35">
        <v>42392.0</v>
      </c>
      <c r="G266" s="30" t="s">
        <v>92</v>
      </c>
      <c r="H266" s="30" t="s">
        <v>2596</v>
      </c>
      <c r="I266" s="30" t="s">
        <v>244</v>
      </c>
      <c r="J266" s="30" t="s">
        <v>244</v>
      </c>
      <c r="K266" s="168" t="str">
        <f>hyperlink("https://skutracker.sierrawireless.local/projects/1102754", "1102754")</f>
        <v>1102754</v>
      </c>
      <c r="L266" s="30" t="s">
        <v>166</v>
      </c>
      <c r="M266" s="30" t="s">
        <v>7654</v>
      </c>
      <c r="N266" s="30" t="s">
        <v>7655</v>
      </c>
    </row>
    <row r="267">
      <c r="A267" s="168" t="str">
        <f>hyperlink("https://issues.sierrawireless.com/browse/OEMPRI-1790", "OEMPRI-1790")</f>
        <v>OEMPRI-1790</v>
      </c>
      <c r="B267" s="30" t="b">
        <v>1</v>
      </c>
      <c r="C267" s="30">
        <v>1102755.0</v>
      </c>
      <c r="D267" s="191" t="s">
        <v>7656</v>
      </c>
      <c r="E267" s="30" t="s">
        <v>139</v>
      </c>
      <c r="F267" s="35">
        <v>42392.0</v>
      </c>
      <c r="G267" s="30" t="s">
        <v>92</v>
      </c>
      <c r="H267" s="30" t="s">
        <v>2596</v>
      </c>
      <c r="I267" s="30" t="s">
        <v>244</v>
      </c>
      <c r="J267" s="30" t="s">
        <v>244</v>
      </c>
      <c r="K267" s="168" t="str">
        <f>hyperlink("https://skutracker.sierrawireless.local/projects/1102755", "1102755")</f>
        <v>1102755</v>
      </c>
      <c r="L267" s="30" t="s">
        <v>166</v>
      </c>
      <c r="M267" s="30" t="s">
        <v>7658</v>
      </c>
      <c r="N267" s="30" t="s">
        <v>7655</v>
      </c>
    </row>
    <row r="268">
      <c r="A268" s="168" t="str">
        <f>hyperlink("https://issues.sierrawireless.com/browse/OEMPRI-1791", "OEMPRI-1791")</f>
        <v>OEMPRI-1791</v>
      </c>
      <c r="B268" s="30" t="b">
        <v>1</v>
      </c>
      <c r="C268" s="30">
        <v>1103010.0</v>
      </c>
      <c r="D268" s="191">
        <v>9906032.0</v>
      </c>
      <c r="E268" s="30" t="s">
        <v>139</v>
      </c>
      <c r="F268" s="35">
        <v>42391.0</v>
      </c>
      <c r="G268" s="30" t="s">
        <v>92</v>
      </c>
      <c r="H268" s="30" t="s">
        <v>3685</v>
      </c>
      <c r="I268" s="30" t="s">
        <v>216</v>
      </c>
      <c r="J268" s="30" t="s">
        <v>216</v>
      </c>
      <c r="K268" s="168" t="str">
        <f>hyperlink("https://skutracker.sierrawireless.local/projects/2362", "2362")</f>
        <v>2362</v>
      </c>
      <c r="L268" s="168" t="str">
        <f>hyperlink("https://agile.sierrawireless.com/Agile/PLMServlet?action=OpenEmailObject&amp;classid=6000&amp;objid=7951845", "ECO-020157")</f>
        <v>ECO-020157</v>
      </c>
      <c r="M268" s="30" t="s">
        <v>7053</v>
      </c>
      <c r="N268" s="30" t="s">
        <v>7610</v>
      </c>
    </row>
    <row r="269">
      <c r="A269" s="168" t="str">
        <f>hyperlink("https://issues.sierrawireless.com/browse/OEMPRI-1808", "OEMPRI-1808")</f>
        <v>OEMPRI-1808</v>
      </c>
      <c r="B269" s="30" t="b">
        <v>1</v>
      </c>
      <c r="C269" s="30">
        <v>1102586.0</v>
      </c>
      <c r="D269" s="191">
        <v>9904631.0</v>
      </c>
      <c r="E269" s="30" t="s">
        <v>139</v>
      </c>
      <c r="F269" s="35">
        <v>42390.0</v>
      </c>
      <c r="G269" s="30" t="s">
        <v>92</v>
      </c>
      <c r="H269" s="30" t="s">
        <v>215</v>
      </c>
      <c r="I269" s="30" t="s">
        <v>216</v>
      </c>
      <c r="J269" s="30" t="s">
        <v>216</v>
      </c>
      <c r="K269" s="168" t="str">
        <f>hyperlink("https://skutracker.sierrawireless.local/projects/20295", "20295")</f>
        <v>20295</v>
      </c>
      <c r="L269" s="30" t="s">
        <v>166</v>
      </c>
      <c r="M269" s="30" t="s">
        <v>7662</v>
      </c>
      <c r="N269" s="30" t="s">
        <v>7663</v>
      </c>
    </row>
    <row r="270">
      <c r="A270" s="168" t="str">
        <f>hyperlink("https://issues.sierrawireless.com/browse/OEMPRI-1640", "OEMPRI-1640")</f>
        <v>OEMPRI-1640</v>
      </c>
      <c r="B270" s="30" t="b">
        <v>1</v>
      </c>
      <c r="C270" s="30">
        <v>1103047.0</v>
      </c>
      <c r="D270" s="191" t="s">
        <v>7590</v>
      </c>
      <c r="E270" s="30" t="s">
        <v>139</v>
      </c>
      <c r="F270" s="35">
        <v>42390.0</v>
      </c>
      <c r="G270" s="30" t="s">
        <v>92</v>
      </c>
      <c r="H270" s="30" t="s">
        <v>2707</v>
      </c>
      <c r="I270" s="30" t="s">
        <v>216</v>
      </c>
      <c r="J270" s="30" t="s">
        <v>216</v>
      </c>
      <c r="K270" s="168" t="str">
        <f>hyperlink("https://skutracker.sierrawireless.local/projects/2464", "2464")</f>
        <v>2464</v>
      </c>
      <c r="L270" s="168" t="str">
        <f>hyperlink("https://agile.sierrawireless.com/Agile/PLMServlet?action=OpenEmailObject&amp;classid=6000&amp;objid=8037436", "ECO-020492")</f>
        <v>ECO-020492</v>
      </c>
      <c r="M270" s="30" t="s">
        <v>7595</v>
      </c>
      <c r="N270" s="30" t="s">
        <v>7614</v>
      </c>
    </row>
    <row r="271">
      <c r="A271" s="168" t="str">
        <f>hyperlink("https://issues.sierrawireless.com/browse/OEMPRI-1752", "OEMPRI-1752")</f>
        <v>OEMPRI-1752</v>
      </c>
      <c r="B271" s="30" t="b">
        <v>1</v>
      </c>
      <c r="C271" s="30">
        <v>1103050.0</v>
      </c>
      <c r="D271" s="191">
        <v>9906084.0</v>
      </c>
      <c r="E271" s="30" t="s">
        <v>139</v>
      </c>
      <c r="F271" s="35">
        <v>42390.0</v>
      </c>
      <c r="G271" s="30" t="s">
        <v>92</v>
      </c>
      <c r="H271" s="30" t="s">
        <v>2707</v>
      </c>
      <c r="I271" s="30" t="s">
        <v>216</v>
      </c>
      <c r="J271" s="30" t="s">
        <v>216</v>
      </c>
      <c r="K271" s="168" t="str">
        <f>hyperlink("https://skutracker.sierrawireless.local/projects/2474", "2474")</f>
        <v>2474</v>
      </c>
      <c r="L271" s="168" t="str">
        <f>hyperlink("https://agile.sierrawireless.com/Agile/PLMServlet?action=OpenEmailObject&amp;classid=6000&amp;objid=8053338", "ECO-020539")</f>
        <v>ECO-020539</v>
      </c>
      <c r="M271" s="30" t="s">
        <v>7595</v>
      </c>
      <c r="N271" s="30" t="s">
        <v>7667</v>
      </c>
    </row>
    <row r="272">
      <c r="A272" s="168" t="str">
        <f>hyperlink("https://issues.sierrawireless.com/browse/OEMPRI-1595", "OEMPRI-1595")</f>
        <v>OEMPRI-1595</v>
      </c>
      <c r="B272" s="30" t="b">
        <v>1</v>
      </c>
      <c r="C272" s="30">
        <v>1103207.0</v>
      </c>
      <c r="D272" s="191">
        <v>9906620.0</v>
      </c>
      <c r="E272" s="30" t="s">
        <v>139</v>
      </c>
      <c r="F272" s="35">
        <v>42390.0</v>
      </c>
      <c r="G272" s="30" t="s">
        <v>92</v>
      </c>
      <c r="H272" s="30" t="s">
        <v>176</v>
      </c>
      <c r="I272" s="30" t="s">
        <v>177</v>
      </c>
      <c r="J272" s="30" t="s">
        <v>177</v>
      </c>
      <c r="K272" s="168" t="str">
        <f>hyperlink("https://skutracker.sierrawireless.local/projects/3053", "3053")</f>
        <v>3053</v>
      </c>
      <c r="L272" s="168" t="str">
        <f>hyperlink("https://agile.sierrawireless.com/Agile/PLMServlet?action=OpenEmailObject&amp;classid=8000&amp;objid=9394577", "TDN-010889")</f>
        <v>TDN-010889</v>
      </c>
      <c r="M272" s="30" t="s">
        <v>7066</v>
      </c>
      <c r="N272" s="30" t="s">
        <v>7670</v>
      </c>
    </row>
    <row r="273">
      <c r="A273" s="168" t="str">
        <f>hyperlink("https://issues.sierrawireless.com/browse/OEMPRI-1809", "OEMPRI-1809")</f>
        <v>OEMPRI-1809</v>
      </c>
      <c r="B273" s="30" t="b">
        <v>1</v>
      </c>
      <c r="C273" s="30">
        <v>1102751.0</v>
      </c>
      <c r="D273" s="191">
        <v>9905193.0</v>
      </c>
      <c r="E273" s="30" t="s">
        <v>139</v>
      </c>
      <c r="F273" s="35">
        <v>42389.0</v>
      </c>
      <c r="G273" s="30" t="s">
        <v>92</v>
      </c>
      <c r="H273" s="30" t="s">
        <v>215</v>
      </c>
      <c r="I273" s="30" t="s">
        <v>216</v>
      </c>
      <c r="J273" s="30" t="s">
        <v>216</v>
      </c>
      <c r="K273" s="168" t="str">
        <f>hyperlink("https://skutracker.sierrawireless.local/projects/2281", "2281")</f>
        <v>2281</v>
      </c>
      <c r="L273" s="168" t="str">
        <f>hyperlink("https://agile.sierrawireless.com/Agile/PLMServlet?action=OpenEmailObject&amp;classid=6000&amp;objid=7920435", "ECO-017855")</f>
        <v>ECO-017855</v>
      </c>
      <c r="M273" s="30" t="s">
        <v>7586</v>
      </c>
      <c r="N273" s="30" t="s">
        <v>7675</v>
      </c>
    </row>
    <row r="274">
      <c r="A274" s="168" t="str">
        <f>hyperlink("https://issues.sierrawireless.com/browse/OEMPRI-1813", "OEMPRI-1813")</f>
        <v>OEMPRI-1813</v>
      </c>
      <c r="B274" s="30" t="b">
        <v>1</v>
      </c>
      <c r="C274" s="30">
        <v>1102617.0</v>
      </c>
      <c r="D274" s="191">
        <v>9904775.0</v>
      </c>
      <c r="E274" s="30" t="s">
        <v>139</v>
      </c>
      <c r="F274" s="35">
        <v>42389.0</v>
      </c>
      <c r="G274" s="30" t="s">
        <v>92</v>
      </c>
      <c r="H274" s="30" t="s">
        <v>723</v>
      </c>
      <c r="I274" s="30" t="s">
        <v>609</v>
      </c>
      <c r="J274" s="30" t="s">
        <v>609</v>
      </c>
      <c r="K274" s="168" t="str">
        <f>hyperlink("https://skutracker.sierrawireless.local/projects/2298", "2298")</f>
        <v>2298</v>
      </c>
      <c r="L274" s="168" t="str">
        <f>hyperlink("https://agile.sierrawireless.com/Agile/PLMServlet?action=OpenEmailObject&amp;classid=6000&amp;objid=7921351", "ECO-017444")</f>
        <v>ECO-017444</v>
      </c>
      <c r="M274" s="30" t="s">
        <v>7605</v>
      </c>
      <c r="N274" s="30" t="s">
        <v>7679</v>
      </c>
    </row>
    <row r="275">
      <c r="A275" s="168" t="str">
        <f>hyperlink("https://issues.sierrawireless.com/browse/OEMPRI-1684", "OEMPRI-1684")</f>
        <v>OEMPRI-1684</v>
      </c>
      <c r="B275" s="30" t="b">
        <v>1</v>
      </c>
      <c r="C275" s="30">
        <v>1103089.0</v>
      </c>
      <c r="D275" s="191">
        <v>9906265.0</v>
      </c>
      <c r="E275" s="30" t="s">
        <v>139</v>
      </c>
      <c r="F275" s="35">
        <v>42389.0</v>
      </c>
      <c r="G275" s="30" t="s">
        <v>92</v>
      </c>
      <c r="H275" s="30" t="s">
        <v>723</v>
      </c>
      <c r="I275" s="30" t="s">
        <v>609</v>
      </c>
      <c r="J275" s="30" t="s">
        <v>609</v>
      </c>
      <c r="K275" s="168" t="str">
        <f>hyperlink("https://skutracker.sierrawireless.local/projects/2628", "2628")</f>
        <v>2628</v>
      </c>
      <c r="L275" s="168" t="str">
        <f>hyperlink("https://agile.sierrawireless.com/Agile/PLMServlet?action=OpenEmailObject&amp;classid=6000&amp;objid=8872274", "ECO-021618")</f>
        <v>ECO-021618</v>
      </c>
      <c r="M275" s="30" t="s">
        <v>7682</v>
      </c>
      <c r="N275" s="30" t="s">
        <v>7683</v>
      </c>
    </row>
    <row r="276">
      <c r="A276" s="168" t="str">
        <f>hyperlink("https://issues.sierrawireless.com/browse/OEMPRI-1596", "OEMPRI-1596")</f>
        <v>OEMPRI-1596</v>
      </c>
      <c r="B276" s="30" t="b">
        <v>1</v>
      </c>
      <c r="C276" s="30">
        <v>1103217.0</v>
      </c>
      <c r="D276" s="191">
        <v>9906679.0</v>
      </c>
      <c r="E276" s="30" t="s">
        <v>139</v>
      </c>
      <c r="F276" s="35">
        <v>42389.0</v>
      </c>
      <c r="G276" s="30" t="s">
        <v>92</v>
      </c>
      <c r="H276" s="30" t="s">
        <v>215</v>
      </c>
      <c r="I276" s="30" t="s">
        <v>216</v>
      </c>
      <c r="J276" s="30" t="s">
        <v>216</v>
      </c>
      <c r="K276" s="168" t="str">
        <f>hyperlink("https://skutracker.sierrawireless.local/projects/3035", "3035")</f>
        <v>3035</v>
      </c>
      <c r="L276" s="168" t="str">
        <f>hyperlink("https://agile.sierrawireless.com/Agile/PLMServlet?action=OpenEmailObject&amp;classid=6000&amp;objid=9979299", "ECO-022456")</f>
        <v>ECO-022456</v>
      </c>
      <c r="M276" s="30" t="s">
        <v>7687</v>
      </c>
      <c r="N276" s="30" t="s">
        <v>7350</v>
      </c>
    </row>
    <row r="277">
      <c r="A277" s="168" t="str">
        <f>hyperlink("https://issues.sierrawireless.com/browse/OEMPRI-1814", "OEMPRI-1814")</f>
        <v>OEMPRI-1814</v>
      </c>
      <c r="B277" s="30" t="b">
        <v>1</v>
      </c>
      <c r="C277" s="30">
        <v>1102616.0</v>
      </c>
      <c r="D277" s="191">
        <v>9904753.0</v>
      </c>
      <c r="E277" s="30" t="s">
        <v>139</v>
      </c>
      <c r="F277" s="35">
        <v>42388.0</v>
      </c>
      <c r="G277" s="30" t="s">
        <v>92</v>
      </c>
      <c r="H277" s="30" t="s">
        <v>723</v>
      </c>
      <c r="I277" s="30" t="s">
        <v>609</v>
      </c>
      <c r="J277" s="30" t="s">
        <v>609</v>
      </c>
      <c r="K277" s="168" t="str">
        <f>hyperlink("https://skutracker.sierrawireless.local/projects/2265", "2265")</f>
        <v>2265</v>
      </c>
      <c r="L277" s="168" t="str">
        <f>hyperlink("https://agile.sierrawireless.com/Agile/PLMServlet?action=OpenEmailObject&amp;classid=6000&amp;objid=7924049", "ECO-017698")</f>
        <v>ECO-017698</v>
      </c>
      <c r="M277" s="30" t="s">
        <v>7053</v>
      </c>
      <c r="N277" s="30" t="s">
        <v>7689</v>
      </c>
    </row>
    <row r="278">
      <c r="A278" s="168" t="str">
        <f>hyperlink("https://issues.sierrawireless.com/browse/OEMPRI-1799", "OEMPRI-1799")</f>
        <v>OEMPRI-1799</v>
      </c>
      <c r="B278" s="30" t="b">
        <v>1</v>
      </c>
      <c r="C278" s="30">
        <v>1102625.0</v>
      </c>
      <c r="D278" s="191">
        <v>9904820.0</v>
      </c>
      <c r="E278" s="30" t="s">
        <v>139</v>
      </c>
      <c r="F278" s="35">
        <v>42387.0</v>
      </c>
      <c r="G278" s="30" t="s">
        <v>92</v>
      </c>
      <c r="H278" s="30" t="s">
        <v>215</v>
      </c>
      <c r="I278" s="30" t="s">
        <v>216</v>
      </c>
      <c r="J278" s="30" t="s">
        <v>216</v>
      </c>
      <c r="K278" s="168" t="str">
        <f>hyperlink("https://skutracker.sierrawireless.local/projects/2344", "2344")</f>
        <v>2344</v>
      </c>
      <c r="L278" s="168" t="str">
        <f>hyperlink("https://agile.sierrawireless.com/Agile/PLMServlet?action=OpenEmailObject&amp;classid=6000&amp;objid=7965929", "ECO-018024")</f>
        <v>ECO-018024</v>
      </c>
      <c r="M278" s="30" t="s">
        <v>7620</v>
      </c>
      <c r="N278" s="30" t="s">
        <v>7350</v>
      </c>
    </row>
    <row r="279">
      <c r="A279" s="168" t="str">
        <f>hyperlink("https://issues.sierrawireless.com/browse/OEMPRI-1710", "OEMPRI-1710")</f>
        <v>OEMPRI-1710</v>
      </c>
      <c r="B279" s="30" t="b">
        <v>1</v>
      </c>
      <c r="C279" s="30">
        <v>1103093.0</v>
      </c>
      <c r="D279" s="191">
        <v>9906279.0</v>
      </c>
      <c r="E279" s="30" t="s">
        <v>139</v>
      </c>
      <c r="F279" s="35">
        <v>42386.0</v>
      </c>
      <c r="G279" s="30" t="s">
        <v>92</v>
      </c>
      <c r="H279" s="30" t="s">
        <v>723</v>
      </c>
      <c r="I279" s="30" t="s">
        <v>609</v>
      </c>
      <c r="J279" s="30" t="s">
        <v>609</v>
      </c>
      <c r="K279" s="168" t="str">
        <f>hyperlink("https://skutracker.sierrawireless.local/projects/2646", "2646")</f>
        <v>2646</v>
      </c>
      <c r="L279" s="168" t="str">
        <f>hyperlink("https://agile.sierrawireless.com/Agile/PLMServlet?action=OpenEmailObject&amp;classid=6000&amp;objid=8302331", "ECO-021103")</f>
        <v>ECO-021103</v>
      </c>
      <c r="M279" s="30" t="s">
        <v>7420</v>
      </c>
      <c r="N279" s="30" t="s">
        <v>7421</v>
      </c>
    </row>
    <row r="280">
      <c r="A280" s="168" t="str">
        <f>hyperlink("https://issues.sierrawireless.com/browse/OEMPRI-1709", "OEMPRI-1709")</f>
        <v>OEMPRI-1709</v>
      </c>
      <c r="B280" s="30" t="b">
        <v>1</v>
      </c>
      <c r="C280" s="30">
        <v>9160001.0</v>
      </c>
      <c r="D280" s="191">
        <v>9906287.0</v>
      </c>
      <c r="E280" s="30" t="s">
        <v>139</v>
      </c>
      <c r="F280" s="35">
        <v>42386.0</v>
      </c>
      <c r="G280" s="30" t="s">
        <v>92</v>
      </c>
      <c r="H280" s="30" t="s">
        <v>3685</v>
      </c>
      <c r="I280" s="30" t="s">
        <v>216</v>
      </c>
      <c r="J280" s="30" t="s">
        <v>216</v>
      </c>
      <c r="K280" s="168" t="str">
        <f>hyperlink("https://skutracker.sierrawireless.local/projects/2647", "2647")</f>
        <v>2647</v>
      </c>
      <c r="L280" s="168" t="str">
        <f>hyperlink("https://agile.sierrawireless.com/Agile/PLMServlet?action=OpenEmailObject&amp;classid=6000&amp;objid=8303055", "ECO-021105")</f>
        <v>ECO-021105</v>
      </c>
      <c r="M280" s="30" t="s">
        <v>7586</v>
      </c>
      <c r="N280" s="30" t="s">
        <v>7587</v>
      </c>
    </row>
    <row r="281">
      <c r="A281" s="168" t="str">
        <f>hyperlink("https://issues.sierrawireless.com/browse/OEMPRI-1686", "OEMPRI-1686")</f>
        <v>OEMPRI-1686</v>
      </c>
      <c r="B281" s="30" t="b">
        <v>1</v>
      </c>
      <c r="C281" s="30">
        <v>1102559.0</v>
      </c>
      <c r="D281" s="191">
        <v>9904575.0</v>
      </c>
      <c r="E281" s="30" t="s">
        <v>139</v>
      </c>
      <c r="F281" s="35">
        <v>42386.0</v>
      </c>
      <c r="G281" s="30" t="s">
        <v>92</v>
      </c>
      <c r="H281" s="30" t="s">
        <v>723</v>
      </c>
      <c r="I281" s="30" t="s">
        <v>609</v>
      </c>
      <c r="J281" s="30" t="s">
        <v>609</v>
      </c>
      <c r="K281" s="168" t="str">
        <f>hyperlink("https://skutracker.sierrawireless.local/projects/2720", "2720")</f>
        <v>2720</v>
      </c>
      <c r="L281" s="168" t="str">
        <f>hyperlink("https://agile.sierrawireless.com/Agile/PLMServlet?action=OpenEmailObject&amp;classid=6000&amp;objid=8487263", "ECO-021321")</f>
        <v>ECO-021321</v>
      </c>
      <c r="M281" s="30" t="s">
        <v>7586</v>
      </c>
      <c r="N281" s="30" t="s">
        <v>7691</v>
      </c>
    </row>
    <row r="282">
      <c r="A282" s="168" t="str">
        <f>hyperlink("https://issues.sierrawireless.com/browse/OEMPRI-1754", "OEMPRI-1754")</f>
        <v>OEMPRI-1754</v>
      </c>
      <c r="B282" s="30" t="b">
        <v>1</v>
      </c>
      <c r="C282" s="30">
        <v>1102785.0</v>
      </c>
      <c r="D282" s="191">
        <v>9906061.0</v>
      </c>
      <c r="E282" s="30" t="s">
        <v>139</v>
      </c>
      <c r="F282" s="35">
        <v>42385.0</v>
      </c>
      <c r="G282" s="30" t="s">
        <v>92</v>
      </c>
      <c r="H282" s="30" t="s">
        <v>176</v>
      </c>
      <c r="I282" s="30" t="s">
        <v>177</v>
      </c>
      <c r="J282" s="30" t="s">
        <v>177</v>
      </c>
      <c r="K282" s="168" t="str">
        <f>hyperlink("https://skutracker.sierrawireless.local/projects/2198", "2198")</f>
        <v>2198</v>
      </c>
      <c r="L282" s="168" t="str">
        <f t="shared" ref="L282:L283" si="23">hyperlink("https://agile.sierrawireless.com/Agile/PLMServlet?action=OpenEmailObject&amp;classid=8000&amp;objid=8108699", "TDN-010267")</f>
        <v>TDN-010267</v>
      </c>
      <c r="M282" s="30" t="s">
        <v>7066</v>
      </c>
      <c r="N282" s="30" t="s">
        <v>7692</v>
      </c>
    </row>
    <row r="283">
      <c r="A283" s="168" t="str">
        <f>hyperlink("https://issues.sierrawireless.com/browse/OEMPRI-1755", "OEMPRI-1755")</f>
        <v>OEMPRI-1755</v>
      </c>
      <c r="B283" s="30" t="b">
        <v>1</v>
      </c>
      <c r="C283" s="30">
        <v>1103048.0</v>
      </c>
      <c r="D283" s="191">
        <v>9906092.0</v>
      </c>
      <c r="E283" s="30" t="s">
        <v>139</v>
      </c>
      <c r="F283" s="35">
        <v>42385.0</v>
      </c>
      <c r="G283" s="30" t="s">
        <v>92</v>
      </c>
      <c r="H283" s="30" t="s">
        <v>176</v>
      </c>
      <c r="I283" s="30" t="s">
        <v>177</v>
      </c>
      <c r="J283" s="30" t="s">
        <v>177</v>
      </c>
      <c r="K283" s="168" t="str">
        <f>hyperlink("https://skutracker.sierrawireless.local/projects/2448", "2448")</f>
        <v>2448</v>
      </c>
      <c r="L283" s="168" t="str">
        <f t="shared" si="23"/>
        <v>TDN-010267</v>
      </c>
      <c r="M283" s="30" t="s">
        <v>7066</v>
      </c>
      <c r="N283" s="30" t="s">
        <v>7692</v>
      </c>
    </row>
    <row r="284">
      <c r="A284" s="168" t="str">
        <f>hyperlink("https://issues.sierrawireless.com/browse/OEMPRI-1756", "OEMPRI-1756")</f>
        <v>OEMPRI-1756</v>
      </c>
      <c r="B284" s="30" t="b">
        <v>1</v>
      </c>
      <c r="C284" s="30">
        <v>1102641.0</v>
      </c>
      <c r="D284" s="191">
        <v>9904888.0</v>
      </c>
      <c r="E284" s="30" t="s">
        <v>139</v>
      </c>
      <c r="F284" s="35">
        <v>42384.0</v>
      </c>
      <c r="G284" s="30" t="s">
        <v>92</v>
      </c>
      <c r="H284" s="30" t="s">
        <v>215</v>
      </c>
      <c r="I284" s="30" t="s">
        <v>216</v>
      </c>
      <c r="J284" s="30" t="s">
        <v>216</v>
      </c>
      <c r="K284" s="168" t="str">
        <f>hyperlink("https://skutracker.sierrawireless.local/projects/2280", "2280")</f>
        <v>2280</v>
      </c>
      <c r="L284" s="168" t="str">
        <f>hyperlink("https://agile.sierrawireless.com/Agile/PLMServlet?action=OpenEmailObject&amp;classid=6000&amp;objid=8015951", "ECO-020402")</f>
        <v>ECO-020402</v>
      </c>
      <c r="M284" s="30" t="s">
        <v>7327</v>
      </c>
      <c r="N284" s="30" t="s">
        <v>7311</v>
      </c>
    </row>
    <row r="285">
      <c r="A285" s="168" t="str">
        <f>hyperlink("https://issues.sierrawireless.com/browse/OEMPRI-1617", "OEMPRI-1617")</f>
        <v>OEMPRI-1617</v>
      </c>
      <c r="B285" s="30" t="b">
        <v>1</v>
      </c>
      <c r="C285" s="30">
        <v>1103109.0</v>
      </c>
      <c r="D285" s="191" t="s">
        <v>7656</v>
      </c>
      <c r="E285" s="30" t="s">
        <v>139</v>
      </c>
      <c r="F285" s="35">
        <v>42384.0</v>
      </c>
      <c r="G285" s="30" t="s">
        <v>92</v>
      </c>
      <c r="H285" s="30" t="s">
        <v>160</v>
      </c>
      <c r="I285" s="30" t="s">
        <v>216</v>
      </c>
      <c r="J285" s="30" t="s">
        <v>216</v>
      </c>
      <c r="K285" s="168" t="str">
        <f>hyperlink("https://skutracker.sierrawireless.local/projects/2721", "2721")</f>
        <v>2721</v>
      </c>
      <c r="L285" s="168" t="str">
        <f>hyperlink("https://agile.sierrawireless.com/Agile/PLMServlet?action=OpenEmailObject&amp;classid=8000&amp;objid=8748393", "TDN-010650")</f>
        <v>TDN-010650</v>
      </c>
      <c r="M285" s="30" t="s">
        <v>7306</v>
      </c>
      <c r="N285" s="30" t="s">
        <v>7693</v>
      </c>
    </row>
    <row r="286">
      <c r="A286" s="168" t="str">
        <f>hyperlink("https://issues.sierrawireless.com/browse/OEMPRI-1758", "OEMPRI-1758")</f>
        <v>OEMPRI-1758</v>
      </c>
      <c r="B286" s="30" t="b">
        <v>1</v>
      </c>
      <c r="C286" s="30">
        <v>1102677.0</v>
      </c>
      <c r="D286" s="191" t="s">
        <v>7571</v>
      </c>
      <c r="E286" s="30" t="s">
        <v>139</v>
      </c>
      <c r="F286" s="35">
        <v>42383.0</v>
      </c>
      <c r="G286" s="30" t="s">
        <v>92</v>
      </c>
      <c r="H286" s="30" t="s">
        <v>2707</v>
      </c>
      <c r="I286" s="30" t="s">
        <v>216</v>
      </c>
      <c r="J286" s="30" t="s">
        <v>216</v>
      </c>
      <c r="K286" s="168" t="str">
        <f t="shared" ref="K286:K291" si="24">hyperlink("https://skutracker.sierrawireless.local/projects/1807", "1807")</f>
        <v>1807</v>
      </c>
      <c r="L286" s="168" t="str">
        <f t="shared" ref="L286:L291" si="25">hyperlink("https://agile.sierrawireless.com/Agile/PLMServlet?action=OpenEmailObject&amp;classid=6000&amp;objid=8132129", "ECO-020757")</f>
        <v>ECO-020757</v>
      </c>
      <c r="M286" s="30" t="s">
        <v>7595</v>
      </c>
      <c r="N286" s="30" t="s">
        <v>7694</v>
      </c>
    </row>
    <row r="287">
      <c r="A287" s="168" t="str">
        <f>hyperlink("https://issues.sierrawireless.com/browse/OEMPRI-1759", "OEMPRI-1759")</f>
        <v>OEMPRI-1759</v>
      </c>
      <c r="B287" s="30" t="b">
        <v>1</v>
      </c>
      <c r="C287" s="30">
        <v>1102624.0</v>
      </c>
      <c r="D287" s="191" t="s">
        <v>7695</v>
      </c>
      <c r="E287" s="30" t="s">
        <v>139</v>
      </c>
      <c r="F287" s="35">
        <v>42383.0</v>
      </c>
      <c r="G287" s="30" t="s">
        <v>92</v>
      </c>
      <c r="H287" s="30" t="s">
        <v>2707</v>
      </c>
      <c r="I287" s="30" t="s">
        <v>216</v>
      </c>
      <c r="J287" s="30" t="s">
        <v>216</v>
      </c>
      <c r="K287" s="168" t="str">
        <f t="shared" si="24"/>
        <v>1807</v>
      </c>
      <c r="L287" s="168" t="str">
        <f t="shared" si="25"/>
        <v>ECO-020757</v>
      </c>
      <c r="M287" s="30" t="s">
        <v>7327</v>
      </c>
      <c r="N287" s="30" t="s">
        <v>7696</v>
      </c>
    </row>
    <row r="288">
      <c r="A288" s="168" t="str">
        <f>hyperlink("https://issues.sierrawireless.com/browse/OEMPRI-1760", "OEMPRI-1760")</f>
        <v>OEMPRI-1760</v>
      </c>
      <c r="B288" s="30" t="b">
        <v>1</v>
      </c>
      <c r="C288" s="30">
        <v>1102523.0</v>
      </c>
      <c r="D288" s="191" t="s">
        <v>7697</v>
      </c>
      <c r="E288" s="30" t="s">
        <v>139</v>
      </c>
      <c r="F288" s="35">
        <v>42383.0</v>
      </c>
      <c r="G288" s="30" t="s">
        <v>92</v>
      </c>
      <c r="H288" s="30" t="s">
        <v>2707</v>
      </c>
      <c r="I288" s="30" t="s">
        <v>216</v>
      </c>
      <c r="J288" s="30" t="s">
        <v>216</v>
      </c>
      <c r="K288" s="168" t="str">
        <f t="shared" si="24"/>
        <v>1807</v>
      </c>
      <c r="L288" s="168" t="str">
        <f t="shared" si="25"/>
        <v>ECO-020757</v>
      </c>
      <c r="M288" s="30" t="s">
        <v>7327</v>
      </c>
      <c r="N288" s="30" t="s">
        <v>7698</v>
      </c>
    </row>
    <row r="289">
      <c r="A289" s="168" t="str">
        <f>hyperlink("https://issues.sierrawireless.com/browse/OEMPRI-1761", "OEMPRI-1761")</f>
        <v>OEMPRI-1761</v>
      </c>
      <c r="B289" s="30" t="b">
        <v>1</v>
      </c>
      <c r="C289" s="30">
        <v>1102292.0</v>
      </c>
      <c r="D289" s="191" t="s">
        <v>7695</v>
      </c>
      <c r="E289" s="30" t="s">
        <v>139</v>
      </c>
      <c r="F289" s="35">
        <v>42383.0</v>
      </c>
      <c r="G289" s="30" t="s">
        <v>92</v>
      </c>
      <c r="H289" s="30" t="s">
        <v>2707</v>
      </c>
      <c r="I289" s="30" t="s">
        <v>216</v>
      </c>
      <c r="J289" s="30" t="s">
        <v>216</v>
      </c>
      <c r="K289" s="168" t="str">
        <f t="shared" si="24"/>
        <v>1807</v>
      </c>
      <c r="L289" s="168" t="str">
        <f t="shared" si="25"/>
        <v>ECO-020757</v>
      </c>
      <c r="M289" s="30" t="s">
        <v>7699</v>
      </c>
      <c r="N289" s="30" t="s">
        <v>7696</v>
      </c>
    </row>
    <row r="290">
      <c r="A290" s="168" t="str">
        <f>hyperlink("https://issues.sierrawireless.com/browse/OEMPRI-1762", "OEMPRI-1762")</f>
        <v>OEMPRI-1762</v>
      </c>
      <c r="B290" s="30" t="b">
        <v>1</v>
      </c>
      <c r="C290" s="30">
        <v>1102178.0</v>
      </c>
      <c r="D290" s="191" t="s">
        <v>7577</v>
      </c>
      <c r="E290" s="30" t="s">
        <v>139</v>
      </c>
      <c r="F290" s="35">
        <v>42383.0</v>
      </c>
      <c r="G290" s="30" t="s">
        <v>92</v>
      </c>
      <c r="H290" s="30" t="s">
        <v>2707</v>
      </c>
      <c r="I290" s="30" t="s">
        <v>216</v>
      </c>
      <c r="J290" s="30" t="s">
        <v>216</v>
      </c>
      <c r="K290" s="168" t="str">
        <f t="shared" si="24"/>
        <v>1807</v>
      </c>
      <c r="L290" s="168" t="str">
        <f t="shared" si="25"/>
        <v>ECO-020757</v>
      </c>
      <c r="M290" s="30" t="s">
        <v>7699</v>
      </c>
      <c r="N290" s="30" t="s">
        <v>7700</v>
      </c>
    </row>
    <row r="291">
      <c r="A291" s="168" t="str">
        <f>hyperlink("https://issues.sierrawireless.com/browse/OEMPRI-1763", "OEMPRI-1763")</f>
        <v>OEMPRI-1763</v>
      </c>
      <c r="B291" s="30" t="b">
        <v>1</v>
      </c>
      <c r="C291" s="30">
        <v>1102109.0</v>
      </c>
      <c r="D291" s="191" t="s">
        <v>7577</v>
      </c>
      <c r="E291" s="30" t="s">
        <v>139</v>
      </c>
      <c r="F291" s="35">
        <v>42383.0</v>
      </c>
      <c r="G291" s="30" t="s">
        <v>92</v>
      </c>
      <c r="H291" s="30" t="s">
        <v>2707</v>
      </c>
      <c r="I291" s="30" t="s">
        <v>216</v>
      </c>
      <c r="J291" s="30" t="s">
        <v>216</v>
      </c>
      <c r="K291" s="168" t="str">
        <f t="shared" si="24"/>
        <v>1807</v>
      </c>
      <c r="L291" s="168" t="str">
        <f t="shared" si="25"/>
        <v>ECO-020757</v>
      </c>
      <c r="M291" s="30" t="s">
        <v>7699</v>
      </c>
      <c r="N291" s="30" t="s">
        <v>7708</v>
      </c>
    </row>
    <row r="292">
      <c r="A292" s="168" t="str">
        <f>hyperlink("https://issues.sierrawireless.com/browse/OEMPRI-1757", "OEMPRI-1757")</f>
        <v>OEMPRI-1757</v>
      </c>
      <c r="B292" s="30" t="b">
        <v>1</v>
      </c>
      <c r="C292" s="30">
        <v>1102761.0</v>
      </c>
      <c r="D292" s="191">
        <v>9905322.0</v>
      </c>
      <c r="E292" s="30" t="s">
        <v>139</v>
      </c>
      <c r="F292" s="35">
        <v>42383.0</v>
      </c>
      <c r="G292" s="30" t="s">
        <v>92</v>
      </c>
      <c r="H292" s="30" t="s">
        <v>176</v>
      </c>
      <c r="I292" s="30" t="s">
        <v>177</v>
      </c>
      <c r="J292" s="30" t="s">
        <v>177</v>
      </c>
      <c r="K292" s="168" t="str">
        <f>hyperlink("https://skutracker.sierrawireless.local/projects/2449", "2449")</f>
        <v>2449</v>
      </c>
      <c r="L292" s="168" t="str">
        <f>hyperlink("https://agile.sierrawireless.com/Agile/PLMServlet?action=OpenEmailObject&amp;classid=8000&amp;objid=8109018", "TDN-010273")</f>
        <v>TDN-010273</v>
      </c>
      <c r="M292" s="30" t="s">
        <v>7066</v>
      </c>
      <c r="N292" s="30" t="s">
        <v>7692</v>
      </c>
    </row>
    <row r="293">
      <c r="A293" s="168" t="str">
        <f>hyperlink("https://issues.sierrawireless.com/browse/OEMPRI-1598", "OEMPRI-1598")</f>
        <v>OEMPRI-1598</v>
      </c>
      <c r="B293" s="30" t="b">
        <v>1</v>
      </c>
      <c r="C293" s="30">
        <v>1103215.0</v>
      </c>
      <c r="D293" s="191">
        <v>9906646.0</v>
      </c>
      <c r="E293" s="30" t="s">
        <v>139</v>
      </c>
      <c r="F293" s="35">
        <v>42383.0</v>
      </c>
      <c r="G293" s="30" t="s">
        <v>92</v>
      </c>
      <c r="H293" s="30" t="s">
        <v>723</v>
      </c>
      <c r="I293" s="30" t="s">
        <v>609</v>
      </c>
      <c r="J293" s="30" t="s">
        <v>609</v>
      </c>
      <c r="K293" s="168" t="str">
        <f>hyperlink("https://skutracker.sierrawireless.local/projects/3104", "3104")</f>
        <v>3104</v>
      </c>
      <c r="L293" s="168" t="str">
        <f>hyperlink("https://agile.sierrawireless.com/Agile/PLMServlet?action=OpenEmailObject&amp;classid=6000&amp;objid=9478131", "ECO-022170")</f>
        <v>ECO-022170</v>
      </c>
      <c r="M293" s="30" t="s">
        <v>7682</v>
      </c>
      <c r="N293" s="30" t="s">
        <v>7712</v>
      </c>
    </row>
    <row r="294">
      <c r="A294" s="168" t="str">
        <f>hyperlink("https://issues.sierrawireless.com/browse/OEMPRI-1599", "OEMPRI-1599")</f>
        <v>OEMPRI-1599</v>
      </c>
      <c r="B294" s="30" t="b">
        <v>1</v>
      </c>
      <c r="C294" s="30">
        <v>1102761.0</v>
      </c>
      <c r="D294" s="191">
        <v>9905322.0</v>
      </c>
      <c r="E294" s="30" t="s">
        <v>139</v>
      </c>
      <c r="F294" s="35">
        <v>42382.0</v>
      </c>
      <c r="G294" s="30" t="s">
        <v>92</v>
      </c>
      <c r="H294" s="30" t="s">
        <v>176</v>
      </c>
      <c r="I294" s="30" t="s">
        <v>4728</v>
      </c>
      <c r="J294" s="30" t="s">
        <v>177</v>
      </c>
      <c r="K294" s="168" t="str">
        <f>hyperlink("https://skutracker.sierrawireless.local/projects/2449", "2449")</f>
        <v>2449</v>
      </c>
      <c r="L294" s="168" t="str">
        <f>hyperlink("https://agile.sierrawireless.com/Agile/PLMServlet?action=OpenEmailObject&amp;classid=8000&amp;objid=8109018", "TDN-010273")</f>
        <v>TDN-010273</v>
      </c>
      <c r="M294" s="30" t="s">
        <v>7066</v>
      </c>
      <c r="N294" s="30" t="s">
        <v>7719</v>
      </c>
    </row>
    <row r="295">
      <c r="A295" s="168" t="str">
        <f>hyperlink("https://issues.sierrawireless.com/browse/OEMPRI-1649", "OEMPRI-1649")</f>
        <v>OEMPRI-1649</v>
      </c>
      <c r="B295" s="30" t="b">
        <v>1</v>
      </c>
      <c r="C295" s="30">
        <v>1103154.0</v>
      </c>
      <c r="D295" s="191">
        <v>9906450.0</v>
      </c>
      <c r="E295" s="30" t="s">
        <v>139</v>
      </c>
      <c r="F295" s="35">
        <v>42382.0</v>
      </c>
      <c r="G295" s="30" t="s">
        <v>92</v>
      </c>
      <c r="H295" s="30" t="s">
        <v>215</v>
      </c>
      <c r="I295" s="30" t="s">
        <v>216</v>
      </c>
      <c r="J295" s="30" t="s">
        <v>216</v>
      </c>
      <c r="K295" s="168" t="str">
        <f>hyperlink("https://skutracker.sierrawireless.local/projects/2804", "2804")</f>
        <v>2804</v>
      </c>
      <c r="L295" s="168" t="str">
        <f>hyperlink("https://agile.sierrawireless.com/Agile/PLMServlet?action=OpenEmailObject&amp;classid=6000&amp;objid=8843197", "ECO-021602")</f>
        <v>ECO-021602</v>
      </c>
      <c r="M295" s="30" t="s">
        <v>7721</v>
      </c>
      <c r="N295" s="30" t="s">
        <v>7350</v>
      </c>
    </row>
    <row r="296">
      <c r="A296" s="168" t="str">
        <f>hyperlink("https://issues.sierrawireless.com/browse/OEMPRI-1648", "OEMPRI-1648")</f>
        <v>OEMPRI-1648</v>
      </c>
      <c r="B296" s="30" t="b">
        <v>1</v>
      </c>
      <c r="C296" s="30">
        <v>1101442.0</v>
      </c>
      <c r="D296" s="191" t="s">
        <v>7577</v>
      </c>
      <c r="E296" s="30" t="s">
        <v>139</v>
      </c>
      <c r="F296" s="35">
        <v>42382.0</v>
      </c>
      <c r="G296" s="30" t="s">
        <v>92</v>
      </c>
      <c r="H296" s="30" t="s">
        <v>6171</v>
      </c>
      <c r="I296" s="30" t="s">
        <v>216</v>
      </c>
      <c r="J296" s="30" t="s">
        <v>216</v>
      </c>
      <c r="K296" s="168" t="str">
        <f>hyperlink("https://skutracker.sierrawireless.local/projects/2850", "2850")</f>
        <v>2850</v>
      </c>
      <c r="L296" s="168" t="str">
        <f t="shared" ref="L296:L299" si="26">hyperlink("https://agile.sierrawireless.com/Agile/PLMServlet?action=OpenEmailObject&amp;classid=6000&amp;objid=8800900", "ECO-021562")</f>
        <v>ECO-021562</v>
      </c>
      <c r="M296" s="30" t="s">
        <v>7723</v>
      </c>
      <c r="N296" s="30" t="s">
        <v>7724</v>
      </c>
    </row>
    <row r="297">
      <c r="A297" s="168" t="str">
        <f>hyperlink("https://issues.sierrawireless.com/browse/OEMPRI-1647", "OEMPRI-1647")</f>
        <v>OEMPRI-1647</v>
      </c>
      <c r="B297" s="30" t="b">
        <v>1</v>
      </c>
      <c r="C297" s="30">
        <v>1102006.0</v>
      </c>
      <c r="D297" s="191" t="s">
        <v>7577</v>
      </c>
      <c r="E297" s="30" t="s">
        <v>139</v>
      </c>
      <c r="F297" s="35">
        <v>42382.0</v>
      </c>
      <c r="G297" s="30" t="s">
        <v>92</v>
      </c>
      <c r="H297" s="30" t="s">
        <v>6171</v>
      </c>
      <c r="I297" s="30" t="s">
        <v>216</v>
      </c>
      <c r="J297" s="30" t="s">
        <v>216</v>
      </c>
      <c r="K297" s="168" t="str">
        <f>hyperlink("https://skutracker.sierrawireless.local/projects/2851", "2851")</f>
        <v>2851</v>
      </c>
      <c r="L297" s="168" t="str">
        <f t="shared" si="26"/>
        <v>ECO-021562</v>
      </c>
      <c r="M297" s="30" t="s">
        <v>7723</v>
      </c>
      <c r="N297" s="30" t="s">
        <v>7735</v>
      </c>
    </row>
    <row r="298">
      <c r="A298" s="168" t="str">
        <f>hyperlink("https://issues.sierrawireless.com/browse/OEMPRI-1646", "OEMPRI-1646")</f>
        <v>OEMPRI-1646</v>
      </c>
      <c r="B298" s="30" t="b">
        <v>1</v>
      </c>
      <c r="C298" s="30">
        <v>1102021.0</v>
      </c>
      <c r="D298" s="191" t="s">
        <v>7577</v>
      </c>
      <c r="E298" s="30" t="s">
        <v>139</v>
      </c>
      <c r="F298" s="35">
        <v>42382.0</v>
      </c>
      <c r="G298" s="30" t="s">
        <v>92</v>
      </c>
      <c r="H298" s="30" t="s">
        <v>6171</v>
      </c>
      <c r="I298" s="30" t="s">
        <v>216</v>
      </c>
      <c r="J298" s="30" t="s">
        <v>216</v>
      </c>
      <c r="K298" s="168" t="str">
        <f>hyperlink("https://skutracker.sierrawireless.local/projects/2852", "2852")</f>
        <v>2852</v>
      </c>
      <c r="L298" s="168" t="str">
        <f t="shared" si="26"/>
        <v>ECO-021562</v>
      </c>
      <c r="M298" s="30" t="s">
        <v>7723</v>
      </c>
      <c r="N298" s="30" t="s">
        <v>7735</v>
      </c>
    </row>
    <row r="299">
      <c r="A299" s="168" t="str">
        <f>hyperlink("https://issues.sierrawireless.com/browse/OEMPRI-1645", "OEMPRI-1645")</f>
        <v>OEMPRI-1645</v>
      </c>
      <c r="B299" s="30" t="b">
        <v>1</v>
      </c>
      <c r="C299" s="30">
        <v>1102409.0</v>
      </c>
      <c r="D299" s="191" t="s">
        <v>7577</v>
      </c>
      <c r="E299" s="30" t="s">
        <v>139</v>
      </c>
      <c r="F299" s="35">
        <v>42382.0</v>
      </c>
      <c r="G299" s="30" t="s">
        <v>92</v>
      </c>
      <c r="H299" s="30" t="s">
        <v>6171</v>
      </c>
      <c r="I299" s="30" t="s">
        <v>216</v>
      </c>
      <c r="J299" s="30" t="s">
        <v>216</v>
      </c>
      <c r="K299" s="168" t="str">
        <f>hyperlink("https://skutracker.sierrawireless.local/projects/2853", "2853")</f>
        <v>2853</v>
      </c>
      <c r="L299" s="168" t="str">
        <f t="shared" si="26"/>
        <v>ECO-021562</v>
      </c>
      <c r="M299" s="30" t="s">
        <v>7723</v>
      </c>
      <c r="N299" s="30" t="s">
        <v>7735</v>
      </c>
    </row>
    <row r="300">
      <c r="A300" s="168" t="str">
        <f>hyperlink("https://issues.sierrawireless.com/browse/OEMPRI-1644", "OEMPRI-1644")</f>
        <v>OEMPRI-1644</v>
      </c>
      <c r="B300" s="30" t="b">
        <v>1</v>
      </c>
      <c r="C300" s="30">
        <v>1102583.0</v>
      </c>
      <c r="D300" s="191" t="s">
        <v>92</v>
      </c>
      <c r="E300" s="30" t="s">
        <v>139</v>
      </c>
      <c r="F300" s="35">
        <v>42382.0</v>
      </c>
      <c r="G300" s="30" t="s">
        <v>92</v>
      </c>
      <c r="H300" s="30" t="s">
        <v>215</v>
      </c>
      <c r="I300" s="30" t="s">
        <v>216</v>
      </c>
      <c r="J300" s="30" t="s">
        <v>216</v>
      </c>
      <c r="K300" s="168" t="str">
        <f>hyperlink("https://skutracker.sierrawireless.local/projects/2864", "2864")</f>
        <v>2864</v>
      </c>
      <c r="L300" s="168" t="str">
        <f t="shared" ref="L300:L301" si="27">hyperlink("https://agile.sierrawireless.com/Agile/PLMServlet?action=OpenEmailObject&amp;classid=6000&amp;objid=8833801", "ECO-021592")</f>
        <v>ECO-021592</v>
      </c>
      <c r="M300" s="30" t="s">
        <v>7620</v>
      </c>
      <c r="N300" s="30" t="s">
        <v>7311</v>
      </c>
    </row>
    <row r="301">
      <c r="A301" s="168" t="str">
        <f>hyperlink("https://issues.sierrawireless.com/browse/OEMPRI-1643", "OEMPRI-1643")</f>
        <v>OEMPRI-1643</v>
      </c>
      <c r="B301" s="30" t="b">
        <v>1</v>
      </c>
      <c r="C301" s="30">
        <v>1102651.0</v>
      </c>
      <c r="D301" s="191">
        <v>9904907.0</v>
      </c>
      <c r="E301" s="30" t="s">
        <v>139</v>
      </c>
      <c r="F301" s="35">
        <v>42382.0</v>
      </c>
      <c r="G301" s="30" t="s">
        <v>92</v>
      </c>
      <c r="H301" s="30" t="s">
        <v>215</v>
      </c>
      <c r="I301" s="30" t="s">
        <v>216</v>
      </c>
      <c r="J301" s="30" t="s">
        <v>216</v>
      </c>
      <c r="K301" s="168" t="str">
        <f>hyperlink("https://skutracker.sierrawireless.local/projects/2865", "2865")</f>
        <v>2865</v>
      </c>
      <c r="L301" s="168" t="str">
        <f t="shared" si="27"/>
        <v>ECO-021592</v>
      </c>
      <c r="M301" s="30" t="s">
        <v>7620</v>
      </c>
      <c r="N301" s="30" t="s">
        <v>7311</v>
      </c>
    </row>
    <row r="302">
      <c r="A302" s="168" t="str">
        <f>hyperlink("https://issues.sierrawireless.com/browse/OEMPRI-1651", "OEMPRI-1651")</f>
        <v>OEMPRI-1651</v>
      </c>
      <c r="B302" s="30" t="b">
        <v>1</v>
      </c>
      <c r="C302" s="30">
        <v>1102751.0</v>
      </c>
      <c r="D302" s="191">
        <v>9905193.0</v>
      </c>
      <c r="E302" s="30" t="s">
        <v>139</v>
      </c>
      <c r="F302" s="35">
        <v>42382.0</v>
      </c>
      <c r="G302" s="30" t="s">
        <v>92</v>
      </c>
      <c r="H302" s="30" t="s">
        <v>215</v>
      </c>
      <c r="I302" s="30" t="s">
        <v>216</v>
      </c>
      <c r="J302" s="30" t="s">
        <v>216</v>
      </c>
      <c r="K302" s="168" t="str">
        <f>hyperlink("https://skutracker.sierrawireless.local/projects/2884", "2884")</f>
        <v>2884</v>
      </c>
      <c r="L302" s="168" t="str">
        <f>hyperlink("https://agile.sierrawireless.com/Agile/PLMServlet?action=OpenEmailObject&amp;classid=6000&amp;objid=8879558", "ECO-021625")</f>
        <v>ECO-021625</v>
      </c>
      <c r="M302" s="30" t="s">
        <v>7586</v>
      </c>
      <c r="N302" s="30" t="s">
        <v>7675</v>
      </c>
    </row>
    <row r="303">
      <c r="A303" s="168" t="str">
        <f>hyperlink("https://issues.sierrawireless.com/browse/OEMPRI-1650", "OEMPRI-1650")</f>
        <v>OEMPRI-1650</v>
      </c>
      <c r="B303" s="30" t="b">
        <v>1</v>
      </c>
      <c r="C303" s="30">
        <v>1103162.0</v>
      </c>
      <c r="D303" s="191">
        <v>9906465.0</v>
      </c>
      <c r="E303" s="30" t="s">
        <v>139</v>
      </c>
      <c r="F303" s="35">
        <v>42382.0</v>
      </c>
      <c r="G303" s="30" t="s">
        <v>92</v>
      </c>
      <c r="H303" s="30" t="s">
        <v>215</v>
      </c>
      <c r="I303" s="30" t="s">
        <v>216</v>
      </c>
      <c r="J303" s="30" t="s">
        <v>216</v>
      </c>
      <c r="K303" s="168" t="str">
        <f>hyperlink("https://skutracker.sierrawireless.local/projects/2885", "2885")</f>
        <v>2885</v>
      </c>
      <c r="L303" s="168" t="str">
        <f>hyperlink("https://agile.sierrawireless.com/Agile/PLMServlet?action=OpenEmailObject&amp;classid=6000&amp;objid=8882699", "ECO-021631")</f>
        <v>ECO-021631</v>
      </c>
      <c r="M303" s="30" t="s">
        <v>7586</v>
      </c>
      <c r="N303" s="30" t="s">
        <v>7675</v>
      </c>
    </row>
    <row r="304">
      <c r="A304" s="168" t="str">
        <f>hyperlink("https://issues.sierrawireless.com/browse/OEMPRI-1816", "OEMPRI-1816")</f>
        <v>OEMPRI-1816</v>
      </c>
      <c r="B304" s="30" t="b">
        <v>1</v>
      </c>
      <c r="C304" s="30">
        <v>1102761.0</v>
      </c>
      <c r="D304" s="191">
        <v>9905322.0</v>
      </c>
      <c r="E304" s="30" t="s">
        <v>139</v>
      </c>
      <c r="F304" s="35">
        <v>42381.0</v>
      </c>
      <c r="G304" s="30" t="s">
        <v>92</v>
      </c>
      <c r="H304" s="30" t="s">
        <v>176</v>
      </c>
      <c r="I304" s="30" t="s">
        <v>177</v>
      </c>
      <c r="J304" s="30" t="s">
        <v>177</v>
      </c>
      <c r="K304" s="168" t="str">
        <f>hyperlink("https://skutracker.sierrawireless.local/projects/2124", "2124")</f>
        <v>2124</v>
      </c>
      <c r="L304" s="168" t="str">
        <f>hyperlink("https://agile.sierrawireless.com/Agile/PLMServlet?action=OpenEmailObject&amp;classid=8000&amp;objid=7935145", "TDN-005559")</f>
        <v>TDN-005559</v>
      </c>
      <c r="M304" s="30" t="s">
        <v>7066</v>
      </c>
      <c r="N304" s="30" t="s">
        <v>7813</v>
      </c>
    </row>
    <row r="305">
      <c r="A305" s="168" t="str">
        <f>hyperlink("https://issues.sierrawireless.com/browse/OEMPRI-1713", "OEMPRI-1713")</f>
        <v>OEMPRI-1713</v>
      </c>
      <c r="B305" s="30" t="b">
        <v>1</v>
      </c>
      <c r="C305" s="30">
        <v>1102783.0</v>
      </c>
      <c r="D305" s="191">
        <v>9905377.0</v>
      </c>
      <c r="E305" s="30" t="s">
        <v>139</v>
      </c>
      <c r="F305" s="35">
        <v>42381.0</v>
      </c>
      <c r="G305" s="30" t="s">
        <v>92</v>
      </c>
      <c r="H305" s="30" t="s">
        <v>1399</v>
      </c>
      <c r="I305" s="30" t="s">
        <v>1400</v>
      </c>
      <c r="J305" s="30" t="s">
        <v>1400</v>
      </c>
      <c r="K305" s="168" t="str">
        <f>hyperlink("https://skutracker.sierrawireless.local/projects/2160", "2160")</f>
        <v>2160</v>
      </c>
      <c r="L305" s="168" t="str">
        <f>hyperlink("https://agile.sierrawireless.com/Agile/PLMServlet?action=OpenEmailObject&amp;classid=6000&amp;objid=8114666", "ECO-020707")</f>
        <v>ECO-020707</v>
      </c>
      <c r="M305" s="30" t="s">
        <v>7631</v>
      </c>
      <c r="N305" s="30" t="s">
        <v>7820</v>
      </c>
    </row>
    <row r="306">
      <c r="A306" s="168" t="str">
        <f>hyperlink("https://issues.sierrawireless.com/browse/OEMPRI-1817", "OEMPRI-1817")</f>
        <v>OEMPRI-1817</v>
      </c>
      <c r="B306" s="30" t="b">
        <v>1</v>
      </c>
      <c r="C306" s="30">
        <v>1102788.0</v>
      </c>
      <c r="D306" s="191">
        <v>9905302.0</v>
      </c>
      <c r="E306" s="30" t="s">
        <v>139</v>
      </c>
      <c r="F306" s="35">
        <v>42381.0</v>
      </c>
      <c r="G306" s="30" t="s">
        <v>92</v>
      </c>
      <c r="H306" s="30" t="s">
        <v>215</v>
      </c>
      <c r="I306" s="30" t="s">
        <v>216</v>
      </c>
      <c r="J306" s="30" t="s">
        <v>216</v>
      </c>
      <c r="K306" s="168" t="str">
        <f>hyperlink("https://skutracker.sierrawireless.local/projects/2189", "2189")</f>
        <v>2189</v>
      </c>
      <c r="L306" s="168" t="str">
        <f>hyperlink("https://agile.sierrawireless.com/Agile/PLMServlet?action=OpenEmailObject&amp;classid=6000&amp;objid=6069367", "ECO-017696")</f>
        <v>ECO-017696</v>
      </c>
      <c r="M306" s="30" t="s">
        <v>7327</v>
      </c>
      <c r="N306" s="30" t="s">
        <v>7311</v>
      </c>
    </row>
    <row r="307">
      <c r="A307" s="168" t="str">
        <f>hyperlink("https://issues.sierrawireless.com/browse/OEMPRI-1689", "OEMPRI-1689")</f>
        <v>OEMPRI-1689</v>
      </c>
      <c r="B307" s="30" t="b">
        <v>1</v>
      </c>
      <c r="C307" s="30">
        <v>1102751.0</v>
      </c>
      <c r="D307" s="191">
        <v>9905193.0</v>
      </c>
      <c r="E307" s="30" t="s">
        <v>139</v>
      </c>
      <c r="F307" s="35">
        <v>42381.0</v>
      </c>
      <c r="G307" s="30" t="s">
        <v>92</v>
      </c>
      <c r="H307" s="30" t="s">
        <v>215</v>
      </c>
      <c r="I307" s="30" t="s">
        <v>216</v>
      </c>
      <c r="J307" s="30" t="s">
        <v>216</v>
      </c>
      <c r="K307" s="168" t="str">
        <f>hyperlink("https://skutracker.sierrawireless.local/projects/2761", "2761")</f>
        <v>2761</v>
      </c>
      <c r="L307" s="168" t="str">
        <f>hyperlink("https://agile.sierrawireless.com/Agile/PLMServlet?action=OpenEmailObject&amp;classid=6000&amp;objid=8505890", "ECO-021340")</f>
        <v>ECO-021340</v>
      </c>
      <c r="M307" s="30" t="s">
        <v>7586</v>
      </c>
      <c r="N307" s="30" t="s">
        <v>7675</v>
      </c>
    </row>
    <row r="308">
      <c r="A308" s="168" t="str">
        <f>hyperlink("https://issues.sierrawireless.com/browse/OEMPRI-1822", "OEMPRI-1822")</f>
        <v>OEMPRI-1822</v>
      </c>
      <c r="B308" s="30" t="b">
        <v>1</v>
      </c>
      <c r="C308" s="30">
        <v>1102559.0</v>
      </c>
      <c r="D308" s="191">
        <v>9904575.0</v>
      </c>
      <c r="E308" s="30" t="s">
        <v>139</v>
      </c>
      <c r="F308" s="35">
        <v>42380.0</v>
      </c>
      <c r="G308" s="30" t="s">
        <v>92</v>
      </c>
      <c r="H308" s="30" t="s">
        <v>723</v>
      </c>
      <c r="I308" s="30" t="s">
        <v>609</v>
      </c>
      <c r="J308" s="30" t="s">
        <v>609</v>
      </c>
      <c r="K308" s="168" t="str">
        <f>hyperlink("https://skutracker.sierrawireless.local/projects/1883", "1883")</f>
        <v>1883</v>
      </c>
      <c r="L308" s="168" t="str">
        <f>hyperlink("https://agile.sierrawireless.com/Agile/PLMServlet?action=OpenEmailObject&amp;classid=6000&amp;objid=7906500", "ECO-017465")</f>
        <v>ECO-017465</v>
      </c>
      <c r="M308" s="30" t="s">
        <v>7586</v>
      </c>
      <c r="N308" s="30" t="s">
        <v>7853</v>
      </c>
    </row>
    <row r="309">
      <c r="A309" s="168" t="str">
        <f>hyperlink("https://issues.sierrawireless.com/browse/OEMPRI-1820", "OEMPRI-1820")</f>
        <v>OEMPRI-1820</v>
      </c>
      <c r="B309" s="30" t="b">
        <v>1</v>
      </c>
      <c r="C309" s="30">
        <v>1102793.0</v>
      </c>
      <c r="D309" s="191">
        <v>9905035.0</v>
      </c>
      <c r="E309" s="30" t="s">
        <v>139</v>
      </c>
      <c r="F309" s="35">
        <v>42380.0</v>
      </c>
      <c r="G309" s="30" t="s">
        <v>92</v>
      </c>
      <c r="H309" s="30" t="s">
        <v>215</v>
      </c>
      <c r="I309" s="30" t="s">
        <v>216</v>
      </c>
      <c r="J309" s="30" t="s">
        <v>216</v>
      </c>
      <c r="K309" s="168" t="str">
        <f>hyperlink("https://skutracker.sierrawireless.local/projects/2203", "2203")</f>
        <v>2203</v>
      </c>
      <c r="L309" s="168" t="str">
        <f>hyperlink("https://agile.sierrawireless.com/Agile/PLMServlet?action=OpenEmailObject&amp;classid=6000&amp;objid=7924049", "ECO-017698")</f>
        <v>ECO-017698</v>
      </c>
      <c r="M309" s="30" t="s">
        <v>7605</v>
      </c>
      <c r="N309" s="30" t="s">
        <v>7350</v>
      </c>
    </row>
    <row r="310">
      <c r="A310" s="168" t="str">
        <f>hyperlink("https://issues.sierrawireless.com/browse/OEMPRI-1821", "OEMPRI-1821")</f>
        <v>OEMPRI-1821</v>
      </c>
      <c r="B310" s="30" t="b">
        <v>1</v>
      </c>
      <c r="C310" s="30">
        <v>1102794.0</v>
      </c>
      <c r="D310" s="191">
        <v>9905306.0</v>
      </c>
      <c r="E310" s="30" t="s">
        <v>139</v>
      </c>
      <c r="F310" s="35">
        <v>42380.0</v>
      </c>
      <c r="G310" s="30" t="s">
        <v>92</v>
      </c>
      <c r="H310" s="30" t="s">
        <v>215</v>
      </c>
      <c r="I310" s="30" t="s">
        <v>216</v>
      </c>
      <c r="J310" s="30" t="s">
        <v>216</v>
      </c>
      <c r="K310" s="168" t="str">
        <f>hyperlink("https://skutracker.sierrawireless.local/projects/2205", "2205")</f>
        <v>2205</v>
      </c>
      <c r="L310" s="168" t="str">
        <f>hyperlink("https://agile.sierrawireless.com/Agile/PLMServlet?action=OpenEmailObject&amp;classid=6000&amp;objid=7923900", "ECO-017700")</f>
        <v>ECO-017700</v>
      </c>
      <c r="M310" s="30" t="s">
        <v>7327</v>
      </c>
      <c r="N310" s="30" t="s">
        <v>7311</v>
      </c>
    </row>
    <row r="311">
      <c r="A311" s="168" t="str">
        <f>hyperlink("https://issues.sierrawireless.com/browse/OEMPRI-1735", "OEMPRI-1735")</f>
        <v>OEMPRI-1735</v>
      </c>
      <c r="B311" s="30" t="b">
        <v>1</v>
      </c>
      <c r="C311" s="30">
        <v>1103032.0</v>
      </c>
      <c r="D311" s="191">
        <v>9906054.0</v>
      </c>
      <c r="E311" s="30" t="s">
        <v>139</v>
      </c>
      <c r="F311" s="35">
        <v>42380.0</v>
      </c>
      <c r="G311" s="30" t="s">
        <v>92</v>
      </c>
      <c r="H311" s="30" t="s">
        <v>176</v>
      </c>
      <c r="I311" s="30" t="s">
        <v>177</v>
      </c>
      <c r="J311" s="30" t="s">
        <v>177</v>
      </c>
      <c r="K311" s="168" t="str">
        <f>hyperlink("https://skutracker.sierrawireless.local/projects/2348", "2348")</f>
        <v>2348</v>
      </c>
      <c r="L311" s="30" t="s">
        <v>166</v>
      </c>
      <c r="M311" s="30" t="s">
        <v>7053</v>
      </c>
      <c r="N311" s="30" t="s">
        <v>7876</v>
      </c>
    </row>
    <row r="312">
      <c r="A312" s="168" t="str">
        <f>hyperlink("https://issues.sierrawireless.com/browse/OEMPRI-1621", "OEMPRI-1621")</f>
        <v>OEMPRI-1621</v>
      </c>
      <c r="B312" s="30" t="b">
        <v>1</v>
      </c>
      <c r="C312" s="30">
        <v>1103190.0</v>
      </c>
      <c r="D312" s="191">
        <v>9906591.0</v>
      </c>
      <c r="E312" s="30" t="s">
        <v>139</v>
      </c>
      <c r="F312" s="35">
        <v>42380.0</v>
      </c>
      <c r="G312" s="30" t="s">
        <v>92</v>
      </c>
      <c r="H312" s="30" t="s">
        <v>723</v>
      </c>
      <c r="I312" s="30" t="s">
        <v>609</v>
      </c>
      <c r="J312" s="30" t="s">
        <v>609</v>
      </c>
      <c r="K312" s="168" t="str">
        <f>hyperlink("https://skutracker.sierrawireless.local/projects/2985", "2985")</f>
        <v>2985</v>
      </c>
      <c r="L312" s="168" t="str">
        <f>hyperlink("https://agile.sierrawireless.com/Agile/PLMServlet?action=OpenEmailObject&amp;classid=8000&amp;objid=9221037", "TDN-010804")</f>
        <v>TDN-010804</v>
      </c>
      <c r="M312" s="30" t="s">
        <v>7682</v>
      </c>
      <c r="N312" s="30" t="s">
        <v>7683</v>
      </c>
    </row>
    <row r="313">
      <c r="A313" s="168" t="str">
        <f>hyperlink("https://issues.sierrawireless.com/browse/OEMPRI-1819", "OEMPRI-1819")</f>
        <v>OEMPRI-1819</v>
      </c>
      <c r="B313" s="30" t="b">
        <v>1</v>
      </c>
      <c r="C313" s="30">
        <v>1102797.0</v>
      </c>
      <c r="D313" s="191" t="s">
        <v>7656</v>
      </c>
      <c r="E313" s="30" t="s">
        <v>139</v>
      </c>
      <c r="F313" s="35">
        <v>42380.0</v>
      </c>
      <c r="G313" s="30" t="s">
        <v>92</v>
      </c>
      <c r="H313" s="30" t="s">
        <v>6220</v>
      </c>
      <c r="I313" s="30" t="s">
        <v>244</v>
      </c>
      <c r="J313" s="30" t="s">
        <v>244</v>
      </c>
      <c r="K313" s="168" t="str">
        <f>hyperlink("https://skutracker.sierrawireless.local/projects/2233", "2233")</f>
        <v>2233</v>
      </c>
      <c r="L313" s="168" t="str">
        <f>hyperlink("https://agile.sierrawireless.com/Agile/PLMServlet?action=OpenEmailObject&amp;classid=6000&amp;objid=7912112", "ECO-017732")</f>
        <v>ECO-017732</v>
      </c>
      <c r="M313" s="30" t="s">
        <v>7877</v>
      </c>
      <c r="N313" s="30" t="s">
        <v>7878</v>
      </c>
    </row>
    <row r="314">
      <c r="A314" s="168" t="str">
        <f>hyperlink("https://issues.sierrawireless.com/browse/OEMPRI-1818", "OEMPRI-1818")</f>
        <v>OEMPRI-1818</v>
      </c>
      <c r="B314" s="30" t="b">
        <v>1</v>
      </c>
      <c r="C314" s="30">
        <v>1102798.0</v>
      </c>
      <c r="D314" s="191" t="s">
        <v>7656</v>
      </c>
      <c r="E314" s="30" t="s">
        <v>139</v>
      </c>
      <c r="F314" s="35">
        <v>42380.0</v>
      </c>
      <c r="G314" s="30" t="s">
        <v>92</v>
      </c>
      <c r="H314" s="30" t="s">
        <v>6220</v>
      </c>
      <c r="I314" s="30" t="s">
        <v>244</v>
      </c>
      <c r="J314" s="30" t="s">
        <v>244</v>
      </c>
      <c r="K314" s="168" t="str">
        <f>hyperlink("https://skutracker.sierrawireless.local/projects/2234", "2234")</f>
        <v>2234</v>
      </c>
      <c r="L314" s="168" t="str">
        <f>hyperlink("https://agile.sierrawireless.com/Agile/PLMServlet?action=OpenEmailObject&amp;classid=6000&amp;objid=7924343", "ECO-017733")</f>
        <v>ECO-017733</v>
      </c>
      <c r="M314" s="30" t="s">
        <v>7877</v>
      </c>
      <c r="N314" s="30" t="s">
        <v>7879</v>
      </c>
    </row>
    <row r="315">
      <c r="A315" s="168" t="str">
        <f>hyperlink("https://issues.sierrawireless.com/browse/OEMPRI-1764", "OEMPRI-1764")</f>
        <v>OEMPRI-1764</v>
      </c>
      <c r="B315" s="30" t="b">
        <v>1</v>
      </c>
      <c r="C315" s="30">
        <v>1102504.0</v>
      </c>
      <c r="D315" s="191">
        <v>9904463.0</v>
      </c>
      <c r="E315" s="30" t="s">
        <v>139</v>
      </c>
      <c r="F315" s="35">
        <v>42379.0</v>
      </c>
      <c r="G315" s="30" t="s">
        <v>92</v>
      </c>
      <c r="H315" s="30" t="s">
        <v>723</v>
      </c>
      <c r="I315" s="30" t="s">
        <v>609</v>
      </c>
      <c r="J315" s="30" t="s">
        <v>609</v>
      </c>
      <c r="K315" s="168" t="str">
        <f>hyperlink("https://skutracker.sierrawireless.local/projects/2538", "2538")</f>
        <v>2538</v>
      </c>
      <c r="L315" s="168" t="str">
        <f>hyperlink("https://agile.sierrawireless.com/Agile/PLMServlet?action=OpenEmailObject&amp;classid=6000&amp;objid=8141900", "ECO-020788")</f>
        <v>ECO-020788</v>
      </c>
      <c r="M315" s="30" t="s">
        <v>7880</v>
      </c>
      <c r="N315" s="30" t="s">
        <v>7881</v>
      </c>
    </row>
    <row r="316">
      <c r="A316" s="168" t="str">
        <f>hyperlink("https://issues.sierrawireless.com/browse/OEMPRI-1625", "OEMPRI-1625")</f>
        <v>OEMPRI-1625</v>
      </c>
      <c r="B316" s="30" t="b">
        <v>1</v>
      </c>
      <c r="C316" s="30">
        <v>1103146.0</v>
      </c>
      <c r="D316" s="191">
        <v>9906416.0</v>
      </c>
      <c r="E316" s="30" t="s">
        <v>139</v>
      </c>
      <c r="F316" s="35">
        <v>42379.0</v>
      </c>
      <c r="G316" s="30" t="s">
        <v>92</v>
      </c>
      <c r="H316" s="30" t="s">
        <v>160</v>
      </c>
      <c r="I316" s="30" t="s">
        <v>216</v>
      </c>
      <c r="J316" s="30" t="s">
        <v>216</v>
      </c>
      <c r="K316" s="168" t="str">
        <f>hyperlink("https://skutracker.sierrawireless.local/projects/2832", "2832")</f>
        <v>2832</v>
      </c>
      <c r="L316" s="168" t="str">
        <f>hyperlink("https://agile.sierrawireless.com/Agile/PLMServlet?action=OpenEmailObject&amp;classid=8000&amp;objid=8749839", "TDN-010653")</f>
        <v>TDN-010653</v>
      </c>
      <c r="M316" s="30" t="s">
        <v>7306</v>
      </c>
      <c r="N316" s="30" t="s">
        <v>7693</v>
      </c>
    </row>
    <row r="317">
      <c r="A317" s="168" t="str">
        <f>hyperlink("https://issues.sierrawireless.com/browse/OEMPRI-1624", "OEMPRI-1624")</f>
        <v>OEMPRI-1624</v>
      </c>
      <c r="B317" s="30" t="b">
        <v>1</v>
      </c>
      <c r="C317" s="30">
        <v>1103150.0</v>
      </c>
      <c r="D317" s="191">
        <v>9906434.0</v>
      </c>
      <c r="E317" s="30" t="s">
        <v>139</v>
      </c>
      <c r="F317" s="35">
        <v>42379.0</v>
      </c>
      <c r="G317" s="30" t="s">
        <v>92</v>
      </c>
      <c r="H317" s="30" t="s">
        <v>160</v>
      </c>
      <c r="I317" s="30" t="s">
        <v>216</v>
      </c>
      <c r="J317" s="30" t="s">
        <v>216</v>
      </c>
      <c r="K317" s="168" t="str">
        <f>hyperlink("https://skutracker.sierrawireless.local/projects/2836", "2836")</f>
        <v>2836</v>
      </c>
      <c r="L317" s="168" t="str">
        <f>hyperlink("https://agile.sierrawireless.com/Agile/PLMServlet?action=OpenEmailObject&amp;classid=8000&amp;objid=8749999", "TDN-010656")</f>
        <v>TDN-010656</v>
      </c>
      <c r="M317" s="30" t="s">
        <v>7053</v>
      </c>
      <c r="N317" s="30" t="s">
        <v>7693</v>
      </c>
    </row>
    <row r="318">
      <c r="A318" s="168" t="str">
        <f>hyperlink("https://issues.sierrawireless.com/browse/OEMPRI-1623", "OEMPRI-1623")</f>
        <v>OEMPRI-1623</v>
      </c>
      <c r="B318" s="30" t="b">
        <v>1</v>
      </c>
      <c r="C318" s="30">
        <v>1103151.0</v>
      </c>
      <c r="D318" s="191">
        <v>9906435.0</v>
      </c>
      <c r="E318" s="30" t="s">
        <v>139</v>
      </c>
      <c r="F318" s="35">
        <v>42379.0</v>
      </c>
      <c r="G318" s="30" t="s">
        <v>92</v>
      </c>
      <c r="H318" s="30" t="s">
        <v>160</v>
      </c>
      <c r="I318" s="30" t="s">
        <v>216</v>
      </c>
      <c r="J318" s="30" t="s">
        <v>216</v>
      </c>
      <c r="K318" s="168" t="str">
        <f>hyperlink("https://skutracker.sierrawireless.local/projects/2837", "2837")</f>
        <v>2837</v>
      </c>
      <c r="L318" s="168" t="str">
        <f>hyperlink("https://agile.sierrawireless.com/Agile/PLMServlet?action=OpenEmailObject&amp;classid=8000&amp;objid=8750039", "TDN-010657")</f>
        <v>TDN-010657</v>
      </c>
      <c r="M318" s="30" t="s">
        <v>7066</v>
      </c>
      <c r="N318" s="30" t="s">
        <v>7693</v>
      </c>
    </row>
    <row r="319">
      <c r="A319" s="168" t="str">
        <f>hyperlink("https://issues.sierrawireless.com/browse/OEMPRI-1622", "OEMPRI-1622")</f>
        <v>OEMPRI-1622</v>
      </c>
      <c r="B319" s="30" t="b">
        <v>1</v>
      </c>
      <c r="C319" s="30">
        <v>1103174.0</v>
      </c>
      <c r="D319" s="191">
        <v>9906523.0</v>
      </c>
      <c r="E319" s="30" t="s">
        <v>139</v>
      </c>
      <c r="F319" s="35">
        <v>42379.0</v>
      </c>
      <c r="G319" s="30" t="s">
        <v>92</v>
      </c>
      <c r="H319" s="30" t="s">
        <v>160</v>
      </c>
      <c r="I319" s="30" t="s">
        <v>216</v>
      </c>
      <c r="J319" s="30" t="s">
        <v>216</v>
      </c>
      <c r="K319" s="168" t="str">
        <f>hyperlink("https://skutracker.sierrawireless.local/projects/2917", "2917")</f>
        <v>2917</v>
      </c>
      <c r="L319" s="168" t="str">
        <f>hyperlink("https://agile.sierrawireless.com/Agile/PLMServlet?action=OpenEmailObject&amp;classid=8000&amp;objid=9154283", "TDN-010789")</f>
        <v>TDN-010789</v>
      </c>
      <c r="M319" s="30" t="s">
        <v>7099</v>
      </c>
      <c r="N319" s="30" t="s">
        <v>7693</v>
      </c>
    </row>
    <row r="320">
      <c r="A320" s="168" t="str">
        <f>hyperlink("https://issues.sierrawireless.com/browse/OEMPRI-1768", "OEMPRI-1768")</f>
        <v>OEMPRI-1768</v>
      </c>
      <c r="B320" s="30" t="b">
        <v>1</v>
      </c>
      <c r="C320" s="30">
        <v>1102493.0</v>
      </c>
      <c r="D320" s="191">
        <v>9904452.0</v>
      </c>
      <c r="E320" s="30" t="s">
        <v>139</v>
      </c>
      <c r="F320" s="35">
        <v>42378.0</v>
      </c>
      <c r="G320" s="30" t="s">
        <v>92</v>
      </c>
      <c r="H320" s="30" t="s">
        <v>723</v>
      </c>
      <c r="I320" s="30" t="s">
        <v>609</v>
      </c>
      <c r="J320" s="30" t="s">
        <v>609</v>
      </c>
      <c r="K320" s="168" t="str">
        <f>hyperlink("https://skutracker.sierrawireless.local/projects/2454", "2454")</f>
        <v>2454</v>
      </c>
      <c r="L320" s="168" t="str">
        <f>hyperlink("https://agile.sierrawireless.com/Agile/PLMServlet?action=OpenEmailObject&amp;classid=6000&amp;objid=8037942", "ECO-020495")</f>
        <v>ECO-020495</v>
      </c>
      <c r="M320" s="30" t="s">
        <v>7420</v>
      </c>
      <c r="N320" s="30" t="s">
        <v>7882</v>
      </c>
    </row>
    <row r="321">
      <c r="A321" s="168" t="str">
        <f>hyperlink("https://issues.sierrawireless.com/browse/OEMPRI-1770", "OEMPRI-1770")</f>
        <v>OEMPRI-1770</v>
      </c>
      <c r="B321" s="30" t="b">
        <v>1</v>
      </c>
      <c r="C321" s="30">
        <v>1102783.0</v>
      </c>
      <c r="D321" s="191">
        <v>9905377.0</v>
      </c>
      <c r="E321" s="30" t="s">
        <v>139</v>
      </c>
      <c r="F321" s="35">
        <v>42377.0</v>
      </c>
      <c r="G321" s="30" t="s">
        <v>92</v>
      </c>
      <c r="H321" s="30" t="s">
        <v>1399</v>
      </c>
      <c r="I321" s="30" t="s">
        <v>1400</v>
      </c>
      <c r="J321" s="30" t="s">
        <v>1400</v>
      </c>
      <c r="K321" s="168" t="str">
        <f>hyperlink("https://skutracker.sierrawireless.local/projects/2160", "2160")</f>
        <v>2160</v>
      </c>
      <c r="L321" s="168" t="str">
        <f>hyperlink("https://agile.sierrawireless.com/Agile/PLMServlet?action=OpenEmailObject&amp;classid=6000&amp;objid=8114666", "ECO-020707")</f>
        <v>ECO-020707</v>
      </c>
      <c r="M321" s="30" t="s">
        <v>7631</v>
      </c>
      <c r="N321" s="30" t="s">
        <v>7820</v>
      </c>
    </row>
    <row r="322">
      <c r="A322" s="168" t="str">
        <f>hyperlink("https://issues.sierrawireless.com/browse/OEMPRI-1736", "OEMPRI-1736")</f>
        <v>OEMPRI-1736</v>
      </c>
      <c r="B322" s="30" t="b">
        <v>1</v>
      </c>
      <c r="C322" s="30">
        <v>1102559.0</v>
      </c>
      <c r="D322" s="191">
        <v>9904575.0</v>
      </c>
      <c r="E322" s="30" t="s">
        <v>139</v>
      </c>
      <c r="F322" s="35">
        <v>42377.0</v>
      </c>
      <c r="G322" s="30" t="s">
        <v>92</v>
      </c>
      <c r="H322" s="30" t="s">
        <v>723</v>
      </c>
      <c r="I322" s="30" t="s">
        <v>609</v>
      </c>
      <c r="J322" s="30" t="s">
        <v>609</v>
      </c>
      <c r="K322" s="168" t="str">
        <f>hyperlink("https://skutracker.sierrawireless.local/projects/2428", "2428")</f>
        <v>2428</v>
      </c>
      <c r="L322" s="168" t="str">
        <f>hyperlink("https://agile.sierrawireless.com/Agile/PLMServlet?action=OpenEmailObject&amp;classid=6000&amp;objid=8016925", "ECO-020408")</f>
        <v>ECO-020408</v>
      </c>
      <c r="M322" s="30" t="s">
        <v>7586</v>
      </c>
      <c r="N322" s="30" t="s">
        <v>7883</v>
      </c>
    </row>
    <row r="323">
      <c r="A323" s="168" t="str">
        <f>hyperlink("https://issues.sierrawireless.com/browse/OEMPRI-1656", "OEMPRI-1656")</f>
        <v>OEMPRI-1656</v>
      </c>
      <c r="B323" s="30" t="b">
        <v>1</v>
      </c>
      <c r="C323" s="30">
        <v>1102761.0</v>
      </c>
      <c r="D323" s="191">
        <v>9905322.0</v>
      </c>
      <c r="E323" s="30" t="s">
        <v>139</v>
      </c>
      <c r="F323" s="35">
        <v>42377.0</v>
      </c>
      <c r="G323" s="30" t="s">
        <v>92</v>
      </c>
      <c r="H323" s="30" t="s">
        <v>176</v>
      </c>
      <c r="I323" s="30" t="s">
        <v>177</v>
      </c>
      <c r="J323" s="30" t="s">
        <v>177</v>
      </c>
      <c r="K323" s="168" t="str">
        <f>hyperlink("https://skutracker.sierrawireless.local/projects/2449", "2449")</f>
        <v>2449</v>
      </c>
      <c r="L323" s="168" t="str">
        <f>hyperlink("https://agile.sierrawireless.com/Agile/PLMServlet?action=OpenEmailObject&amp;classid=8000&amp;objid=8109018", "TDN-010273")</f>
        <v>TDN-010273</v>
      </c>
      <c r="M323" s="30" t="s">
        <v>7066</v>
      </c>
      <c r="N323" s="30" t="s">
        <v>7884</v>
      </c>
    </row>
    <row r="324">
      <c r="A324" s="168" t="str">
        <f>hyperlink("https://issues.sierrawireless.com/browse/OEMPRI-1585", "OEMPRI-1585")</f>
        <v>OEMPRI-1585</v>
      </c>
      <c r="B324" s="30" t="b">
        <v>1</v>
      </c>
      <c r="C324" s="30">
        <v>1103049.0</v>
      </c>
      <c r="D324" s="191">
        <v>9906093.0</v>
      </c>
      <c r="E324" s="30" t="s">
        <v>139</v>
      </c>
      <c r="F324" s="35">
        <v>42377.0</v>
      </c>
      <c r="G324" s="30" t="s">
        <v>92</v>
      </c>
      <c r="H324" s="30" t="s">
        <v>176</v>
      </c>
      <c r="I324" s="30" t="s">
        <v>177</v>
      </c>
      <c r="J324" s="30" t="s">
        <v>177</v>
      </c>
      <c r="K324" s="168" t="str">
        <f>hyperlink("https://skutracker.sierrawireless.local/projects/2835", "2835")</f>
        <v>2835</v>
      </c>
      <c r="L324" s="168" t="str">
        <f>hyperlink("https://agile.sierrawireless.com/Agile/PLMServlet?action=OpenEmailObject&amp;classid=8000&amp;objid=8748422", "TDN-010652")</f>
        <v>TDN-010652</v>
      </c>
      <c r="M324" s="30" t="s">
        <v>7053</v>
      </c>
      <c r="N324" s="30" t="s">
        <v>7885</v>
      </c>
    </row>
    <row r="325">
      <c r="A325" s="168" t="str">
        <f>hyperlink("https://issues.sierrawireless.com/browse/OEMPRI-1627", "OEMPRI-1627")</f>
        <v>OEMPRI-1627</v>
      </c>
      <c r="B325" s="30" t="b">
        <v>1</v>
      </c>
      <c r="C325" s="30">
        <v>1103173.0</v>
      </c>
      <c r="D325" s="191">
        <v>9906506.0</v>
      </c>
      <c r="E325" s="30" t="s">
        <v>139</v>
      </c>
      <c r="F325" s="35">
        <v>42377.0</v>
      </c>
      <c r="G325" s="30" t="s">
        <v>92</v>
      </c>
      <c r="H325" s="30" t="s">
        <v>176</v>
      </c>
      <c r="I325" s="30" t="s">
        <v>177</v>
      </c>
      <c r="J325" s="30" t="s">
        <v>177</v>
      </c>
      <c r="K325" s="168" t="str">
        <f>hyperlink("https://skutracker.sierrawireless.local/projects/2913", "2913")</f>
        <v>2913</v>
      </c>
      <c r="L325" s="168" t="str">
        <f>hyperlink("https://agile.sierrawireless.com/Agile/PLMServlet?action=OpenEmailObject&amp;classid=8000&amp;objid=9106547", "TDN-010765")</f>
        <v>TDN-010765</v>
      </c>
      <c r="M325" s="30" t="s">
        <v>7053</v>
      </c>
      <c r="N325" s="30" t="s">
        <v>7886</v>
      </c>
    </row>
    <row r="326">
      <c r="A326" s="168" t="str">
        <f>hyperlink("https://issues.sierrawireless.com/browse/OEMPRI-1584", "OEMPRI-1584")</f>
        <v>OEMPRI-1584</v>
      </c>
      <c r="B326" s="30" t="b">
        <v>1</v>
      </c>
      <c r="C326" s="30">
        <v>1103173.0</v>
      </c>
      <c r="D326" s="191">
        <v>9906506.0</v>
      </c>
      <c r="E326" s="30" t="s">
        <v>139</v>
      </c>
      <c r="F326" s="35">
        <v>42377.0</v>
      </c>
      <c r="G326" s="30" t="s">
        <v>92</v>
      </c>
      <c r="H326" s="30" t="s">
        <v>176</v>
      </c>
      <c r="I326" s="30" t="s">
        <v>177</v>
      </c>
      <c r="J326" s="30" t="s">
        <v>177</v>
      </c>
      <c r="K326" s="168" t="str">
        <f>hyperlink("https://skutracker.sierrawireless.local/projects/3192", "3192")</f>
        <v>3192</v>
      </c>
      <c r="L326" s="168" t="str">
        <f>hyperlink("https://agile.sierrawireless.com/Agile/PLMServlet?action=OpenEmailObject&amp;classid=8000&amp;objid=10846272", "TDN-011414")</f>
        <v>TDN-011414</v>
      </c>
      <c r="M326" s="30" t="s">
        <v>7053</v>
      </c>
      <c r="N326" s="30" t="s">
        <v>7887</v>
      </c>
    </row>
    <row r="327">
      <c r="A327" s="168" t="str">
        <f>hyperlink("https://issues.sierrawireless.com/browse/OEMPRI-1583", "OEMPRI-1583")</f>
        <v>OEMPRI-1583</v>
      </c>
      <c r="B327" s="30" t="b">
        <v>1</v>
      </c>
      <c r="C327" s="30">
        <v>1103048.0</v>
      </c>
      <c r="D327" s="191">
        <v>9906619.0</v>
      </c>
      <c r="E327" s="30" t="s">
        <v>139</v>
      </c>
      <c r="F327" s="35">
        <v>42377.0</v>
      </c>
      <c r="G327" s="30" t="s">
        <v>92</v>
      </c>
      <c r="H327" s="30" t="s">
        <v>176</v>
      </c>
      <c r="I327" s="30" t="s">
        <v>177</v>
      </c>
      <c r="J327" s="30" t="s">
        <v>177</v>
      </c>
      <c r="K327" s="168" t="str">
        <f>hyperlink("https://skutracker.sierrawireless.local/projects/3193", "3193")</f>
        <v>3193</v>
      </c>
      <c r="L327" s="168" t="str">
        <f>hyperlink("https://agile.sierrawireless.com/Agile/PLMServlet?action=OpenEmailObject&amp;classid=8000&amp;objid=10389870", "TDN-011254")</f>
        <v>TDN-011254</v>
      </c>
      <c r="M327" s="30" t="s">
        <v>7066</v>
      </c>
      <c r="N327" s="30" t="s">
        <v>7888</v>
      </c>
    </row>
    <row r="328">
      <c r="A328" s="168" t="str">
        <f>hyperlink("https://issues.sierrawireless.com/browse/OEMPRI-1739", "OEMPRI-1739")</f>
        <v>OEMPRI-1739</v>
      </c>
      <c r="B328" s="30" t="b">
        <v>1</v>
      </c>
      <c r="C328" s="30">
        <v>1102554.0</v>
      </c>
      <c r="D328" s="191" t="s">
        <v>7656</v>
      </c>
      <c r="E328" s="30" t="s">
        <v>139</v>
      </c>
      <c r="F328" s="35">
        <v>42377.0</v>
      </c>
      <c r="G328" s="30" t="s">
        <v>92</v>
      </c>
      <c r="H328" s="30" t="s">
        <v>215</v>
      </c>
      <c r="I328" s="30" t="s">
        <v>216</v>
      </c>
      <c r="J328" s="30" t="s">
        <v>216</v>
      </c>
      <c r="K328" s="168" t="str">
        <f>hyperlink("https://skutracker.sierrawireless.local/projects/88807", "88807")</f>
        <v>88807</v>
      </c>
      <c r="L328" s="30" t="s">
        <v>166</v>
      </c>
      <c r="M328" s="30" t="s">
        <v>7053</v>
      </c>
      <c r="N328" s="30" t="s">
        <v>7889</v>
      </c>
    </row>
    <row r="329">
      <c r="A329" s="168" t="str">
        <f>hyperlink("https://issues.sierrawireless.com/browse/OEMPRI-1740", "OEMPRI-1740")</f>
        <v>OEMPRI-1740</v>
      </c>
      <c r="B329" s="30" t="b">
        <v>1</v>
      </c>
      <c r="C329" s="30">
        <v>1102552.0</v>
      </c>
      <c r="D329" s="191" t="s">
        <v>92</v>
      </c>
      <c r="E329" s="30" t="s">
        <v>139</v>
      </c>
      <c r="F329" s="35">
        <v>42377.0</v>
      </c>
      <c r="G329" s="30" t="s">
        <v>92</v>
      </c>
      <c r="H329" s="30" t="s">
        <v>215</v>
      </c>
      <c r="I329" s="30" t="s">
        <v>216</v>
      </c>
      <c r="J329" s="30" t="s">
        <v>216</v>
      </c>
      <c r="K329" s="168" t="str">
        <f>hyperlink("https://skutracker.sierrawireless.local/projects/90501", "90501")</f>
        <v>90501</v>
      </c>
      <c r="L329" s="30" t="s">
        <v>166</v>
      </c>
      <c r="M329" s="30" t="s">
        <v>7620</v>
      </c>
      <c r="N329" s="30" t="s">
        <v>7311</v>
      </c>
    </row>
    <row r="330">
      <c r="A330" s="168" t="str">
        <f>hyperlink("https://issues.sierrawireless.com/browse/OEMPRI-1587", "OEMPRI-1587")</f>
        <v>OEMPRI-1587</v>
      </c>
      <c r="B330" s="30" t="b">
        <v>1</v>
      </c>
      <c r="C330" s="30">
        <v>1103226.0</v>
      </c>
      <c r="D330" s="191">
        <v>9906703.0</v>
      </c>
      <c r="E330" s="30" t="s">
        <v>139</v>
      </c>
      <c r="F330" s="35">
        <v>42377.0</v>
      </c>
      <c r="G330" s="30" t="s">
        <v>92</v>
      </c>
      <c r="H330" s="30" t="s">
        <v>274</v>
      </c>
      <c r="I330" s="30" t="s">
        <v>4728</v>
      </c>
      <c r="J330" s="30" t="s">
        <v>244</v>
      </c>
      <c r="K330" s="168" t="str">
        <f>hyperlink("https://skutracker.sierrawireless.local/projects/3165", "3165")</f>
        <v>3165</v>
      </c>
      <c r="L330" s="168" t="str">
        <f>hyperlink("https://agile.sierrawireless.com/Agile/PLMServlet?action=OpenEmailObject&amp;classid=8000&amp;objid=9819247", "TDN-011041")</f>
        <v>TDN-011041</v>
      </c>
      <c r="M330" s="30" t="s">
        <v>7099</v>
      </c>
      <c r="N330" s="30" t="s">
        <v>7890</v>
      </c>
    </row>
    <row r="331">
      <c r="A331" s="168" t="str">
        <f>hyperlink("https://issues.sierrawireless.com/browse/OEMPRI-1824", "OEMPRI-1824")</f>
        <v>OEMPRI-1824</v>
      </c>
      <c r="B331" s="30" t="b">
        <v>1</v>
      </c>
      <c r="C331" s="30">
        <v>1102721.0</v>
      </c>
      <c r="D331" s="191">
        <v>9905105.0</v>
      </c>
      <c r="E331" s="30" t="s">
        <v>139</v>
      </c>
      <c r="F331" s="35">
        <v>42376.0</v>
      </c>
      <c r="G331" s="30" t="s">
        <v>92</v>
      </c>
      <c r="H331" s="30" t="s">
        <v>6300</v>
      </c>
      <c r="I331" s="30" t="s">
        <v>216</v>
      </c>
      <c r="J331" s="30" t="s">
        <v>216</v>
      </c>
      <c r="K331" s="168" t="str">
        <f>hyperlink("https://skutracker.sierrawireless.local/projects/1917", "1917")</f>
        <v>1917</v>
      </c>
      <c r="L331" s="168" t="str">
        <f>hyperlink("https://agile.sierrawireless.com/Agile/PLMServlet?action=OpenEmailObject&amp;classid=0&amp;objid=-1", "ECO-017375")</f>
        <v>ECO-017375</v>
      </c>
      <c r="M331" s="30" t="s">
        <v>7687</v>
      </c>
      <c r="N331" s="30" t="s">
        <v>7891</v>
      </c>
    </row>
    <row r="332">
      <c r="A332" s="168" t="str">
        <f>hyperlink("https://issues.sierrawireless.com/browse/OEMPRI-1744", "OEMPRI-1744")</f>
        <v>OEMPRI-1744</v>
      </c>
      <c r="B332" s="30" t="b">
        <v>1</v>
      </c>
      <c r="C332" s="30">
        <v>1102804.0</v>
      </c>
      <c r="D332" s="191">
        <v>9906060.0</v>
      </c>
      <c r="E332" s="30" t="s">
        <v>139</v>
      </c>
      <c r="F332" s="35">
        <v>42375.0</v>
      </c>
      <c r="G332" s="30" t="s">
        <v>92</v>
      </c>
      <c r="H332" s="30" t="s">
        <v>176</v>
      </c>
      <c r="I332" s="30" t="s">
        <v>177</v>
      </c>
      <c r="J332" s="30" t="s">
        <v>177</v>
      </c>
      <c r="K332" s="168" t="str">
        <f>hyperlink("https://skutracker.sierrawireless.local/projects/2244", "2244")</f>
        <v>2244</v>
      </c>
      <c r="L332" s="168" t="str">
        <f t="shared" ref="L332:L334" si="28">hyperlink("https://agile.sierrawireless.com/Agile/PLMServlet?action=OpenEmailObject&amp;classid=8000&amp;objid=8108715", "TDN-010269")</f>
        <v>TDN-010269</v>
      </c>
      <c r="M332" s="30" t="s">
        <v>7053</v>
      </c>
      <c r="N332" s="30" t="s">
        <v>7876</v>
      </c>
    </row>
    <row r="333">
      <c r="A333" s="168" t="str">
        <f>hyperlink("https://issues.sierrawireless.com/browse/OEMPRI-1743", "OEMPRI-1743")</f>
        <v>OEMPRI-1743</v>
      </c>
      <c r="B333" s="30" t="b">
        <v>1</v>
      </c>
      <c r="C333" s="30">
        <v>1103035.0</v>
      </c>
      <c r="D333" s="191">
        <v>9906055.0</v>
      </c>
      <c r="E333" s="30" t="s">
        <v>139</v>
      </c>
      <c r="F333" s="35">
        <v>42375.0</v>
      </c>
      <c r="G333" s="30" t="s">
        <v>92</v>
      </c>
      <c r="H333" s="30" t="s">
        <v>176</v>
      </c>
      <c r="I333" s="30" t="s">
        <v>177</v>
      </c>
      <c r="J333" s="30" t="s">
        <v>177</v>
      </c>
      <c r="K333" s="168" t="str">
        <f>hyperlink("https://skutracker.sierrawireless.local/projects/2349", "2349")</f>
        <v>2349</v>
      </c>
      <c r="L333" s="168" t="str">
        <f t="shared" si="28"/>
        <v>TDN-010269</v>
      </c>
      <c r="M333" s="30" t="s">
        <v>7053</v>
      </c>
      <c r="N333" s="30" t="s">
        <v>7876</v>
      </c>
    </row>
    <row r="334">
      <c r="A334" s="168" t="str">
        <f>hyperlink("https://issues.sierrawireless.com/browse/OEMPRI-1742", "OEMPRI-1742")</f>
        <v>OEMPRI-1742</v>
      </c>
      <c r="B334" s="30" t="b">
        <v>1</v>
      </c>
      <c r="C334" s="30">
        <v>1103049.0</v>
      </c>
      <c r="D334" s="191">
        <v>9906093.0</v>
      </c>
      <c r="E334" s="30" t="s">
        <v>139</v>
      </c>
      <c r="F334" s="35">
        <v>42375.0</v>
      </c>
      <c r="G334" s="30" t="s">
        <v>92</v>
      </c>
      <c r="H334" s="30" t="s">
        <v>176</v>
      </c>
      <c r="I334" s="30" t="s">
        <v>177</v>
      </c>
      <c r="J334" s="30" t="s">
        <v>177</v>
      </c>
      <c r="K334" s="168" t="str">
        <f>hyperlink("https://skutracker.sierrawireless.local/projects/2450", "2450")</f>
        <v>2450</v>
      </c>
      <c r="L334" s="168" t="str">
        <f t="shared" si="28"/>
        <v>TDN-010269</v>
      </c>
      <c r="M334" s="30" t="s">
        <v>7053</v>
      </c>
      <c r="N334" s="30" t="s">
        <v>7876</v>
      </c>
    </row>
    <row r="335">
      <c r="A335" s="168" t="str">
        <f>hyperlink("https://issues.sierrawireless.com/browse/OEMPRI-1660", "OEMPRI-1660")</f>
        <v>OEMPRI-1660</v>
      </c>
      <c r="B335" s="30" t="b">
        <v>1</v>
      </c>
      <c r="C335" s="30">
        <v>1103041.0</v>
      </c>
      <c r="D335" s="191">
        <v>9906062.0</v>
      </c>
      <c r="E335" s="30" t="s">
        <v>139</v>
      </c>
      <c r="F335" s="35">
        <v>42374.0</v>
      </c>
      <c r="G335" s="30" t="s">
        <v>92</v>
      </c>
      <c r="H335" s="30" t="s">
        <v>176</v>
      </c>
      <c r="I335" s="30" t="s">
        <v>4728</v>
      </c>
      <c r="J335" s="30" t="s">
        <v>177</v>
      </c>
      <c r="K335" s="168" t="str">
        <f>hyperlink("https://skutracker.sierrawireless.local/projects/2350", "2350")</f>
        <v>2350</v>
      </c>
      <c r="L335" s="30" t="s">
        <v>166</v>
      </c>
      <c r="M335" s="30" t="s">
        <v>7053</v>
      </c>
      <c r="N335" s="30" t="s">
        <v>7895</v>
      </c>
    </row>
    <row r="336">
      <c r="A336" s="168" t="str">
        <f>hyperlink("https://issues.sierrawireless.com/browse/OEMPRI-1659", "OEMPRI-1659")</f>
        <v>OEMPRI-1659</v>
      </c>
      <c r="B336" s="30" t="b">
        <v>1</v>
      </c>
      <c r="C336" s="30">
        <v>1103097.0</v>
      </c>
      <c r="D336" s="191">
        <v>9906295.0</v>
      </c>
      <c r="E336" s="30" t="s">
        <v>139</v>
      </c>
      <c r="F336" s="35">
        <v>42374.0</v>
      </c>
      <c r="G336" s="30" t="s">
        <v>92</v>
      </c>
      <c r="H336" s="30" t="s">
        <v>176</v>
      </c>
      <c r="I336" s="30" t="s">
        <v>177</v>
      </c>
      <c r="J336" s="30" t="s">
        <v>177</v>
      </c>
      <c r="K336" s="168" t="str">
        <f>hyperlink("https://skutracker.sierrawireless.local/projects/2664", "2664")</f>
        <v>2664</v>
      </c>
      <c r="L336" s="168" t="str">
        <f>hyperlink("https://agile.sierrawireless.com/Agile/PLMServlet?action=OpenEmailObject&amp;classid=8000&amp;objid=8748392", "TDN-010648")</f>
        <v>TDN-010648</v>
      </c>
      <c r="M336" s="30" t="s">
        <v>7053</v>
      </c>
      <c r="N336" s="30" t="s">
        <v>7900</v>
      </c>
    </row>
    <row r="337">
      <c r="A337" s="168" t="str">
        <f>hyperlink("https://issues.sierrawireless.com/browse/OEMPRI-1658", "OEMPRI-1658")</f>
        <v>OEMPRI-1658</v>
      </c>
      <c r="B337" s="30" t="b">
        <v>1</v>
      </c>
      <c r="C337" s="30">
        <v>1103102.0</v>
      </c>
      <c r="D337" s="191">
        <v>9906297.0</v>
      </c>
      <c r="E337" s="30" t="s">
        <v>139</v>
      </c>
      <c r="F337" s="35">
        <v>42374.0</v>
      </c>
      <c r="G337" s="30" t="s">
        <v>92</v>
      </c>
      <c r="H337" s="30" t="s">
        <v>176</v>
      </c>
      <c r="I337" s="30" t="s">
        <v>177</v>
      </c>
      <c r="J337" s="30" t="s">
        <v>177</v>
      </c>
      <c r="K337" s="168" t="str">
        <f>hyperlink("https://skutracker.sierrawireless.local/projects/2665", "2665")</f>
        <v>2665</v>
      </c>
      <c r="L337" s="168" t="str">
        <f>hyperlink("https://agile.sierrawireless.com/Agile/PLMServlet?action=OpenEmailObject&amp;classid=8000&amp;objid=8748363", "TDN-010647")</f>
        <v>TDN-010647</v>
      </c>
      <c r="M337" s="30" t="s">
        <v>7053</v>
      </c>
      <c r="N337" s="30" t="s">
        <v>7900</v>
      </c>
    </row>
    <row r="338">
      <c r="A338" s="168" t="str">
        <f>hyperlink("https://issues.sierrawireless.com/browse/OEMPRI-1657", "OEMPRI-1657")</f>
        <v>OEMPRI-1657</v>
      </c>
      <c r="B338" s="30" t="b">
        <v>1</v>
      </c>
      <c r="C338" s="30">
        <v>1103049.0</v>
      </c>
      <c r="D338" s="191">
        <v>9906093.0</v>
      </c>
      <c r="E338" s="30" t="s">
        <v>139</v>
      </c>
      <c r="F338" s="35">
        <v>42374.0</v>
      </c>
      <c r="G338" s="30" t="s">
        <v>92</v>
      </c>
      <c r="H338" s="30" t="s">
        <v>176</v>
      </c>
      <c r="I338" s="30" t="s">
        <v>177</v>
      </c>
      <c r="J338" s="30" t="s">
        <v>177</v>
      </c>
      <c r="K338" s="168" t="str">
        <f>hyperlink("https://skutracker.sierrawireless.local/projects/2835", "2835")</f>
        <v>2835</v>
      </c>
      <c r="L338" s="168" t="str">
        <f>hyperlink("https://agile.sierrawireless.com/Agile/PLMServlet?action=OpenEmailObject&amp;classid=8000&amp;objid=8748422", "TDN-010652")</f>
        <v>TDN-010652</v>
      </c>
      <c r="M338" s="30" t="s">
        <v>7053</v>
      </c>
      <c r="N338" s="30" t="s">
        <v>7900</v>
      </c>
    </row>
    <row r="339">
      <c r="A339" s="168" t="str">
        <f>hyperlink("https://issues.sierrawireless.com/browse/OEMPRI-1801", "OEMPRI-1801")</f>
        <v>OEMPRI-1801</v>
      </c>
      <c r="B339" s="30" t="b">
        <v>1</v>
      </c>
      <c r="C339" s="30">
        <v>1102822.0</v>
      </c>
      <c r="D339" s="191" t="s">
        <v>7656</v>
      </c>
      <c r="E339" s="30" t="s">
        <v>139</v>
      </c>
      <c r="F339" s="35">
        <v>42374.0</v>
      </c>
      <c r="G339" s="30" t="s">
        <v>92</v>
      </c>
      <c r="H339" s="30" t="s">
        <v>2596</v>
      </c>
      <c r="I339" s="30" t="s">
        <v>244</v>
      </c>
      <c r="J339" s="30" t="s">
        <v>244</v>
      </c>
      <c r="K339" s="168" t="str">
        <f>hyperlink("https://skutracker.sierrawireless.local/projects/2351", "2351")</f>
        <v>2351</v>
      </c>
      <c r="L339" s="168" t="str">
        <f>hyperlink("https://agile.sierrawireless.com/Agile/PLMServlet?action=OpenEmailObject&amp;classid=6000&amp;objid=7937705", "ECO-020075")</f>
        <v>ECO-020075</v>
      </c>
      <c r="M339" s="30" t="s">
        <v>7306</v>
      </c>
      <c r="N339" s="30" t="s">
        <v>7903</v>
      </c>
    </row>
    <row r="340">
      <c r="A340" s="168" t="str">
        <f>hyperlink("https://issues.sierrawireless.com/browse/OEMPRI-1604", "OEMPRI-1604")</f>
        <v>OEMPRI-1604</v>
      </c>
      <c r="B340" s="30" t="b">
        <v>1</v>
      </c>
      <c r="C340" s="30">
        <v>1103108.0</v>
      </c>
      <c r="D340" s="191">
        <v>9906328.0</v>
      </c>
      <c r="E340" s="30" t="s">
        <v>139</v>
      </c>
      <c r="F340" s="35">
        <v>42374.0</v>
      </c>
      <c r="G340" s="30" t="s">
        <v>92</v>
      </c>
      <c r="H340" s="30" t="s">
        <v>274</v>
      </c>
      <c r="I340" s="30" t="s">
        <v>4728</v>
      </c>
      <c r="J340" s="30" t="s">
        <v>244</v>
      </c>
      <c r="K340" s="168" t="str">
        <f>hyperlink("https://skutracker.sierrawireless.local/projects/2695", "2695")</f>
        <v>2695</v>
      </c>
      <c r="L340" s="168" t="str">
        <f>hyperlink("https://agile.sierrawireless.com/Agile/PLMServlet?action=OpenEmailObject&amp;classid=8000&amp;objid=8420035", "TDN-010506")</f>
        <v>TDN-010506</v>
      </c>
      <c r="M340" s="30" t="s">
        <v>7306</v>
      </c>
      <c r="N340" s="30" t="s">
        <v>7890</v>
      </c>
    </row>
    <row r="341">
      <c r="A341" s="168" t="str">
        <f>hyperlink("https://issues.sierrawireless.com/browse/OEMPRI-1827", "OEMPRI-1827")</f>
        <v>OEMPRI-1827</v>
      </c>
      <c r="B341" s="30" t="b">
        <v>1</v>
      </c>
      <c r="C341" s="30">
        <v>1102599.0</v>
      </c>
      <c r="D341" s="191">
        <v>9905280.0</v>
      </c>
      <c r="E341" s="30" t="s">
        <v>139</v>
      </c>
      <c r="F341" s="35">
        <v>42373.0</v>
      </c>
      <c r="G341" s="30" t="s">
        <v>92</v>
      </c>
      <c r="H341" s="30" t="s">
        <v>1399</v>
      </c>
      <c r="I341" s="30" t="s">
        <v>1400</v>
      </c>
      <c r="J341" s="30" t="s">
        <v>1400</v>
      </c>
      <c r="K341" s="168" t="str">
        <f>hyperlink("https://skutracker.sierrawireless.local/projects/2225", "2225")</f>
        <v>2225</v>
      </c>
      <c r="L341" s="168" t="str">
        <f>hyperlink("https://agile.sierrawireless.com/Agile/PLMServlet?action=OpenEmailObject&amp;classid=8000&amp;objid=7967293", "TDN-010093")</f>
        <v>TDN-010093</v>
      </c>
      <c r="M341" s="30" t="s">
        <v>7631</v>
      </c>
      <c r="N341" s="30" t="s">
        <v>7908</v>
      </c>
    </row>
    <row r="342">
      <c r="A342" s="168" t="str">
        <f>hyperlink("https://issues.sierrawireless.com/browse/OEMPRI-1771", "OEMPRI-1771")</f>
        <v>OEMPRI-1771</v>
      </c>
      <c r="B342" s="30" t="b">
        <v>1</v>
      </c>
      <c r="C342" s="30">
        <v>1102559.0</v>
      </c>
      <c r="D342" s="191">
        <v>9904575.0</v>
      </c>
      <c r="E342" s="30" t="s">
        <v>139</v>
      </c>
      <c r="F342" s="35">
        <v>42373.0</v>
      </c>
      <c r="G342" s="30" t="s">
        <v>92</v>
      </c>
      <c r="H342" s="30" t="s">
        <v>723</v>
      </c>
      <c r="I342" s="30" t="s">
        <v>609</v>
      </c>
      <c r="J342" s="30" t="s">
        <v>609</v>
      </c>
      <c r="K342" s="168" t="str">
        <f>hyperlink("https://skutracker.sierrawireless.local/projects/2428", "2428")</f>
        <v>2428</v>
      </c>
      <c r="L342" s="168" t="str">
        <f>hyperlink("https://agile.sierrawireless.com/Agile/PLMServlet?action=OpenEmailObject&amp;classid=6000&amp;objid=8016925", "ECO-020408")</f>
        <v>ECO-020408</v>
      </c>
      <c r="M342" s="30" t="s">
        <v>7586</v>
      </c>
      <c r="N342" s="30" t="s">
        <v>7909</v>
      </c>
    </row>
    <row r="343">
      <c r="A343" s="168" t="str">
        <f>hyperlink("https://issues.sierrawireless.com/browse/OEMPRI-1664", "OEMPRI-1664")</f>
        <v>OEMPRI-1664</v>
      </c>
      <c r="B343" s="30" t="b">
        <v>1</v>
      </c>
      <c r="C343" s="30">
        <v>1102553.0</v>
      </c>
      <c r="D343" s="191">
        <v>9904566.0</v>
      </c>
      <c r="E343" s="30" t="s">
        <v>139</v>
      </c>
      <c r="F343" s="35">
        <v>42373.0</v>
      </c>
      <c r="G343" s="30" t="s">
        <v>92</v>
      </c>
      <c r="H343" s="30" t="s">
        <v>215</v>
      </c>
      <c r="I343" s="30" t="s">
        <v>216</v>
      </c>
      <c r="J343" s="30" t="s">
        <v>216</v>
      </c>
      <c r="K343" s="168" t="str">
        <f>hyperlink("https://skutracker.sierrawireless.local/projects/2844", "2844")</f>
        <v>2844</v>
      </c>
      <c r="L343" s="168" t="str">
        <f>hyperlink("https://agile.sierrawireless.com/Agile/PLMServlet?action=OpenEmailObject&amp;classid=6000&amp;objid=8747522", "ECO-021547")</f>
        <v>ECO-021547</v>
      </c>
      <c r="M343" s="30" t="s">
        <v>7620</v>
      </c>
      <c r="N343" s="30" t="s">
        <v>7349</v>
      </c>
    </row>
    <row r="344">
      <c r="A344" s="168" t="str">
        <f>hyperlink("https://issues.sierrawireless.com/browse/OEMPRI-1665", "OEMPRI-1665")</f>
        <v>OEMPRI-1665</v>
      </c>
      <c r="B344" s="30" t="b">
        <v>1</v>
      </c>
      <c r="C344" s="30">
        <v>1102203.0</v>
      </c>
      <c r="D344" s="191" t="s">
        <v>7642</v>
      </c>
      <c r="E344" s="30" t="s">
        <v>139</v>
      </c>
      <c r="F344" s="35">
        <v>42373.0</v>
      </c>
      <c r="G344" s="30" t="s">
        <v>92</v>
      </c>
      <c r="H344" s="30" t="s">
        <v>215</v>
      </c>
      <c r="I344" s="30" t="s">
        <v>216</v>
      </c>
      <c r="J344" s="30" t="s">
        <v>216</v>
      </c>
      <c r="K344" s="168" t="str">
        <f>hyperlink("https://skutracker.sierrawireless.local/projects/2847", "2847")</f>
        <v>2847</v>
      </c>
      <c r="L344" s="168" t="str">
        <f>hyperlink("https://agile.sierrawireless.com/Agile/PLMServlet?action=OpenEmailObject&amp;classid=6000&amp;objid=8747515", "ECO-021544")</f>
        <v>ECO-021544</v>
      </c>
      <c r="M344" s="30" t="s">
        <v>7095</v>
      </c>
      <c r="N344" s="30" t="s">
        <v>7915</v>
      </c>
    </row>
    <row r="345">
      <c r="A345" s="168" t="str">
        <f>hyperlink("https://issues.sierrawireless.com/browse/OEMPRI-1663", "OEMPRI-1663")</f>
        <v>OEMPRI-1663</v>
      </c>
      <c r="B345" s="30" t="b">
        <v>1</v>
      </c>
      <c r="C345" s="30">
        <v>1103149.0</v>
      </c>
      <c r="D345" s="191">
        <v>9906432.0</v>
      </c>
      <c r="E345" s="30" t="s">
        <v>139</v>
      </c>
      <c r="F345" s="35">
        <v>42373.0</v>
      </c>
      <c r="G345" s="30" t="s">
        <v>92</v>
      </c>
      <c r="H345" s="30" t="s">
        <v>3685</v>
      </c>
      <c r="I345" s="30" t="s">
        <v>216</v>
      </c>
      <c r="J345" s="30" t="s">
        <v>216</v>
      </c>
      <c r="K345" s="168" t="str">
        <f>hyperlink("https://skutracker.sierrawireless.local/projects/2849", "2849")</f>
        <v>2849</v>
      </c>
      <c r="L345" s="168" t="str">
        <f>hyperlink("https://agile.sierrawireless.com/Agile/PLMServlet?action=OpenEmailObject&amp;classid=6000&amp;objid=8749807", "ECO-021549")</f>
        <v>ECO-021549</v>
      </c>
      <c r="M345" s="30" t="s">
        <v>7605</v>
      </c>
      <c r="N345" s="30" t="s">
        <v>7610</v>
      </c>
    </row>
    <row r="346">
      <c r="A346" s="168" t="str">
        <f>hyperlink("https://issues.sierrawireless.com/browse/OEMPRI-1634", "OEMPRI-1634")</f>
        <v>OEMPRI-1634</v>
      </c>
      <c r="B346" s="30" t="b">
        <v>1</v>
      </c>
      <c r="C346" s="30">
        <v>1103095.0</v>
      </c>
      <c r="D346" s="191" t="s">
        <v>7920</v>
      </c>
      <c r="E346" s="30" t="s">
        <v>139</v>
      </c>
      <c r="F346" s="35">
        <v>42372.0</v>
      </c>
      <c r="G346" s="30" t="s">
        <v>92</v>
      </c>
      <c r="H346" s="30" t="s">
        <v>160</v>
      </c>
      <c r="I346" s="30" t="s">
        <v>216</v>
      </c>
      <c r="J346" s="30" t="s">
        <v>216</v>
      </c>
      <c r="K346" s="168" t="str">
        <f>hyperlink("https://skutracker.sierrawireless.local/projects/2660", "2660")</f>
        <v>2660</v>
      </c>
      <c r="L346" s="168" t="str">
        <f>hyperlink("https://agile.sierrawireless.com/Agile/PLMServlet?action=OpenEmailObject&amp;classid=8000&amp;objid=8748420", "TDN-010651")</f>
        <v>TDN-010651</v>
      </c>
      <c r="M346" s="30" t="s">
        <v>7053</v>
      </c>
      <c r="N346" s="30" t="s">
        <v>7921</v>
      </c>
    </row>
    <row r="347">
      <c r="A347" s="168" t="str">
        <f>hyperlink("https://issues.sierrawireless.com/browse/OEMPRI-1635", "OEMPRI-1635")</f>
        <v>OEMPRI-1635</v>
      </c>
      <c r="B347" s="30" t="b">
        <v>1</v>
      </c>
      <c r="C347" s="30">
        <v>1103105.0</v>
      </c>
      <c r="D347" s="191" t="s">
        <v>7920</v>
      </c>
      <c r="E347" s="30" t="s">
        <v>139</v>
      </c>
      <c r="F347" s="35">
        <v>42372.0</v>
      </c>
      <c r="G347" s="30" t="s">
        <v>92</v>
      </c>
      <c r="H347" s="30" t="s">
        <v>160</v>
      </c>
      <c r="I347" s="30" t="s">
        <v>216</v>
      </c>
      <c r="J347" s="30" t="s">
        <v>216</v>
      </c>
      <c r="K347" s="168" t="str">
        <f>hyperlink("https://skutracker.sierrawireless.local/projects/2694", "2694")</f>
        <v>2694</v>
      </c>
      <c r="L347" s="168" t="str">
        <f>hyperlink("https://agile.sierrawireless.com/Agile/PLMServlet?action=OpenEmailObject&amp;classid=8000&amp;objid=8418834", "TDN-010503")</f>
        <v>TDN-010503</v>
      </c>
      <c r="M347" s="30" t="s">
        <v>7306</v>
      </c>
      <c r="N347" s="30" t="s">
        <v>7921</v>
      </c>
    </row>
    <row r="348">
      <c r="A348" s="168" t="str">
        <f>hyperlink("https://issues.sierrawireless.com/browse/OEMPRI-1636", "OEMPRI-1636")</f>
        <v>OEMPRI-1636</v>
      </c>
      <c r="B348" s="30" t="b">
        <v>1</v>
      </c>
      <c r="C348" s="30">
        <v>1103038.0</v>
      </c>
      <c r="D348" s="191" t="s">
        <v>7920</v>
      </c>
      <c r="E348" s="30" t="s">
        <v>139</v>
      </c>
      <c r="F348" s="35">
        <v>42372.0</v>
      </c>
      <c r="G348" s="30" t="s">
        <v>92</v>
      </c>
      <c r="H348" s="30" t="s">
        <v>160</v>
      </c>
      <c r="I348" s="30" t="s">
        <v>216</v>
      </c>
      <c r="J348" s="30" t="s">
        <v>216</v>
      </c>
      <c r="K348" s="168" t="str">
        <f>hyperlink("https://skutracker.sierrawireless.local/projects/2838", "2838")</f>
        <v>2838</v>
      </c>
      <c r="L348" s="168" t="str">
        <f>hyperlink("https://agile.sierrawireless.com/Agile/PLMServlet?action=OpenEmailObject&amp;classid=8000&amp;objid=8749841", "TDN-010654")</f>
        <v>TDN-010654</v>
      </c>
      <c r="M348" s="30" t="s">
        <v>7053</v>
      </c>
      <c r="N348" s="30" t="s">
        <v>7921</v>
      </c>
    </row>
    <row r="349">
      <c r="A349" s="168" t="str">
        <f>hyperlink("https://issues.sierrawireless.com/browse/OEMPRI-1633", "OEMPRI-1633")</f>
        <v>OEMPRI-1633</v>
      </c>
      <c r="B349" s="30" t="b">
        <v>1</v>
      </c>
      <c r="C349" s="30">
        <v>1103175.0</v>
      </c>
      <c r="D349" s="191" t="s">
        <v>7920</v>
      </c>
      <c r="E349" s="30" t="s">
        <v>139</v>
      </c>
      <c r="F349" s="35">
        <v>42372.0</v>
      </c>
      <c r="G349" s="30" t="s">
        <v>92</v>
      </c>
      <c r="H349" s="30" t="s">
        <v>160</v>
      </c>
      <c r="I349" s="30" t="s">
        <v>216</v>
      </c>
      <c r="J349" s="30" t="s">
        <v>216</v>
      </c>
      <c r="K349" s="168" t="str">
        <f>hyperlink("https://skutracker.sierrawireless.local/projects/2918", "2918")</f>
        <v>2918</v>
      </c>
      <c r="L349" s="168" t="str">
        <f>hyperlink("https://agile.sierrawireless.com/Agile/PLMServlet?action=OpenEmailObject&amp;classid=8000&amp;objid=9094348", "TDN-010752")</f>
        <v>TDN-010752</v>
      </c>
      <c r="M349" s="30" t="s">
        <v>7099</v>
      </c>
      <c r="N349" s="30" t="s">
        <v>7921</v>
      </c>
    </row>
    <row r="350">
      <c r="A350" s="168" t="str">
        <f>hyperlink("https://issues.sierrawireless.com/browse/OEMPRI-1605", "OEMPRI-1605")</f>
        <v>OEMPRI-1605</v>
      </c>
      <c r="B350" s="30" t="b">
        <v>1</v>
      </c>
      <c r="C350" s="30">
        <v>1103178.0</v>
      </c>
      <c r="D350" s="191">
        <v>9906531.0</v>
      </c>
      <c r="E350" s="30" t="s">
        <v>139</v>
      </c>
      <c r="F350" s="35">
        <v>42371.0</v>
      </c>
      <c r="G350" s="30" t="s">
        <v>92</v>
      </c>
      <c r="H350" s="30" t="s">
        <v>6171</v>
      </c>
      <c r="I350" s="30" t="s">
        <v>216</v>
      </c>
      <c r="J350" s="30" t="s">
        <v>216</v>
      </c>
      <c r="K350" s="168" t="str">
        <f>hyperlink("https://skutracker.sierrawireless.local/projects/2927", "2927")</f>
        <v>2927</v>
      </c>
      <c r="L350" s="168" t="str">
        <f>hyperlink("https://agile.sierrawireless.com/Agile/PLMServlet?action=OpenEmailObject&amp;classid=6000&amp;objid=9009297", "ECO-021753")</f>
        <v>ECO-021753</v>
      </c>
      <c r="M350" s="30" t="s">
        <v>7327</v>
      </c>
      <c r="N350" s="30" t="s">
        <v>7735</v>
      </c>
    </row>
    <row r="351">
      <c r="A351" s="168" t="str">
        <f>hyperlink("https://issues.sierrawireless.com/browse/OEMPRI-1802", "OEMPRI-1802")</f>
        <v>OEMPRI-1802</v>
      </c>
      <c r="B351" s="30" t="b">
        <v>1</v>
      </c>
      <c r="C351" s="30">
        <v>1102820.0</v>
      </c>
      <c r="D351" s="191" t="s">
        <v>7922</v>
      </c>
      <c r="E351" s="30" t="s">
        <v>139</v>
      </c>
      <c r="F351" s="35">
        <v>42371.0</v>
      </c>
      <c r="G351" s="30" t="s">
        <v>92</v>
      </c>
      <c r="H351" s="30" t="s">
        <v>2596</v>
      </c>
      <c r="I351" s="30" t="s">
        <v>244</v>
      </c>
      <c r="J351" s="30" t="s">
        <v>244</v>
      </c>
      <c r="K351" s="168" t="str">
        <f>hyperlink("https://skutracker.sierrawireless.local/projects/2334", "2334")</f>
        <v>2334</v>
      </c>
      <c r="L351" s="168" t="str">
        <f>hyperlink("https://agile.sierrawireless.com/Agile/PLMServlet?action=OpenEmailObject&amp;classid=6000&amp;objid=7937637", "ECO-020074")</f>
        <v>ECO-020074</v>
      </c>
      <c r="M351" s="30" t="s">
        <v>7880</v>
      </c>
      <c r="N351" s="30" t="s">
        <v>7923</v>
      </c>
    </row>
    <row r="352">
      <c r="A352" s="168" t="str">
        <f>hyperlink("https://issues.sierrawireless.com/browse/OEMPRI-1745", "OEMPRI-1745")</f>
        <v>OEMPRI-1745</v>
      </c>
      <c r="B352" s="30" t="b">
        <v>1</v>
      </c>
      <c r="C352" s="30">
        <v>1103054.0</v>
      </c>
      <c r="D352" s="191">
        <v>9906141.0</v>
      </c>
      <c r="E352" s="30" t="s">
        <v>139</v>
      </c>
      <c r="F352" s="35">
        <v>42370.0</v>
      </c>
      <c r="G352" s="30" t="s">
        <v>92</v>
      </c>
      <c r="H352" s="30" t="s">
        <v>215</v>
      </c>
      <c r="I352" s="30" t="s">
        <v>216</v>
      </c>
      <c r="J352" s="30" t="s">
        <v>216</v>
      </c>
      <c r="K352" s="168" t="str">
        <f>hyperlink("https://skutracker.sierrawireless.local/projects/2508", "2508")</f>
        <v>2508</v>
      </c>
      <c r="L352" s="168" t="str">
        <f>hyperlink("https://agile.sierrawireless.com/Agile/PLMServlet?action=OpenEmailObject&amp;classid=6000&amp;objid=8096645", "ECO-020662")</f>
        <v>ECO-020662</v>
      </c>
      <c r="M352" s="30" t="s">
        <v>7053</v>
      </c>
      <c r="N352" s="30" t="s">
        <v>7924</v>
      </c>
    </row>
    <row r="353">
      <c r="A353" s="168" t="str">
        <f>hyperlink("https://issues.sierrawireless.com/browse/OEMPRI-1637", "OEMPRI-1637")</f>
        <v>OEMPRI-1637</v>
      </c>
      <c r="B353" s="30" t="b">
        <v>1</v>
      </c>
      <c r="C353" s="30">
        <v>1102503.0</v>
      </c>
      <c r="D353" s="191">
        <v>9904462.0</v>
      </c>
      <c r="E353" s="30" t="s">
        <v>139</v>
      </c>
      <c r="F353" s="35">
        <v>42370.0</v>
      </c>
      <c r="G353" s="30" t="s">
        <v>92</v>
      </c>
      <c r="H353" s="30" t="s">
        <v>723</v>
      </c>
      <c r="I353" s="30" t="s">
        <v>609</v>
      </c>
      <c r="J353" s="30" t="s">
        <v>609</v>
      </c>
      <c r="K353" s="168" t="str">
        <f>hyperlink("https://skutracker.sierrawireless.local/projects/2950", "2950")</f>
        <v>2950</v>
      </c>
      <c r="L353" s="168" t="str">
        <f>hyperlink("https://agile.sierrawireless.com/Agile/PLMServlet?action=OpenEmailObject&amp;classid=6000&amp;objid=9139823", "ECO-021880")</f>
        <v>ECO-021880</v>
      </c>
      <c r="M353" s="30" t="s">
        <v>7306</v>
      </c>
      <c r="N353" s="30" t="s">
        <v>7683</v>
      </c>
    </row>
    <row r="354">
      <c r="A354" s="168" t="str">
        <f>hyperlink("https://issues.sierrawireless.com/browse/OEMPRI-1638", "OEMPRI-1638")</f>
        <v>OEMPRI-1638</v>
      </c>
      <c r="B354" s="30" t="b">
        <v>1</v>
      </c>
      <c r="C354" s="30">
        <v>1102502.0</v>
      </c>
      <c r="D354" s="191">
        <v>9904443.0</v>
      </c>
      <c r="E354" s="30" t="s">
        <v>139</v>
      </c>
      <c r="F354" s="35">
        <v>42370.0</v>
      </c>
      <c r="G354" s="30" t="s">
        <v>92</v>
      </c>
      <c r="H354" s="30" t="s">
        <v>723</v>
      </c>
      <c r="I354" s="30" t="s">
        <v>609</v>
      </c>
      <c r="J354" s="30" t="s">
        <v>609</v>
      </c>
      <c r="K354" s="168" t="str">
        <f>hyperlink("https://skutracker.sierrawireless.local/projects/2951", "2951")</f>
        <v>2951</v>
      </c>
      <c r="L354" s="168" t="str">
        <f>hyperlink("https://agile.sierrawireless.com/Agile/PLMServlet?action=OpenEmailObject&amp;classid=6000&amp;objid=9140172", "ECO-021881")</f>
        <v>ECO-021881</v>
      </c>
      <c r="M354" s="30" t="s">
        <v>7658</v>
      </c>
      <c r="N354" s="30" t="s">
        <v>7683</v>
      </c>
    </row>
    <row r="355">
      <c r="A355" s="168" t="str">
        <f>hyperlink("https://issues.sierrawireless.com/browse/OEMPRI-1969", "OEMPRI-1969")</f>
        <v>OEMPRI-1969</v>
      </c>
      <c r="B355" s="30" t="b">
        <v>1</v>
      </c>
      <c r="C355" s="30">
        <v>1101829.0</v>
      </c>
      <c r="D355" s="191">
        <v>9904836.0</v>
      </c>
      <c r="E355" s="30" t="s">
        <v>139</v>
      </c>
      <c r="F355" s="35">
        <v>42035.0</v>
      </c>
      <c r="G355" s="30" t="s">
        <v>92</v>
      </c>
      <c r="H355" s="30" t="s">
        <v>6300</v>
      </c>
      <c r="I355" s="30" t="s">
        <v>216</v>
      </c>
      <c r="J355" s="30" t="s">
        <v>216</v>
      </c>
      <c r="K355" s="168" t="str">
        <f>hyperlink("https://skutracker.sierrawireless.local/projects/1582", "1582")</f>
        <v>1582</v>
      </c>
      <c r="L355" s="168" t="str">
        <f>hyperlink("https://agile.sierrawireless.com/Agile/PLMServlet?action=OpenEmailObject&amp;classid=0&amp;objid=-1", "ECO-014105")</f>
        <v>ECO-014105</v>
      </c>
      <c r="M355" s="30" t="s">
        <v>7932</v>
      </c>
      <c r="N355" s="30" t="s">
        <v>7934</v>
      </c>
    </row>
    <row r="356">
      <c r="A356" s="168" t="str">
        <f>hyperlink("https://issues.sierrawireless.com/browse/OEMPRI-1941", "OEMPRI-1941")</f>
        <v>OEMPRI-1941</v>
      </c>
      <c r="B356" s="30" t="b">
        <v>1</v>
      </c>
      <c r="C356" s="30">
        <v>1102425.0</v>
      </c>
      <c r="D356" s="191">
        <v>9904182.0</v>
      </c>
      <c r="E356" s="30" t="s">
        <v>139</v>
      </c>
      <c r="F356" s="35">
        <v>42035.0</v>
      </c>
      <c r="G356" s="30" t="s">
        <v>92</v>
      </c>
      <c r="H356" s="30" t="s">
        <v>723</v>
      </c>
      <c r="I356" s="30" t="s">
        <v>233</v>
      </c>
      <c r="J356" s="30" t="s">
        <v>177</v>
      </c>
      <c r="K356" s="168" t="str">
        <f>hyperlink("https://skutracker.sierrawireless.local/projects/1632", "1632")</f>
        <v>1632</v>
      </c>
      <c r="L356" s="168" t="str">
        <f>hyperlink("https://agile.sierrawireless.com/Agile/PLMServlet?action=OpenEmailObject&amp;classid=0&amp;objid=-1", "TDN-005136")</f>
        <v>TDN-005136</v>
      </c>
      <c r="M356" s="30" t="s">
        <v>7945</v>
      </c>
      <c r="N356" s="30" t="s">
        <v>7947</v>
      </c>
    </row>
    <row r="357">
      <c r="A357" s="168" t="str">
        <f>hyperlink("https://issues.sierrawireless.com/browse/OEMPRI-1942", "OEMPRI-1942")</f>
        <v>OEMPRI-1942</v>
      </c>
      <c r="B357" s="30" t="b">
        <v>1</v>
      </c>
      <c r="C357" s="30">
        <v>1102534.0</v>
      </c>
      <c r="D357" s="191" t="s">
        <v>7134</v>
      </c>
      <c r="E357" s="30" t="s">
        <v>139</v>
      </c>
      <c r="F357" s="35">
        <v>42035.0</v>
      </c>
      <c r="G357" s="30" t="s">
        <v>92</v>
      </c>
      <c r="H357" s="30" t="s">
        <v>6399</v>
      </c>
      <c r="I357" s="30" t="s">
        <v>244</v>
      </c>
      <c r="J357" s="30" t="s">
        <v>244</v>
      </c>
      <c r="K357" s="168" t="str">
        <f>hyperlink("https://skutracker.sierrawireless.local/projects/1236", "1236")</f>
        <v>1236</v>
      </c>
      <c r="L357" s="168" t="str">
        <f>hyperlink("https://agile.sierrawireless.com/Agile/PLMServlet?action=OpenEmailObject&amp;classid=0&amp;objid=-1", "ECO-015899")</f>
        <v>ECO-015899</v>
      </c>
      <c r="M357" s="30" t="s">
        <v>7962</v>
      </c>
      <c r="N357" s="30" t="s">
        <v>7964</v>
      </c>
    </row>
    <row r="358">
      <c r="A358" s="168" t="str">
        <f>hyperlink("https://issues.sierrawireless.com/browse/OEMPRI-2108", "OEMPRI-2108")</f>
        <v>OEMPRI-2108</v>
      </c>
      <c r="B358" s="30" t="b">
        <v>1</v>
      </c>
      <c r="C358" s="30">
        <v>1102235.0</v>
      </c>
      <c r="D358" s="191">
        <v>9903531.0</v>
      </c>
      <c r="E358" s="30" t="s">
        <v>139</v>
      </c>
      <c r="F358" s="35">
        <v>42034.0</v>
      </c>
      <c r="G358" s="30" t="s">
        <v>92</v>
      </c>
      <c r="H358" s="30" t="s">
        <v>723</v>
      </c>
      <c r="I358" s="30" t="s">
        <v>609</v>
      </c>
      <c r="J358" s="30" t="s">
        <v>609</v>
      </c>
      <c r="K358" s="168" t="str">
        <f>hyperlink("https://skutracker.sierrawireless.local/projects/1098", "1098")</f>
        <v>1098</v>
      </c>
      <c r="L358" s="168" t="str">
        <f>hyperlink("https://agile.sierrawireless.com/Agile/PLMServlet?action=OpenEmailObject&amp;classid=0&amp;objid=-1", "ECO-015675")</f>
        <v>ECO-015675</v>
      </c>
      <c r="M358" s="30" t="s">
        <v>7979</v>
      </c>
      <c r="N358" s="30" t="s">
        <v>7980</v>
      </c>
    </row>
    <row r="359">
      <c r="A359" s="168" t="str">
        <f>hyperlink("https://issues.sierrawireless.com/browse/OEMPRI-2073", "OEMPRI-2073")</f>
        <v>OEMPRI-2073</v>
      </c>
      <c r="B359" s="30" t="b">
        <v>1</v>
      </c>
      <c r="C359" s="30">
        <v>1102503.0</v>
      </c>
      <c r="D359" s="191">
        <v>9904462.0</v>
      </c>
      <c r="E359" s="30" t="s">
        <v>139</v>
      </c>
      <c r="F359" s="35">
        <v>42034.0</v>
      </c>
      <c r="G359" s="30" t="s">
        <v>92</v>
      </c>
      <c r="H359" s="30" t="s">
        <v>723</v>
      </c>
      <c r="I359" s="30" t="s">
        <v>177</v>
      </c>
      <c r="J359" s="30" t="s">
        <v>177</v>
      </c>
      <c r="K359" s="168" t="str">
        <f>hyperlink("https://skutracker.sierrawireless.local/projects/1102", "1102")</f>
        <v>1102</v>
      </c>
      <c r="L359" s="168" t="str">
        <f>hyperlink("https://agile.sierrawireless.com/Agile/PLMServlet?action=OpenEmailObject&amp;classid=0&amp;objid=-1", "TDN-004824")</f>
        <v>TDN-004824</v>
      </c>
      <c r="M359" s="30" t="s">
        <v>7306</v>
      </c>
      <c r="N359" s="30" t="s">
        <v>7993</v>
      </c>
    </row>
    <row r="360">
      <c r="A360" s="168" t="str">
        <f>hyperlink("https://issues.sierrawireless.com/browse/OEMPRI-2107", "OEMPRI-2107")</f>
        <v>OEMPRI-2107</v>
      </c>
      <c r="B360" s="30" t="b">
        <v>1</v>
      </c>
      <c r="C360" s="30">
        <v>1101541.0</v>
      </c>
      <c r="D360" s="191" t="s">
        <v>7994</v>
      </c>
      <c r="E360" s="30" t="s">
        <v>139</v>
      </c>
      <c r="F360" s="35">
        <v>42034.0</v>
      </c>
      <c r="G360" s="30" t="s">
        <v>92</v>
      </c>
      <c r="H360" s="30" t="s">
        <v>3407</v>
      </c>
      <c r="I360" s="30" t="s">
        <v>216</v>
      </c>
      <c r="J360" s="30" t="s">
        <v>216</v>
      </c>
      <c r="K360" s="168" t="str">
        <f>hyperlink("https://skutracker.sierrawireless.local/projects/1107", "1107")</f>
        <v>1107</v>
      </c>
      <c r="L360" s="30" t="s">
        <v>166</v>
      </c>
      <c r="M360" s="30" t="s">
        <v>7420</v>
      </c>
      <c r="N360" s="30" t="s">
        <v>7994</v>
      </c>
    </row>
    <row r="361">
      <c r="A361" s="168" t="str">
        <f>hyperlink("https://issues.sierrawireless.com/browse/OEMPRI-2077", "OEMPRI-2077")</f>
        <v>OEMPRI-2077</v>
      </c>
      <c r="B361" s="30" t="b">
        <v>1</v>
      </c>
      <c r="C361" s="30">
        <v>1101830.0</v>
      </c>
      <c r="D361" s="191">
        <v>9902427.0</v>
      </c>
      <c r="E361" s="30" t="s">
        <v>139</v>
      </c>
      <c r="F361" s="35">
        <v>42034.0</v>
      </c>
      <c r="G361" s="30" t="s">
        <v>92</v>
      </c>
      <c r="H361" s="30" t="s">
        <v>723</v>
      </c>
      <c r="I361" s="30" t="s">
        <v>609</v>
      </c>
      <c r="J361" s="30" t="s">
        <v>609</v>
      </c>
      <c r="K361" s="168" t="str">
        <f>hyperlink("https://skutracker.sierrawireless.local/projects/1141", "1141")</f>
        <v>1141</v>
      </c>
      <c r="L361" s="168" t="str">
        <f>hyperlink("https://agile.sierrawireless.com/Agile/PLMServlet?action=OpenEmailObject&amp;classid=0&amp;objid=-1", "ECO-015737")</f>
        <v>ECO-015737</v>
      </c>
      <c r="M361" s="30" t="s">
        <v>7658</v>
      </c>
      <c r="N361" s="30" t="s">
        <v>7999</v>
      </c>
    </row>
    <row r="362">
      <c r="A362" s="168" t="str">
        <f>hyperlink("https://issues.sierrawireless.com/browse/OEMPRI-2074", "OEMPRI-2074")</f>
        <v>OEMPRI-2074</v>
      </c>
      <c r="B362" s="30" t="b">
        <v>1</v>
      </c>
      <c r="C362" s="30">
        <v>1102441.0</v>
      </c>
      <c r="D362" s="191">
        <v>9904283.0</v>
      </c>
      <c r="E362" s="30" t="s">
        <v>139</v>
      </c>
      <c r="F362" s="35">
        <v>42034.0</v>
      </c>
      <c r="G362" s="30" t="s">
        <v>92</v>
      </c>
      <c r="H362" s="30" t="s">
        <v>723</v>
      </c>
      <c r="I362" s="30" t="s">
        <v>177</v>
      </c>
      <c r="J362" s="30" t="s">
        <v>177</v>
      </c>
      <c r="K362" s="168" t="str">
        <f>hyperlink("https://skutracker.sierrawireless.local/projects/1142", "1142")</f>
        <v>1142</v>
      </c>
      <c r="L362" s="168" t="str">
        <f>hyperlink("https://agile.sierrawireless.com/Agile/PLMServlet?action=OpenEmailObject&amp;classid=0&amp;objid=-1", "TDN-004727")</f>
        <v>TDN-004727</v>
      </c>
      <c r="M362" s="30" t="s">
        <v>7306</v>
      </c>
      <c r="N362" s="30" t="s">
        <v>7993</v>
      </c>
    </row>
    <row r="363">
      <c r="A363" s="168" t="str">
        <f>hyperlink("https://issues.sierrawireless.com/browse/OEMPRI-1883", "OEMPRI-1883")</f>
        <v>OEMPRI-1883</v>
      </c>
      <c r="B363" s="30" t="b">
        <v>1</v>
      </c>
      <c r="C363" s="30">
        <v>1102245.0</v>
      </c>
      <c r="D363" s="191">
        <v>9903842.0</v>
      </c>
      <c r="E363" s="30" t="s">
        <v>139</v>
      </c>
      <c r="F363" s="35">
        <v>42034.0</v>
      </c>
      <c r="G363" s="30" t="s">
        <v>92</v>
      </c>
      <c r="H363" s="30" t="s">
        <v>6300</v>
      </c>
      <c r="I363" s="30" t="s">
        <v>216</v>
      </c>
      <c r="J363" s="30" t="s">
        <v>216</v>
      </c>
      <c r="K363" s="168" t="str">
        <f>hyperlink("https://skutracker.sierrawireless.local/projects/1908", "1908")</f>
        <v>1908</v>
      </c>
      <c r="L363" s="30" t="s">
        <v>166</v>
      </c>
      <c r="M363" s="30" t="s">
        <v>8010</v>
      </c>
      <c r="N363" s="30" t="s">
        <v>8011</v>
      </c>
    </row>
    <row r="364">
      <c r="A364" s="168" t="str">
        <f>hyperlink("https://issues.sierrawireless.com/browse/OEMPRI-1851", "OEMPRI-1851")</f>
        <v>OEMPRI-1851</v>
      </c>
      <c r="B364" s="30" t="b">
        <v>1</v>
      </c>
      <c r="C364" s="30">
        <v>1102751.0</v>
      </c>
      <c r="D364" s="191">
        <v>9905193.0</v>
      </c>
      <c r="E364" s="30" t="s">
        <v>139</v>
      </c>
      <c r="F364" s="35">
        <v>42034.0</v>
      </c>
      <c r="G364" s="30" t="s">
        <v>92</v>
      </c>
      <c r="H364" s="30" t="s">
        <v>215</v>
      </c>
      <c r="I364" s="30" t="s">
        <v>216</v>
      </c>
      <c r="J364" s="30" t="s">
        <v>216</v>
      </c>
      <c r="K364" s="168" t="str">
        <f>hyperlink("https://skutracker.sierrawireless.local/projects/2047", "2047")</f>
        <v>2047</v>
      </c>
      <c r="L364" s="168" t="str">
        <f>hyperlink("https://agile.sierrawireless.com/Agile/PLMServlet?action=OpenEmailObject&amp;classid=6000&amp;objid=7892397", "ECO-017356")</f>
        <v>ECO-017356</v>
      </c>
      <c r="M364" s="30" t="s">
        <v>7586</v>
      </c>
      <c r="N364" s="30" t="s">
        <v>7675</v>
      </c>
    </row>
    <row r="365">
      <c r="A365" s="168" t="str">
        <f>hyperlink("https://issues.sierrawireless.com/browse/OEMPRI-1850", "OEMPRI-1850")</f>
        <v>OEMPRI-1850</v>
      </c>
      <c r="B365" s="30" t="b">
        <v>1</v>
      </c>
      <c r="C365" s="30">
        <v>1102616.0</v>
      </c>
      <c r="D365" s="191">
        <v>9904753.0</v>
      </c>
      <c r="E365" s="30" t="s">
        <v>139</v>
      </c>
      <c r="F365" s="35">
        <v>42034.0</v>
      </c>
      <c r="G365" s="30" t="s">
        <v>92</v>
      </c>
      <c r="H365" s="30" t="s">
        <v>723</v>
      </c>
      <c r="I365" s="30" t="s">
        <v>609</v>
      </c>
      <c r="J365" s="30" t="s">
        <v>609</v>
      </c>
      <c r="K365" s="168" t="str">
        <f>hyperlink("https://skutracker.sierrawireless.local/projects/2111", "2111")</f>
        <v>2111</v>
      </c>
      <c r="L365" s="168" t="str">
        <f>hyperlink("https://agile.sierrawireless.com/Agile/PLMServlet?action=OpenEmailObject&amp;classid=6000&amp;objid=7882610", "ECO-017443")</f>
        <v>ECO-017443</v>
      </c>
      <c r="M365" s="30" t="s">
        <v>7053</v>
      </c>
      <c r="N365" s="30" t="s">
        <v>8012</v>
      </c>
    </row>
    <row r="366">
      <c r="A366" s="168" t="str">
        <f>hyperlink("https://issues.sierrawireless.com/browse/OEMPRI-1971", "OEMPRI-1971")</f>
        <v>OEMPRI-1971</v>
      </c>
      <c r="B366" s="30" t="b">
        <v>1</v>
      </c>
      <c r="C366" s="30">
        <v>1102531.0</v>
      </c>
      <c r="D366" s="191">
        <v>9904600.0</v>
      </c>
      <c r="E366" s="30" t="s">
        <v>139</v>
      </c>
      <c r="F366" s="35">
        <v>42033.0</v>
      </c>
      <c r="G366" s="30" t="s">
        <v>92</v>
      </c>
      <c r="H366" s="30" t="s">
        <v>6300</v>
      </c>
      <c r="I366" s="30" t="s">
        <v>216</v>
      </c>
      <c r="J366" s="30" t="s">
        <v>216</v>
      </c>
      <c r="K366" s="168" t="str">
        <f t="shared" ref="K366:K370" si="29">hyperlink("https://skutracker.sierrawireless.local/projects/1582", "1582")</f>
        <v>1582</v>
      </c>
      <c r="L366" s="168" t="str">
        <f t="shared" ref="L366:L370" si="30">hyperlink("https://agile.sierrawireless.com/Agile/PLMServlet?action=OpenEmailObject&amp;classid=0&amp;objid=-1", "ECO-014105")</f>
        <v>ECO-014105</v>
      </c>
      <c r="M366" s="30" t="s">
        <v>8010</v>
      </c>
      <c r="N366" s="30" t="s">
        <v>8013</v>
      </c>
    </row>
    <row r="367">
      <c r="A367" s="168" t="str">
        <f>hyperlink("https://issues.sierrawireless.com/browse/OEMPRI-1972", "OEMPRI-1972")</f>
        <v>OEMPRI-1972</v>
      </c>
      <c r="B367" s="30" t="b">
        <v>1</v>
      </c>
      <c r="C367" s="30">
        <v>1102321.0</v>
      </c>
      <c r="D367" s="191">
        <v>9903801.0</v>
      </c>
      <c r="E367" s="30" t="s">
        <v>139</v>
      </c>
      <c r="F367" s="35">
        <v>42033.0</v>
      </c>
      <c r="G367" s="30" t="s">
        <v>92</v>
      </c>
      <c r="H367" s="30" t="s">
        <v>6300</v>
      </c>
      <c r="I367" s="30" t="s">
        <v>216</v>
      </c>
      <c r="J367" s="30" t="s">
        <v>216</v>
      </c>
      <c r="K367" s="168" t="str">
        <f t="shared" si="29"/>
        <v>1582</v>
      </c>
      <c r="L367" s="168" t="str">
        <f t="shared" si="30"/>
        <v>ECO-014105</v>
      </c>
      <c r="M367" s="30" t="s">
        <v>7620</v>
      </c>
      <c r="N367" s="30" t="s">
        <v>8014</v>
      </c>
    </row>
    <row r="368">
      <c r="A368" s="168" t="str">
        <f>hyperlink("https://issues.sierrawireless.com/browse/OEMPRI-1973", "OEMPRI-1973")</f>
        <v>OEMPRI-1973</v>
      </c>
      <c r="B368" s="30" t="b">
        <v>1</v>
      </c>
      <c r="C368" s="30">
        <v>1101780.0</v>
      </c>
      <c r="D368" s="191">
        <v>9903467.0</v>
      </c>
      <c r="E368" s="30" t="s">
        <v>139</v>
      </c>
      <c r="F368" s="35">
        <v>42033.0</v>
      </c>
      <c r="G368" s="30" t="s">
        <v>92</v>
      </c>
      <c r="H368" s="30" t="s">
        <v>6300</v>
      </c>
      <c r="I368" s="30" t="s">
        <v>216</v>
      </c>
      <c r="J368" s="30" t="s">
        <v>216</v>
      </c>
      <c r="K368" s="168" t="str">
        <f t="shared" si="29"/>
        <v>1582</v>
      </c>
      <c r="L368" s="168" t="str">
        <f t="shared" si="30"/>
        <v>ECO-014105</v>
      </c>
      <c r="M368" s="30" t="s">
        <v>8010</v>
      </c>
      <c r="N368" s="30" t="s">
        <v>8015</v>
      </c>
    </row>
    <row r="369">
      <c r="A369" s="168" t="str">
        <f>hyperlink("https://issues.sierrawireless.com/browse/OEMPRI-1974", "OEMPRI-1974")</f>
        <v>OEMPRI-1974</v>
      </c>
      <c r="B369" s="30" t="b">
        <v>1</v>
      </c>
      <c r="C369" s="30">
        <v>1101859.0</v>
      </c>
      <c r="D369" s="191">
        <v>9903109.0</v>
      </c>
      <c r="E369" s="30" t="s">
        <v>139</v>
      </c>
      <c r="F369" s="35">
        <v>42033.0</v>
      </c>
      <c r="G369" s="30" t="s">
        <v>92</v>
      </c>
      <c r="H369" s="30" t="s">
        <v>6300</v>
      </c>
      <c r="I369" s="30" t="s">
        <v>216</v>
      </c>
      <c r="J369" s="30" t="s">
        <v>216</v>
      </c>
      <c r="K369" s="168" t="str">
        <f t="shared" si="29"/>
        <v>1582</v>
      </c>
      <c r="L369" s="168" t="str">
        <f t="shared" si="30"/>
        <v>ECO-014105</v>
      </c>
      <c r="M369" s="30" t="s">
        <v>7932</v>
      </c>
      <c r="N369" s="30" t="s">
        <v>7934</v>
      </c>
    </row>
    <row r="370">
      <c r="A370" s="168" t="str">
        <f>hyperlink("https://issues.sierrawireless.com/browse/OEMPRI-1975", "OEMPRI-1975")</f>
        <v>OEMPRI-1975</v>
      </c>
      <c r="B370" s="30" t="b">
        <v>1</v>
      </c>
      <c r="C370" s="30">
        <v>1101548.0</v>
      </c>
      <c r="D370" s="191">
        <v>9903470.0</v>
      </c>
      <c r="E370" s="30" t="s">
        <v>139</v>
      </c>
      <c r="F370" s="35">
        <v>42033.0</v>
      </c>
      <c r="G370" s="30" t="s">
        <v>92</v>
      </c>
      <c r="H370" s="30" t="s">
        <v>6300</v>
      </c>
      <c r="I370" s="30" t="s">
        <v>216</v>
      </c>
      <c r="J370" s="30" t="s">
        <v>216</v>
      </c>
      <c r="K370" s="168" t="str">
        <f t="shared" si="29"/>
        <v>1582</v>
      </c>
      <c r="L370" s="168" t="str">
        <f t="shared" si="30"/>
        <v>ECO-014105</v>
      </c>
      <c r="M370" s="30" t="s">
        <v>8010</v>
      </c>
      <c r="N370" s="30" t="s">
        <v>8016</v>
      </c>
    </row>
    <row r="371">
      <c r="A371" s="168" t="str">
        <f>hyperlink("https://issues.sierrawireless.com/browse/OEMPRI-2046", "OEMPRI-2046")</f>
        <v>OEMPRI-2046</v>
      </c>
      <c r="B371" s="30" t="b">
        <v>1</v>
      </c>
      <c r="C371" s="30">
        <v>1102493.0</v>
      </c>
      <c r="D371" s="191">
        <v>9904452.0</v>
      </c>
      <c r="E371" s="30" t="s">
        <v>139</v>
      </c>
      <c r="F371" s="35">
        <v>42032.0</v>
      </c>
      <c r="G371" s="30" t="s">
        <v>92</v>
      </c>
      <c r="H371" s="30" t="s">
        <v>723</v>
      </c>
      <c r="I371" s="30" t="s">
        <v>609</v>
      </c>
      <c r="J371" s="30" t="s">
        <v>609</v>
      </c>
      <c r="K371" s="168" t="str">
        <f>hyperlink("https://skutracker.sierrawireless.local/projects/1127", "1127")</f>
        <v>1127</v>
      </c>
      <c r="L371" s="168" t="str">
        <f>hyperlink("https://agile.sierrawireless.com/Agile/PLMServlet?action=OpenEmailObject&amp;classid=0&amp;objid=-1", "ECO-004724")</f>
        <v>ECO-004724</v>
      </c>
      <c r="M371" s="30" t="s">
        <v>7420</v>
      </c>
      <c r="N371" s="30" t="s">
        <v>8017</v>
      </c>
    </row>
    <row r="372">
      <c r="A372" s="168" t="str">
        <f>hyperlink("https://issues.sierrawireless.com/browse/OEMPRI-2140", "OEMPRI-2140")</f>
        <v>OEMPRI-2140</v>
      </c>
      <c r="B372" s="30" t="b">
        <v>1</v>
      </c>
      <c r="C372" s="30">
        <v>1102492.0</v>
      </c>
      <c r="D372" s="191">
        <v>9904104.0</v>
      </c>
      <c r="E372" s="30" t="s">
        <v>139</v>
      </c>
      <c r="F372" s="35">
        <v>42031.0</v>
      </c>
      <c r="G372" s="30" t="s">
        <v>92</v>
      </c>
      <c r="H372" s="30" t="s">
        <v>6481</v>
      </c>
      <c r="I372" s="30" t="s">
        <v>216</v>
      </c>
      <c r="J372" s="30" t="s">
        <v>216</v>
      </c>
      <c r="K372" s="168" t="str">
        <f>hyperlink("https://skutracker.sierrawireless.local/projects/1054", "1054")</f>
        <v>1054</v>
      </c>
      <c r="L372" s="168" t="str">
        <f t="shared" ref="L372:L373" si="31">hyperlink("https://agile.sierrawireless.com/Agile/PLMServlet?action=OpenEmailObject&amp;classid=0&amp;objid=-1", "ECO-015570")</f>
        <v>ECO-015570</v>
      </c>
      <c r="M372" s="30" t="s">
        <v>7605</v>
      </c>
      <c r="N372" s="30" t="s">
        <v>8018</v>
      </c>
    </row>
    <row r="373">
      <c r="A373" s="168" t="str">
        <f>hyperlink("https://issues.sierrawireless.com/browse/OEMPRI-2139", "OEMPRI-2139")</f>
        <v>OEMPRI-2139</v>
      </c>
      <c r="B373" s="30" t="b">
        <v>1</v>
      </c>
      <c r="C373" s="30">
        <v>1102434.0</v>
      </c>
      <c r="D373" s="191">
        <v>9904211.0</v>
      </c>
      <c r="E373" s="30" t="s">
        <v>139</v>
      </c>
      <c r="F373" s="35">
        <v>42031.0</v>
      </c>
      <c r="G373" s="30" t="s">
        <v>92</v>
      </c>
      <c r="H373" s="30" t="s">
        <v>6481</v>
      </c>
      <c r="I373" s="30" t="s">
        <v>216</v>
      </c>
      <c r="J373" s="30" t="s">
        <v>216</v>
      </c>
      <c r="K373" s="168" t="str">
        <f>hyperlink("https://skutracker.sierrawireless.local/projects/1055", "1055")</f>
        <v>1055</v>
      </c>
      <c r="L373" s="168" t="str">
        <f t="shared" si="31"/>
        <v>ECO-015570</v>
      </c>
      <c r="M373" s="30" t="s">
        <v>7545</v>
      </c>
      <c r="N373" s="30" t="s">
        <v>8018</v>
      </c>
    </row>
    <row r="374">
      <c r="A374" s="168" t="str">
        <f>hyperlink("https://issues.sierrawireless.com/browse/OEMPRI-2138", "OEMPRI-2138")</f>
        <v>OEMPRI-2138</v>
      </c>
      <c r="B374" s="30" t="b">
        <v>1</v>
      </c>
      <c r="C374" s="30">
        <v>9100090.0</v>
      </c>
      <c r="D374" s="191">
        <v>9904397.0</v>
      </c>
      <c r="E374" s="30" t="s">
        <v>139</v>
      </c>
      <c r="F374" s="35">
        <v>42031.0</v>
      </c>
      <c r="G374" s="30" t="s">
        <v>92</v>
      </c>
      <c r="H374" s="30" t="s">
        <v>6481</v>
      </c>
      <c r="I374" s="30" t="s">
        <v>216</v>
      </c>
      <c r="J374" s="30" t="s">
        <v>216</v>
      </c>
      <c r="K374" s="168" t="str">
        <f>hyperlink("https://skutracker.sierrawireless.local/projects/1056", "1056")</f>
        <v>1056</v>
      </c>
      <c r="L374" s="168" t="str">
        <f>hyperlink("https://agile.sierrawireless.com/Agile/PLMServlet?action=OpenEmailObject&amp;classid=0&amp;objid=-1", "ECO-015573")</f>
        <v>ECO-015573</v>
      </c>
      <c r="M374" s="30" t="s">
        <v>7605</v>
      </c>
      <c r="N374" s="30" t="s">
        <v>8018</v>
      </c>
    </row>
    <row r="375">
      <c r="A375" s="168" t="str">
        <f>hyperlink("https://issues.sierrawireless.com/browse/OEMPRI-2137", "OEMPRI-2137")</f>
        <v>OEMPRI-2137</v>
      </c>
      <c r="B375" s="30" t="b">
        <v>1</v>
      </c>
      <c r="C375" s="30">
        <v>9100091.0</v>
      </c>
      <c r="D375" s="191">
        <v>9904398.0</v>
      </c>
      <c r="E375" s="30" t="s">
        <v>139</v>
      </c>
      <c r="F375" s="35">
        <v>42031.0</v>
      </c>
      <c r="G375" s="30" t="s">
        <v>92</v>
      </c>
      <c r="H375" s="30" t="s">
        <v>6481</v>
      </c>
      <c r="I375" s="30" t="s">
        <v>216</v>
      </c>
      <c r="J375" s="30" t="s">
        <v>216</v>
      </c>
      <c r="K375" s="168" t="str">
        <f>hyperlink("https://skutracker.sierrawireless.local/projects/1057", "1057")</f>
        <v>1057</v>
      </c>
      <c r="L375" s="168" t="str">
        <f>hyperlink("https://agile.sierrawireless.com/Agile/PLMServlet?action=OpenEmailObject&amp;classid=0&amp;objid=-1", "ECO-015574")</f>
        <v>ECO-015574</v>
      </c>
      <c r="M375" s="30" t="s">
        <v>7545</v>
      </c>
      <c r="N375" s="30" t="s">
        <v>8018</v>
      </c>
    </row>
    <row r="376">
      <c r="A376" s="168" t="str">
        <f>hyperlink("https://issues.sierrawireless.com/browse/OEMPRI-2136", "OEMPRI-2136")</f>
        <v>OEMPRI-2136</v>
      </c>
      <c r="B376" s="30" t="b">
        <v>1</v>
      </c>
      <c r="C376" s="30">
        <v>9100092.0</v>
      </c>
      <c r="D376" s="191">
        <v>9904399.0</v>
      </c>
      <c r="E376" s="30" t="s">
        <v>139</v>
      </c>
      <c r="F376" s="35">
        <v>42031.0</v>
      </c>
      <c r="G376" s="30" t="s">
        <v>92</v>
      </c>
      <c r="H376" s="30" t="s">
        <v>6481</v>
      </c>
      <c r="I376" s="30" t="s">
        <v>216</v>
      </c>
      <c r="J376" s="30" t="s">
        <v>216</v>
      </c>
      <c r="K376" s="168" t="str">
        <f>hyperlink("https://skutracker.sierrawireless.local/projects/1058", "1058")</f>
        <v>1058</v>
      </c>
      <c r="L376" s="168" t="str">
        <f>hyperlink("https://agile.sierrawireless.com/Agile/PLMServlet?action=OpenEmailObject&amp;classid=0&amp;objid=-1", "ECO-015575")</f>
        <v>ECO-015575</v>
      </c>
      <c r="M376" s="30" t="s">
        <v>8019</v>
      </c>
      <c r="N376" s="30" t="s">
        <v>8018</v>
      </c>
    </row>
    <row r="377">
      <c r="A377" s="168" t="str">
        <f>hyperlink("https://issues.sierrawireless.com/browse/OEMPRI-2135", "OEMPRI-2135")</f>
        <v>OEMPRI-2135</v>
      </c>
      <c r="B377" s="30" t="b">
        <v>1</v>
      </c>
      <c r="C377" s="30">
        <v>9100093.0</v>
      </c>
      <c r="D377" s="191">
        <v>9904400.0</v>
      </c>
      <c r="E377" s="30" t="s">
        <v>139</v>
      </c>
      <c r="F377" s="35">
        <v>42031.0</v>
      </c>
      <c r="G377" s="30" t="s">
        <v>92</v>
      </c>
      <c r="H377" s="30" t="s">
        <v>6481</v>
      </c>
      <c r="I377" s="30" t="s">
        <v>216</v>
      </c>
      <c r="J377" s="30" t="s">
        <v>216</v>
      </c>
      <c r="K377" s="168" t="str">
        <f>hyperlink("https://skutracker.sierrawireless.local/projects/1059", "1059")</f>
        <v>1059</v>
      </c>
      <c r="L377" s="168" t="str">
        <f>hyperlink("https://agile.sierrawireless.com/Agile/PLMServlet?action=OpenEmailObject&amp;classid=0&amp;objid=-1", "ECO-015576")</f>
        <v>ECO-015576</v>
      </c>
      <c r="M377" s="30" t="s">
        <v>8020</v>
      </c>
      <c r="N377" s="30" t="s">
        <v>8018</v>
      </c>
    </row>
    <row r="378">
      <c r="A378" s="168" t="str">
        <f>hyperlink("https://issues.sierrawireless.com/browse/OEMPRI-1979", "OEMPRI-1979")</f>
        <v>OEMPRI-1979</v>
      </c>
      <c r="B378" s="30" t="b">
        <v>1</v>
      </c>
      <c r="C378" s="30">
        <v>1102292.0</v>
      </c>
      <c r="D378" s="191">
        <v>9903756.0</v>
      </c>
      <c r="E378" s="30" t="s">
        <v>139</v>
      </c>
      <c r="F378" s="35">
        <v>42031.0</v>
      </c>
      <c r="G378" s="30" t="s">
        <v>92</v>
      </c>
      <c r="H378" s="30" t="s">
        <v>2707</v>
      </c>
      <c r="I378" s="30" t="s">
        <v>216</v>
      </c>
      <c r="J378" s="30" t="s">
        <v>216</v>
      </c>
      <c r="K378" s="168" t="str">
        <f>hyperlink("https://skutracker.sierrawireless.local/projects/1569", "1569")</f>
        <v>1569</v>
      </c>
      <c r="L378" s="30" t="s">
        <v>166</v>
      </c>
      <c r="M378" s="30" t="s">
        <v>7699</v>
      </c>
      <c r="N378" s="30" t="s">
        <v>7696</v>
      </c>
    </row>
    <row r="379">
      <c r="A379" s="168" t="str">
        <f>hyperlink("https://issues.sierrawireless.com/browse/OEMPRI-1855", "OEMPRI-1855")</f>
        <v>OEMPRI-1855</v>
      </c>
      <c r="B379" s="30" t="b">
        <v>1</v>
      </c>
      <c r="C379" s="30">
        <v>1102721.0</v>
      </c>
      <c r="D379" s="191">
        <v>9905105.0</v>
      </c>
      <c r="E379" s="30" t="s">
        <v>139</v>
      </c>
      <c r="F379" s="35">
        <v>42031.0</v>
      </c>
      <c r="G379" s="30" t="s">
        <v>92</v>
      </c>
      <c r="H379" s="30" t="s">
        <v>6300</v>
      </c>
      <c r="I379" s="30" t="s">
        <v>216</v>
      </c>
      <c r="J379" s="30" t="s">
        <v>216</v>
      </c>
      <c r="K379" s="168" t="str">
        <f>hyperlink("https://skutracker.sierrawireless.local/projects/1917", "1917")</f>
        <v>1917</v>
      </c>
      <c r="L379" s="168" t="str">
        <f>hyperlink("https://agile.sierrawireless.com/Agile/PLMServlet?action=OpenEmailObject&amp;classid=0&amp;objid=-1", "ECO-017375")</f>
        <v>ECO-017375</v>
      </c>
      <c r="M379" s="30" t="s">
        <v>7687</v>
      </c>
      <c r="N379" s="30" t="s">
        <v>7891</v>
      </c>
    </row>
    <row r="380">
      <c r="A380" s="168" t="str">
        <f>hyperlink("https://issues.sierrawireless.com/browse/OEMPRI-1854", "OEMPRI-1854")</f>
        <v>OEMPRI-1854</v>
      </c>
      <c r="B380" s="30" t="b">
        <v>1</v>
      </c>
      <c r="C380" s="30">
        <v>1102739.0</v>
      </c>
      <c r="D380" s="191">
        <v>9905182.0</v>
      </c>
      <c r="E380" s="30" t="s">
        <v>139</v>
      </c>
      <c r="F380" s="35">
        <v>42031.0</v>
      </c>
      <c r="G380" s="30" t="s">
        <v>92</v>
      </c>
      <c r="H380" s="30" t="s">
        <v>6300</v>
      </c>
      <c r="I380" s="30" t="s">
        <v>216</v>
      </c>
      <c r="J380" s="30" t="s">
        <v>216</v>
      </c>
      <c r="K380" s="168" t="str">
        <f>hyperlink("https://skutracker.sierrawireless.local/projects/1999", "1999")</f>
        <v>1999</v>
      </c>
      <c r="L380" s="168" t="str">
        <f t="shared" ref="L380:L381" si="32">hyperlink("https://agile.sierrawireless.com/Agile/PLMServlet?action=OpenEmailObject&amp;classid=6000&amp;objid=7967391", "ECO-020201")</f>
        <v>ECO-020201</v>
      </c>
      <c r="M380" s="30" t="s">
        <v>8021</v>
      </c>
      <c r="N380" s="30" t="s">
        <v>8022</v>
      </c>
    </row>
    <row r="381">
      <c r="A381" s="168" t="str">
        <f>hyperlink("https://issues.sierrawireless.com/browse/OEMPRI-1853", "OEMPRI-1853")</f>
        <v>OEMPRI-1853</v>
      </c>
      <c r="B381" s="30" t="b">
        <v>1</v>
      </c>
      <c r="C381" s="30">
        <v>1102740.0</v>
      </c>
      <c r="D381" s="191">
        <v>9905183.0</v>
      </c>
      <c r="E381" s="30" t="s">
        <v>139</v>
      </c>
      <c r="F381" s="35">
        <v>42031.0</v>
      </c>
      <c r="G381" s="30" t="s">
        <v>92</v>
      </c>
      <c r="H381" s="30" t="s">
        <v>6300</v>
      </c>
      <c r="I381" s="30" t="s">
        <v>216</v>
      </c>
      <c r="J381" s="30" t="s">
        <v>216</v>
      </c>
      <c r="K381" s="168" t="str">
        <f>hyperlink("https://skutracker.sierrawireless.local/projects/2000", "2000")</f>
        <v>2000</v>
      </c>
      <c r="L381" s="168" t="str">
        <f t="shared" si="32"/>
        <v>ECO-020201</v>
      </c>
      <c r="M381" s="30" t="s">
        <v>8021</v>
      </c>
      <c r="N381" s="30" t="s">
        <v>8023</v>
      </c>
    </row>
    <row r="382">
      <c r="A382" s="168" t="str">
        <f>hyperlink("https://issues.sierrawireless.com/browse/OEMPRI-1856", "OEMPRI-1856")</f>
        <v>OEMPRI-1856</v>
      </c>
      <c r="B382" s="30" t="b">
        <v>1</v>
      </c>
      <c r="C382" s="30">
        <v>1102750.0</v>
      </c>
      <c r="D382" s="191">
        <v>9905191.0</v>
      </c>
      <c r="E382" s="30" t="s">
        <v>139</v>
      </c>
      <c r="F382" s="35">
        <v>42031.0</v>
      </c>
      <c r="G382" s="30" t="s">
        <v>92</v>
      </c>
      <c r="H382" s="30" t="s">
        <v>215</v>
      </c>
      <c r="I382" s="30" t="s">
        <v>216</v>
      </c>
      <c r="J382" s="30" t="s">
        <v>216</v>
      </c>
      <c r="K382" s="168" t="str">
        <f>hyperlink("https://skutracker.sierrawireless.local/projects/2042", "2042")</f>
        <v>2042</v>
      </c>
      <c r="L382" s="168" t="str">
        <f>hyperlink("https://agile.sierrawireless.com/Agile/PLMServlet?action=OpenEmailObject&amp;classid=6000&amp;objid=7892431", "ECO-017355")</f>
        <v>ECO-017355</v>
      </c>
      <c r="M382" s="30" t="s">
        <v>7687</v>
      </c>
      <c r="N382" s="30" t="s">
        <v>7924</v>
      </c>
    </row>
    <row r="383">
      <c r="A383" s="168" t="str">
        <f>hyperlink("https://issues.sierrawireless.com/browse/OEMPRI-2109", "OEMPRI-2109")</f>
        <v>OEMPRI-2109</v>
      </c>
      <c r="B383" s="30" t="b">
        <v>1</v>
      </c>
      <c r="C383" s="30">
        <v>1102512.0</v>
      </c>
      <c r="D383" s="191">
        <v>9904468.0</v>
      </c>
      <c r="E383" s="30" t="s">
        <v>139</v>
      </c>
      <c r="F383" s="35">
        <v>42030.0</v>
      </c>
      <c r="G383" s="30" t="s">
        <v>92</v>
      </c>
      <c r="H383" s="30" t="s">
        <v>723</v>
      </c>
      <c r="I383" s="30" t="s">
        <v>609</v>
      </c>
      <c r="J383" s="30" t="s">
        <v>609</v>
      </c>
      <c r="K383" s="168" t="str">
        <f>hyperlink("https://skutracker.sierrawireless.local/projects/1149", "1149")</f>
        <v>1149</v>
      </c>
      <c r="L383" s="168" t="str">
        <f>hyperlink("https://agile.sierrawireless.com/Agile/PLMServlet?action=OpenEmailObject&amp;classid=0&amp;objid=-1", "ECO-015750")</f>
        <v>ECO-015750</v>
      </c>
      <c r="M383" s="30" t="s">
        <v>7420</v>
      </c>
      <c r="N383" s="30" t="s">
        <v>8024</v>
      </c>
    </row>
    <row r="384">
      <c r="A384" s="168" t="str">
        <f>hyperlink("https://issues.sierrawireless.com/browse/OEMPRI-2050", "OEMPRI-2050")</f>
        <v>OEMPRI-2050</v>
      </c>
      <c r="B384" s="30" t="b">
        <v>1</v>
      </c>
      <c r="C384" s="30">
        <v>1102418.0</v>
      </c>
      <c r="D384" s="191" t="s">
        <v>7134</v>
      </c>
      <c r="E384" s="30" t="s">
        <v>139</v>
      </c>
      <c r="F384" s="35">
        <v>42030.0</v>
      </c>
      <c r="G384" s="30" t="s">
        <v>92</v>
      </c>
      <c r="H384" s="30" t="s">
        <v>2596</v>
      </c>
      <c r="I384" s="30" t="s">
        <v>244</v>
      </c>
      <c r="J384" s="30" t="s">
        <v>244</v>
      </c>
      <c r="K384" s="168" t="str">
        <f>hyperlink("https://skutracker.sierrawireless.local/projects/1338", "1338")</f>
        <v>1338</v>
      </c>
      <c r="L384" s="168" t="str">
        <f>hyperlink("https://agile.sierrawireless.com/Agile/PLMServlet?action=OpenEmailObject&amp;classid=0&amp;objid=-1", "ECO-016114")</f>
        <v>ECO-016114</v>
      </c>
      <c r="M384" s="30" t="s">
        <v>7306</v>
      </c>
      <c r="N384" s="30" t="s">
        <v>8025</v>
      </c>
    </row>
    <row r="385">
      <c r="A385" s="168" t="str">
        <f>hyperlink("https://issues.sierrawireless.com/browse/OEMPRI-2110", "OEMPRI-2110")</f>
        <v>OEMPRI-2110</v>
      </c>
      <c r="B385" s="30" t="b">
        <v>1</v>
      </c>
      <c r="C385" s="30">
        <v>1102449.0</v>
      </c>
      <c r="D385" s="191">
        <v>9904466.0</v>
      </c>
      <c r="E385" s="30" t="s">
        <v>139</v>
      </c>
      <c r="F385" s="35">
        <v>42029.0</v>
      </c>
      <c r="G385" s="30" t="s">
        <v>92</v>
      </c>
      <c r="H385" s="30" t="s">
        <v>6300</v>
      </c>
      <c r="I385" s="30" t="s">
        <v>216</v>
      </c>
      <c r="J385" s="30" t="s">
        <v>216</v>
      </c>
      <c r="K385" s="168" t="str">
        <f>hyperlink("https://skutracker.sierrawireless.local/projects/874", "874")</f>
        <v>874</v>
      </c>
      <c r="L385" s="168" t="str">
        <f>hyperlink("https://agile.sierrawireless.com/Agile/PLMServlet?action=OpenEmailObject&amp;classid=0&amp;objid=-1", "ECO-015242")</f>
        <v>ECO-015242</v>
      </c>
      <c r="M385" s="30" t="s">
        <v>8026</v>
      </c>
      <c r="N385" s="30" t="s">
        <v>8027</v>
      </c>
    </row>
    <row r="386">
      <c r="A386" s="168" t="str">
        <f>hyperlink("https://issues.sierrawireless.com/browse/OEMPRI-1913", "OEMPRI-1913")</f>
        <v>OEMPRI-1913</v>
      </c>
      <c r="B386" s="30" t="b">
        <v>1</v>
      </c>
      <c r="C386" s="30">
        <v>1102675.0</v>
      </c>
      <c r="D386" s="191">
        <v>9904990.0</v>
      </c>
      <c r="E386" s="30" t="s">
        <v>139</v>
      </c>
      <c r="F386" s="35">
        <v>42028.0</v>
      </c>
      <c r="G386" s="30" t="s">
        <v>92</v>
      </c>
      <c r="H386" s="30" t="s">
        <v>6171</v>
      </c>
      <c r="I386" s="30" t="s">
        <v>216</v>
      </c>
      <c r="J386" s="30" t="s">
        <v>216</v>
      </c>
      <c r="K386" s="168" t="str">
        <f>hyperlink("https://skutracker.sierrawireless.local/projects/1749", "1749")</f>
        <v>1749</v>
      </c>
      <c r="L386" s="168" t="str">
        <f>hyperlink("https://agile.sierrawireless.com/Agile/PLMServlet?action=OpenEmailObject&amp;classid=0&amp;objid=-1", "ECO-016879")</f>
        <v>ECO-016879</v>
      </c>
      <c r="M386" s="30" t="s">
        <v>8028</v>
      </c>
      <c r="N386" s="30" t="s">
        <v>7735</v>
      </c>
    </row>
    <row r="387">
      <c r="A387" s="168" t="str">
        <f>hyperlink("https://issues.sierrawireless.com/browse/OEMPRI-1912", "OEMPRI-1912")</f>
        <v>OEMPRI-1912</v>
      </c>
      <c r="B387" s="30" t="b">
        <v>1</v>
      </c>
      <c r="C387" s="30">
        <v>1102680.0</v>
      </c>
      <c r="D387" s="191">
        <v>9904991.0</v>
      </c>
      <c r="E387" s="30" t="s">
        <v>139</v>
      </c>
      <c r="F387" s="35">
        <v>42028.0</v>
      </c>
      <c r="G387" s="30" t="s">
        <v>92</v>
      </c>
      <c r="H387" s="30" t="s">
        <v>147</v>
      </c>
      <c r="I387" s="30" t="s">
        <v>216</v>
      </c>
      <c r="J387" s="30" t="s">
        <v>216</v>
      </c>
      <c r="K387" s="168" t="str">
        <f>hyperlink("https://skutracker.sierrawireless.local/projects/1762", "1762")</f>
        <v>1762</v>
      </c>
      <c r="L387" s="168" t="str">
        <f>hyperlink("https://agile.sierrawireless.com/Agile/PLMServlet?action=OpenEmailObject&amp;classid=0&amp;objid=-1", "ECO-016914")</f>
        <v>ECO-016914</v>
      </c>
      <c r="M387" s="30" t="s">
        <v>7053</v>
      </c>
      <c r="N387" s="30" t="s">
        <v>7491</v>
      </c>
    </row>
    <row r="388">
      <c r="A388" s="168" t="str">
        <f>hyperlink("https://issues.sierrawireless.com/browse/OEMPRI-1911", "OEMPRI-1911")</f>
        <v>OEMPRI-1911</v>
      </c>
      <c r="B388" s="30" t="b">
        <v>1</v>
      </c>
      <c r="C388" s="30">
        <v>1102681.0</v>
      </c>
      <c r="D388" s="191">
        <v>9904992.0</v>
      </c>
      <c r="E388" s="30" t="s">
        <v>139</v>
      </c>
      <c r="F388" s="35">
        <v>42028.0</v>
      </c>
      <c r="G388" s="30" t="s">
        <v>92</v>
      </c>
      <c r="H388" s="30" t="s">
        <v>147</v>
      </c>
      <c r="I388" s="30" t="s">
        <v>216</v>
      </c>
      <c r="J388" s="30" t="s">
        <v>216</v>
      </c>
      <c r="K388" s="168" t="str">
        <f>hyperlink("https://skutracker.sierrawireless.local/projects/1764", "1764")</f>
        <v>1764</v>
      </c>
      <c r="L388" s="168" t="str">
        <f>hyperlink("https://agile.sierrawireless.com/Agile/PLMServlet?action=OpenEmailObject&amp;classid=0&amp;objid=-1", "ECO-016915")</f>
        <v>ECO-016915</v>
      </c>
      <c r="M388" s="30" t="s">
        <v>7053</v>
      </c>
      <c r="N388" s="30" t="s">
        <v>7491</v>
      </c>
    </row>
    <row r="389">
      <c r="A389" s="168" t="str">
        <f>hyperlink("https://issues.sierrawireless.com/browse/OEMPRI-1857", "OEMPRI-1857")</f>
        <v>OEMPRI-1857</v>
      </c>
      <c r="B389" s="30" t="b">
        <v>1</v>
      </c>
      <c r="C389" s="30">
        <v>1102599.0</v>
      </c>
      <c r="D389" s="191">
        <v>9905146.0</v>
      </c>
      <c r="E389" s="30" t="s">
        <v>139</v>
      </c>
      <c r="F389" s="35">
        <v>42028.0</v>
      </c>
      <c r="G389" s="30" t="s">
        <v>92</v>
      </c>
      <c r="H389" s="30" t="s">
        <v>1399</v>
      </c>
      <c r="I389" s="30" t="s">
        <v>1400</v>
      </c>
      <c r="J389" s="30" t="s">
        <v>1400</v>
      </c>
      <c r="K389" s="168" t="str">
        <f>hyperlink("https://skutracker.sierrawireless.local/projects/2002", "2002")</f>
        <v>2002</v>
      </c>
      <c r="L389" s="168" t="str">
        <f>hyperlink("https://agile.sierrawireless.com/Agile/PLMServlet?action=OpenEmailObject&amp;classid=0&amp;objid=-1", "TDN-005342")</f>
        <v>TDN-005342</v>
      </c>
      <c r="M389" s="30" t="s">
        <v>7631</v>
      </c>
      <c r="N389" s="30" t="s">
        <v>8030</v>
      </c>
    </row>
    <row r="390">
      <c r="A390" s="168" t="str">
        <f>hyperlink("https://issues.sierrawireless.com/browse/OEMPRI-1982", "OEMPRI-1982")</f>
        <v>OEMPRI-1982</v>
      </c>
      <c r="B390" s="30" t="b">
        <v>1</v>
      </c>
      <c r="C390" s="30">
        <v>1102564.0</v>
      </c>
      <c r="D390" s="191">
        <v>9904649.0</v>
      </c>
      <c r="E390" s="30" t="s">
        <v>139</v>
      </c>
      <c r="F390" s="35">
        <v>42027.0</v>
      </c>
      <c r="G390" s="30" t="s">
        <v>92</v>
      </c>
      <c r="H390" s="30" t="s">
        <v>6171</v>
      </c>
      <c r="I390" s="30" t="s">
        <v>216</v>
      </c>
      <c r="J390" s="30" t="s">
        <v>216</v>
      </c>
      <c r="K390" s="168" t="str">
        <f>hyperlink("https://skutracker.sierrawireless.local/projects/15061", "15061")</f>
        <v>15061</v>
      </c>
      <c r="L390" s="30" t="s">
        <v>166</v>
      </c>
      <c r="M390" s="30" t="s">
        <v>7053</v>
      </c>
      <c r="N390" s="30" t="s">
        <v>8032</v>
      </c>
    </row>
    <row r="391">
      <c r="A391" s="168" t="str">
        <f>hyperlink("https://issues.sierrawireless.com/browse/OEMPRI-1983", "OEMPRI-1983")</f>
        <v>OEMPRI-1983</v>
      </c>
      <c r="B391" s="30" t="b">
        <v>1</v>
      </c>
      <c r="C391" s="30">
        <v>1102595.0</v>
      </c>
      <c r="D391" s="191">
        <v>9904663.0</v>
      </c>
      <c r="E391" s="30" t="s">
        <v>139</v>
      </c>
      <c r="F391" s="35">
        <v>42027.0</v>
      </c>
      <c r="G391" s="30" t="s">
        <v>92</v>
      </c>
      <c r="H391" s="30" t="s">
        <v>3407</v>
      </c>
      <c r="I391" s="30" t="s">
        <v>216</v>
      </c>
      <c r="J391" s="30" t="s">
        <v>216</v>
      </c>
      <c r="K391" s="168" t="str">
        <f>hyperlink("https://skutracker.sierrawireless.local/projects/1525", "1525")</f>
        <v>1525</v>
      </c>
      <c r="L391" s="168" t="str">
        <f>hyperlink("https://agile.sierrawireless.com/Agile/PLMServlet?action=OpenEmailObject&amp;classid=0&amp;objid=-1", "ECO-016254")</f>
        <v>ECO-016254</v>
      </c>
      <c r="M391" s="30" t="s">
        <v>8036</v>
      </c>
      <c r="N391" s="30" t="s">
        <v>8037</v>
      </c>
    </row>
    <row r="392">
      <c r="A392" s="168" t="str">
        <f>hyperlink("https://issues.sierrawireless.com/browse/OEMPRI-1914", "OEMPRI-1914")</f>
        <v>OEMPRI-1914</v>
      </c>
      <c r="B392" s="30" t="b">
        <v>1</v>
      </c>
      <c r="C392" s="30">
        <v>1102493.0</v>
      </c>
      <c r="D392" s="191">
        <v>9904452.0</v>
      </c>
      <c r="E392" s="30" t="s">
        <v>139</v>
      </c>
      <c r="F392" s="35">
        <v>42027.0</v>
      </c>
      <c r="G392" s="30" t="s">
        <v>92</v>
      </c>
      <c r="H392" s="30" t="s">
        <v>723</v>
      </c>
      <c r="I392" s="30" t="s">
        <v>609</v>
      </c>
      <c r="J392" s="30" t="s">
        <v>609</v>
      </c>
      <c r="K392" s="168" t="str">
        <f>hyperlink("https://skutracker.sierrawireless.local/projects/1677", "1677")</f>
        <v>1677</v>
      </c>
      <c r="L392" s="168" t="str">
        <f>hyperlink("https://agile.sierrawireless.com/Agile/PLMServlet?action=OpenEmailObject&amp;classid=0&amp;objid=-1", "ECO-016769")</f>
        <v>ECO-016769</v>
      </c>
      <c r="M392" s="30" t="s">
        <v>7420</v>
      </c>
      <c r="N392" s="30" t="s">
        <v>8040</v>
      </c>
    </row>
    <row r="393">
      <c r="A393" s="168" t="str">
        <f>hyperlink("https://issues.sierrawireless.com/browse/OEMPRI-1915", "OEMPRI-1915")</f>
        <v>OEMPRI-1915</v>
      </c>
      <c r="B393" s="30" t="b">
        <v>1</v>
      </c>
      <c r="C393" s="30">
        <v>1102599.0</v>
      </c>
      <c r="D393" s="191" t="s">
        <v>92</v>
      </c>
      <c r="E393" s="30" t="s">
        <v>139</v>
      </c>
      <c r="F393" s="35">
        <v>42025.0</v>
      </c>
      <c r="G393" s="30" t="s">
        <v>92</v>
      </c>
      <c r="H393" s="30" t="s">
        <v>1399</v>
      </c>
      <c r="I393" s="30" t="s">
        <v>1400</v>
      </c>
      <c r="J393" s="30" t="s">
        <v>1400</v>
      </c>
      <c r="K393" s="168" t="str">
        <f>hyperlink("https://skutracker.sierrawireless.local/projects/1663", "1663")</f>
        <v>1663</v>
      </c>
      <c r="L393" s="168" t="str">
        <f>hyperlink("https://agile.sierrawireless.com/Agile/PLMServlet?action=OpenEmailObject&amp;classid=0&amp;objid=-1", "TDN-005155")</f>
        <v>TDN-005155</v>
      </c>
      <c r="M393" s="30" t="s">
        <v>7631</v>
      </c>
      <c r="N393" s="30" t="s">
        <v>8042</v>
      </c>
    </row>
    <row r="394">
      <c r="A394" s="168" t="str">
        <f>hyperlink("https://issues.sierrawireless.com/browse/OEMPRI-1916", "OEMPRI-1916")</f>
        <v>OEMPRI-1916</v>
      </c>
      <c r="B394" s="30" t="b">
        <v>1</v>
      </c>
      <c r="C394" s="30">
        <v>1102653.0</v>
      </c>
      <c r="D394" s="191">
        <v>9904910.0</v>
      </c>
      <c r="E394" s="30" t="s">
        <v>139</v>
      </c>
      <c r="F394" s="35">
        <v>42025.0</v>
      </c>
      <c r="G394" s="30" t="s">
        <v>92</v>
      </c>
      <c r="H394" s="30" t="s">
        <v>3685</v>
      </c>
      <c r="I394" s="30" t="s">
        <v>216</v>
      </c>
      <c r="J394" s="30" t="s">
        <v>216</v>
      </c>
      <c r="K394" s="168" t="str">
        <f>hyperlink("https://skutracker.sierrawireless.local/projects/1679", "1679")</f>
        <v>1679</v>
      </c>
      <c r="L394" s="168" t="str">
        <f>hyperlink("https://agile.sierrawireless.com/Agile/PLMServlet?action=OpenEmailObject&amp;classid=0&amp;objid=-1", "ECO-016771")</f>
        <v>ECO-016771</v>
      </c>
      <c r="M394" s="30" t="s">
        <v>7586</v>
      </c>
      <c r="N394" s="30" t="s">
        <v>8043</v>
      </c>
    </row>
    <row r="395">
      <c r="A395" s="168" t="str">
        <f>hyperlink("https://issues.sierrawireless.com/browse/OEMPRI-1952", "OEMPRI-1952")</f>
        <v>OEMPRI-1952</v>
      </c>
      <c r="B395" s="30" t="b">
        <v>1</v>
      </c>
      <c r="C395" s="30">
        <v>1102640.0</v>
      </c>
      <c r="D395" s="191">
        <v>9904861.0</v>
      </c>
      <c r="E395" s="30" t="s">
        <v>139</v>
      </c>
      <c r="F395" s="35">
        <v>42024.0</v>
      </c>
      <c r="G395" s="30" t="s">
        <v>92</v>
      </c>
      <c r="H395" s="30" t="s">
        <v>215</v>
      </c>
      <c r="I395" s="30" t="s">
        <v>177</v>
      </c>
      <c r="J395" s="30" t="s">
        <v>177</v>
      </c>
      <c r="K395" s="168" t="str">
        <f>hyperlink("https://skutracker.sierrawireless.local/projects/1633", "1633")</f>
        <v>1633</v>
      </c>
      <c r="L395" s="168" t="str">
        <f>hyperlink("https://agile.sierrawireless.com/Agile/PLMServlet?action=OpenEmailObject&amp;classid=0&amp;objid=-1", "ECO-016688")</f>
        <v>ECO-016688</v>
      </c>
      <c r="M395" s="30" t="s">
        <v>7586</v>
      </c>
      <c r="N395" s="30" t="s">
        <v>7350</v>
      </c>
    </row>
    <row r="396">
      <c r="A396" s="168" t="str">
        <f>hyperlink("https://issues.sierrawireless.com/browse/OEMPRI-1886", "OEMPRI-1886")</f>
        <v>OEMPRI-1886</v>
      </c>
      <c r="B396" s="30" t="b">
        <v>1</v>
      </c>
      <c r="C396" s="30">
        <v>1102705.0</v>
      </c>
      <c r="D396" s="191">
        <v>9905076.0</v>
      </c>
      <c r="E396" s="30" t="s">
        <v>139</v>
      </c>
      <c r="F396" s="35">
        <v>42024.0</v>
      </c>
      <c r="G396" s="30" t="s">
        <v>92</v>
      </c>
      <c r="H396" s="30" t="s">
        <v>6300</v>
      </c>
      <c r="I396" s="30" t="s">
        <v>216</v>
      </c>
      <c r="J396" s="30" t="s">
        <v>216</v>
      </c>
      <c r="K396" s="168" t="str">
        <f>hyperlink("https://skutracker.sierrawireless.local/projects/1849", "1849")</f>
        <v>1849</v>
      </c>
      <c r="L396" s="168" t="str">
        <f>hyperlink("https://agile.sierrawireless.com/Agile/PLMServlet?action=OpenEmailObject&amp;classid=0&amp;objid=-1", "ECO-017090")</f>
        <v>ECO-017090</v>
      </c>
      <c r="M396" s="30" t="s">
        <v>8010</v>
      </c>
      <c r="N396" s="30" t="s">
        <v>8047</v>
      </c>
    </row>
    <row r="397">
      <c r="A397" s="168" t="str">
        <f>hyperlink("https://issues.sierrawireless.com/browse/OEMPRI-2116", "OEMPRI-2116")</f>
        <v>OEMPRI-2116</v>
      </c>
      <c r="B397" s="30" t="b">
        <v>1</v>
      </c>
      <c r="C397" s="30">
        <v>1102502.0</v>
      </c>
      <c r="D397" s="191">
        <v>9904443.0</v>
      </c>
      <c r="E397" s="30" t="s">
        <v>139</v>
      </c>
      <c r="F397" s="35">
        <v>42023.0</v>
      </c>
      <c r="G397" s="30" t="s">
        <v>92</v>
      </c>
      <c r="H397" s="30" t="s">
        <v>723</v>
      </c>
      <c r="I397" s="30" t="s">
        <v>177</v>
      </c>
      <c r="J397" s="30" t="s">
        <v>177</v>
      </c>
      <c r="K397" s="168" t="str">
        <f>hyperlink("https://skutracker.sierrawireless.local/projects/1101", "1101")</f>
        <v>1101</v>
      </c>
      <c r="L397" s="168" t="str">
        <f>hyperlink("https://agile.sierrawireless.com/Agile/PLMServlet?action=OpenEmailObject&amp;classid=0&amp;objid=-1", "TDN-004709")</f>
        <v>TDN-004709</v>
      </c>
      <c r="M397" s="30" t="s">
        <v>7605</v>
      </c>
      <c r="N397" s="30" t="s">
        <v>8049</v>
      </c>
    </row>
    <row r="398">
      <c r="A398" s="168" t="str">
        <f>hyperlink("https://issues.sierrawireless.com/browse/OEMPRI-1859", "OEMPRI-1859")</f>
        <v>OEMPRI-1859</v>
      </c>
      <c r="B398" s="30" t="b">
        <v>1</v>
      </c>
      <c r="C398" s="30">
        <v>1102701.0</v>
      </c>
      <c r="D398" s="191">
        <v>9905165.0</v>
      </c>
      <c r="E398" s="30" t="s">
        <v>139</v>
      </c>
      <c r="F398" s="35">
        <v>42023.0</v>
      </c>
      <c r="G398" s="30" t="s">
        <v>92</v>
      </c>
      <c r="H398" s="30" t="s">
        <v>6300</v>
      </c>
      <c r="I398" s="30" t="s">
        <v>216</v>
      </c>
      <c r="J398" s="30" t="s">
        <v>216</v>
      </c>
      <c r="K398" s="168" t="str">
        <f>hyperlink("https://skutracker.sierrawireless.local/projects/1866", "1866")</f>
        <v>1866</v>
      </c>
      <c r="L398" s="168" t="str">
        <f>hyperlink("https://agile.sierrawireless.com/Agile/PLMServlet?action=OpenEmailObject&amp;classid=0&amp;objid=-1", "ECO-017045")</f>
        <v>ECO-017045</v>
      </c>
      <c r="M398" s="30" t="s">
        <v>8010</v>
      </c>
      <c r="N398" s="30" t="s">
        <v>8051</v>
      </c>
    </row>
    <row r="399">
      <c r="A399" s="168" t="str">
        <f>hyperlink("https://issues.sierrawireless.com/browse/OEMPRI-1953", "OEMPRI-1953")</f>
        <v>OEMPRI-1953</v>
      </c>
      <c r="B399" s="30" t="b">
        <v>1</v>
      </c>
      <c r="C399" s="30">
        <v>1102553.0</v>
      </c>
      <c r="D399" s="191">
        <v>9904566.0</v>
      </c>
      <c r="E399" s="30" t="s">
        <v>139</v>
      </c>
      <c r="F399" s="35">
        <v>42022.0</v>
      </c>
      <c r="G399" s="30" t="s">
        <v>92</v>
      </c>
      <c r="H399" s="30" t="s">
        <v>215</v>
      </c>
      <c r="I399" s="30" t="s">
        <v>177</v>
      </c>
      <c r="J399" s="30" t="s">
        <v>177</v>
      </c>
      <c r="K399" s="168" t="str">
        <f>hyperlink("https://skutracker.sierrawireless.local/projects/1263", "1263")</f>
        <v>1263</v>
      </c>
      <c r="L399" s="168" t="str">
        <f>hyperlink("https://agile.sierrawireless.com/Agile/PLMServlet?action=OpenEmailObject&amp;classid=0&amp;objid=-1", "ECO-016152")</f>
        <v>ECO-016152</v>
      </c>
      <c r="M399" s="30" t="s">
        <v>7620</v>
      </c>
      <c r="N399" s="30" t="s">
        <v>7349</v>
      </c>
    </row>
    <row r="400">
      <c r="A400" s="168" t="str">
        <f>hyperlink("https://issues.sierrawireless.com/browse/OEMPRI-1954", "OEMPRI-1954")</f>
        <v>OEMPRI-1954</v>
      </c>
      <c r="B400" s="30" t="b">
        <v>1</v>
      </c>
      <c r="C400" s="30">
        <v>1102586.0</v>
      </c>
      <c r="D400" s="191">
        <v>9904631.0</v>
      </c>
      <c r="E400" s="30" t="s">
        <v>139</v>
      </c>
      <c r="F400" s="35">
        <v>42022.0</v>
      </c>
      <c r="G400" s="30" t="s">
        <v>92</v>
      </c>
      <c r="H400" s="30" t="s">
        <v>215</v>
      </c>
      <c r="I400" s="30" t="s">
        <v>177</v>
      </c>
      <c r="J400" s="30" t="s">
        <v>177</v>
      </c>
      <c r="K400" s="168" t="str">
        <f>hyperlink("https://skutracker.sierrawireless.local/projects/1634", "1634")</f>
        <v>1634</v>
      </c>
      <c r="L400" s="168" t="str">
        <f>hyperlink("https://agile.sierrawireless.com/Agile/PLMServlet?action=OpenEmailObject&amp;classid=0&amp;objid=-1", "ECO-016676")</f>
        <v>ECO-016676</v>
      </c>
      <c r="M400" s="30" t="s">
        <v>7662</v>
      </c>
      <c r="N400" s="30" t="s">
        <v>7350</v>
      </c>
    </row>
    <row r="401">
      <c r="A401" s="168" t="str">
        <f>hyperlink("https://issues.sierrawireless.com/browse/OEMPRI-1917", "OEMPRI-1917")</f>
        <v>OEMPRI-1917</v>
      </c>
      <c r="B401" s="30" t="b">
        <v>1</v>
      </c>
      <c r="C401" s="30">
        <v>1102677.0</v>
      </c>
      <c r="D401" s="191">
        <v>9904965.0</v>
      </c>
      <c r="E401" s="30" t="s">
        <v>139</v>
      </c>
      <c r="F401" s="35">
        <v>42022.0</v>
      </c>
      <c r="G401" s="30" t="s">
        <v>92</v>
      </c>
      <c r="H401" s="30" t="s">
        <v>2707</v>
      </c>
      <c r="I401" s="30" t="s">
        <v>216</v>
      </c>
      <c r="J401" s="30" t="s">
        <v>216</v>
      </c>
      <c r="K401" s="168" t="str">
        <f>hyperlink("https://skutracker.sierrawireless.local/projects/1755", "1755")</f>
        <v>1755</v>
      </c>
      <c r="L401" s="168" t="str">
        <f>hyperlink("https://agile.sierrawireless.com/Agile/PLMServlet?action=OpenEmailObject&amp;classid=0&amp;objid=-1", "ECO-016894")</f>
        <v>ECO-016894</v>
      </c>
      <c r="M401" s="30" t="s">
        <v>7595</v>
      </c>
      <c r="N401" s="30" t="s">
        <v>7694</v>
      </c>
    </row>
    <row r="402">
      <c r="A402" s="168" t="str">
        <f>hyperlink("https://issues.sierrawireless.com/browse/OEMPRI-1919", "OEMPRI-1919")</f>
        <v>OEMPRI-1919</v>
      </c>
      <c r="B402" s="30" t="b">
        <v>1</v>
      </c>
      <c r="C402" s="30">
        <v>1102624.0</v>
      </c>
      <c r="D402" s="191">
        <v>9904975.0</v>
      </c>
      <c r="E402" s="30" t="s">
        <v>139</v>
      </c>
      <c r="F402" s="35">
        <v>42022.0</v>
      </c>
      <c r="G402" s="30" t="s">
        <v>92</v>
      </c>
      <c r="H402" s="30" t="s">
        <v>2707</v>
      </c>
      <c r="I402" s="30" t="s">
        <v>216</v>
      </c>
      <c r="J402" s="30" t="s">
        <v>216</v>
      </c>
      <c r="K402" s="168" t="str">
        <f>hyperlink("https://skutracker.sierrawireless.local/projects/1757", "1757")</f>
        <v>1757</v>
      </c>
      <c r="L402" s="168" t="str">
        <f>hyperlink("https://agile.sierrawireless.com/Agile/PLMServlet?action=OpenEmailObject&amp;classid=0&amp;objid=-1", "ECO-016902")</f>
        <v>ECO-016902</v>
      </c>
      <c r="M402" s="30" t="s">
        <v>7327</v>
      </c>
      <c r="N402" s="30" t="s">
        <v>7696</v>
      </c>
    </row>
    <row r="403">
      <c r="A403" s="168" t="str">
        <f>hyperlink("https://issues.sierrawireless.com/browse/OEMPRI-1860", "OEMPRI-1860")</f>
        <v>OEMPRI-1860</v>
      </c>
      <c r="B403" s="30" t="b">
        <v>1</v>
      </c>
      <c r="C403" s="30">
        <v>1102245.0</v>
      </c>
      <c r="D403" s="191">
        <v>9903842.0</v>
      </c>
      <c r="E403" s="30" t="s">
        <v>139</v>
      </c>
      <c r="F403" s="35">
        <v>42022.0</v>
      </c>
      <c r="G403" s="30" t="s">
        <v>92</v>
      </c>
      <c r="H403" s="30" t="s">
        <v>6300</v>
      </c>
      <c r="I403" s="30" t="s">
        <v>216</v>
      </c>
      <c r="J403" s="30" t="s">
        <v>216</v>
      </c>
      <c r="K403" s="168" t="str">
        <f>hyperlink("https://skutracker.sierrawireless.local/projects/1928", "1928")</f>
        <v>1928</v>
      </c>
      <c r="L403" s="168" t="str">
        <f>hyperlink("https://agile.sierrawireless.com/Agile/PLMServlet?action=OpenEmailObject&amp;classid=6000&amp;objid=8041283", "ECO-020506")</f>
        <v>ECO-020506</v>
      </c>
      <c r="M403" s="30" t="s">
        <v>7932</v>
      </c>
      <c r="N403" s="30" t="s">
        <v>8076</v>
      </c>
    </row>
    <row r="404">
      <c r="A404" s="168" t="str">
        <f>hyperlink("https://issues.sierrawireless.com/browse/OEMPRI-1844", "OEMPRI-1844")</f>
        <v>OEMPRI-1844</v>
      </c>
      <c r="B404" s="30" t="b">
        <v>1</v>
      </c>
      <c r="C404" s="30">
        <v>1102758.0</v>
      </c>
      <c r="D404" s="191" t="s">
        <v>7134</v>
      </c>
      <c r="E404" s="30" t="s">
        <v>139</v>
      </c>
      <c r="F404" s="35">
        <v>42022.0</v>
      </c>
      <c r="G404" s="30" t="s">
        <v>92</v>
      </c>
      <c r="H404" s="30" t="s">
        <v>2596</v>
      </c>
      <c r="I404" s="30" t="s">
        <v>244</v>
      </c>
      <c r="J404" s="30" t="s">
        <v>244</v>
      </c>
      <c r="K404" s="168" t="str">
        <f>hyperlink("https://skutracker.sierrawireless.local/projects/2101", "2101")</f>
        <v>2101</v>
      </c>
      <c r="L404" s="168" t="str">
        <f>hyperlink("https://agile.sierrawireless.com/Agile/PLMServlet?action=OpenEmailObject&amp;classid=6000&amp;objid=7892668", "ECO-017372")</f>
        <v>ECO-017372</v>
      </c>
      <c r="M404" s="30" t="s">
        <v>7306</v>
      </c>
      <c r="N404" s="30" t="s">
        <v>8087</v>
      </c>
    </row>
    <row r="405">
      <c r="A405" s="168" t="str">
        <f>hyperlink("https://issues.sierrawireless.com/browse/OEMPRI-1843", "OEMPRI-1843")</f>
        <v>OEMPRI-1843</v>
      </c>
      <c r="B405" s="30" t="b">
        <v>1</v>
      </c>
      <c r="C405" s="30">
        <v>1102759.0</v>
      </c>
      <c r="D405" s="191" t="s">
        <v>7656</v>
      </c>
      <c r="E405" s="30" t="s">
        <v>139</v>
      </c>
      <c r="F405" s="35">
        <v>42022.0</v>
      </c>
      <c r="G405" s="30" t="s">
        <v>92</v>
      </c>
      <c r="H405" s="30" t="s">
        <v>2596</v>
      </c>
      <c r="I405" s="30" t="s">
        <v>244</v>
      </c>
      <c r="J405" s="30" t="s">
        <v>244</v>
      </c>
      <c r="K405" s="168" t="str">
        <f>hyperlink("https://skutracker.sierrawireless.local/projects/2102", "2102")</f>
        <v>2102</v>
      </c>
      <c r="L405" s="168" t="str">
        <f>hyperlink("https://agile.sierrawireless.com/Agile/PLMServlet?action=OpenEmailObject&amp;classid=6000&amp;objid=7917783", "ECO-017373")</f>
        <v>ECO-017373</v>
      </c>
      <c r="M405" s="30" t="s">
        <v>7880</v>
      </c>
      <c r="N405" s="30" t="s">
        <v>8087</v>
      </c>
    </row>
    <row r="406">
      <c r="A406" s="168" t="str">
        <f>hyperlink("https://issues.sierrawireless.com/browse/OEMPRI-1955", "OEMPRI-1955")</f>
        <v>OEMPRI-1955</v>
      </c>
      <c r="B406" s="30" t="b">
        <v>1</v>
      </c>
      <c r="C406" s="30">
        <v>1102202.0</v>
      </c>
      <c r="D406" s="191" t="s">
        <v>7642</v>
      </c>
      <c r="E406" s="30" t="s">
        <v>139</v>
      </c>
      <c r="F406" s="35">
        <v>42021.0</v>
      </c>
      <c r="G406" s="30" t="s">
        <v>92</v>
      </c>
      <c r="H406" s="30" t="s">
        <v>215</v>
      </c>
      <c r="I406" s="30" t="s">
        <v>177</v>
      </c>
      <c r="J406" s="30" t="s">
        <v>177</v>
      </c>
      <c r="K406" s="168" t="str">
        <f>hyperlink("https://skutracker.sierrawireless.local/projects/1612", "1612")</f>
        <v>1612</v>
      </c>
      <c r="L406" s="168" t="str">
        <f>hyperlink("https://agile.sierrawireless.com/Agile/PLMServlet?action=OpenEmailObject&amp;classid=0&amp;objid=-1", "ECO-016647")</f>
        <v>ECO-016647</v>
      </c>
      <c r="M406" s="30" t="s">
        <v>7644</v>
      </c>
      <c r="N406" s="30" t="s">
        <v>7311</v>
      </c>
    </row>
    <row r="407">
      <c r="A407" s="168" t="str">
        <f>hyperlink("https://issues.sierrawireless.com/browse/OEMPRI-1864", "OEMPRI-1864")</f>
        <v>OEMPRI-1864</v>
      </c>
      <c r="B407" s="30" t="b">
        <v>1</v>
      </c>
      <c r="C407" s="30">
        <v>1102502.0</v>
      </c>
      <c r="D407" s="191">
        <v>9904443.0</v>
      </c>
      <c r="E407" s="30" t="s">
        <v>139</v>
      </c>
      <c r="F407" s="35">
        <v>42021.0</v>
      </c>
      <c r="G407" s="30" t="s">
        <v>92</v>
      </c>
      <c r="H407" s="30" t="s">
        <v>723</v>
      </c>
      <c r="I407" s="30" t="s">
        <v>609</v>
      </c>
      <c r="J407" s="30" t="s">
        <v>609</v>
      </c>
      <c r="K407" s="168" t="str">
        <f>hyperlink("https://skutracker.sierrawireless.local/projects/2034", "2034")</f>
        <v>2034</v>
      </c>
      <c r="L407" s="168" t="str">
        <f>hyperlink("https://agile.sierrawireless.com/Agile/PLMServlet?action=OpenEmailObject&amp;classid=6000&amp;objid=8051073", "ECO-020533")</f>
        <v>ECO-020533</v>
      </c>
      <c r="M407" s="30" t="s">
        <v>7658</v>
      </c>
      <c r="N407" s="30" t="s">
        <v>8116</v>
      </c>
    </row>
    <row r="408">
      <c r="A408" s="168" t="str">
        <f>hyperlink("https://issues.sierrawireless.com/browse/OEMPRI-1866", "OEMPRI-1866")</f>
        <v>OEMPRI-1866</v>
      </c>
      <c r="B408" s="30" t="b">
        <v>1</v>
      </c>
      <c r="C408" s="30">
        <v>1102441.0</v>
      </c>
      <c r="D408" s="191">
        <v>9904283.0</v>
      </c>
      <c r="E408" s="30" t="s">
        <v>139</v>
      </c>
      <c r="F408" s="35">
        <v>42021.0</v>
      </c>
      <c r="G408" s="30" t="s">
        <v>92</v>
      </c>
      <c r="H408" s="30" t="s">
        <v>723</v>
      </c>
      <c r="I408" s="30" t="s">
        <v>609</v>
      </c>
      <c r="J408" s="30" t="s">
        <v>609</v>
      </c>
      <c r="K408" s="168" t="str">
        <f>hyperlink("https://skutracker.sierrawireless.local/projects/2035", "2035")</f>
        <v>2035</v>
      </c>
      <c r="L408" s="168" t="str">
        <f>hyperlink("https://agile.sierrawireless.com/Agile/PLMServlet?action=OpenEmailObject&amp;classid=6000&amp;objid=8053228", "ECO-020538")</f>
        <v>ECO-020538</v>
      </c>
      <c r="M408" s="30" t="s">
        <v>7306</v>
      </c>
      <c r="N408" s="30" t="s">
        <v>8012</v>
      </c>
    </row>
    <row r="409">
      <c r="A409" s="168" t="str">
        <f>hyperlink("https://issues.sierrawireless.com/browse/OEMPRI-1863", "OEMPRI-1863")</f>
        <v>OEMPRI-1863</v>
      </c>
      <c r="B409" s="30" t="b">
        <v>1</v>
      </c>
      <c r="C409" s="30">
        <v>1102503.0</v>
      </c>
      <c r="D409" s="191">
        <v>9904462.0</v>
      </c>
      <c r="E409" s="30" t="s">
        <v>139</v>
      </c>
      <c r="F409" s="35">
        <v>42021.0</v>
      </c>
      <c r="G409" s="30" t="s">
        <v>92</v>
      </c>
      <c r="H409" s="30" t="s">
        <v>723</v>
      </c>
      <c r="I409" s="30" t="s">
        <v>609</v>
      </c>
      <c r="J409" s="30" t="s">
        <v>609</v>
      </c>
      <c r="K409" s="168" t="str">
        <f>hyperlink("https://skutracker.sierrawireless.local/projects/2036", "2036")</f>
        <v>2036</v>
      </c>
      <c r="L409" s="168" t="str">
        <f>hyperlink("https://agile.sierrawireless.com/Agile/PLMServlet?action=OpenEmailObject&amp;classid=0&amp;objid=-1", "ECO-017429")</f>
        <v>ECO-017429</v>
      </c>
      <c r="M409" s="30" t="s">
        <v>7306</v>
      </c>
      <c r="N409" s="30" t="s">
        <v>8012</v>
      </c>
    </row>
    <row r="410">
      <c r="A410" s="168" t="str">
        <f>hyperlink("https://issues.sierrawireless.com/browse/OEMPRI-1865", "OEMPRI-1865")</f>
        <v>OEMPRI-1865</v>
      </c>
      <c r="B410" s="30" t="b">
        <v>1</v>
      </c>
      <c r="C410" s="30">
        <v>1102493.0</v>
      </c>
      <c r="D410" s="191">
        <v>9904452.0</v>
      </c>
      <c r="E410" s="30" t="s">
        <v>139</v>
      </c>
      <c r="F410" s="35">
        <v>42021.0</v>
      </c>
      <c r="G410" s="30" t="s">
        <v>92</v>
      </c>
      <c r="H410" s="30" t="s">
        <v>723</v>
      </c>
      <c r="I410" s="30" t="s">
        <v>609</v>
      </c>
      <c r="J410" s="30" t="s">
        <v>609</v>
      </c>
      <c r="K410" s="168" t="str">
        <f>hyperlink("https://skutracker.sierrawireless.local/projects/2166", "2166")</f>
        <v>2166</v>
      </c>
      <c r="L410" s="168" t="str">
        <f t="shared" ref="L410:L411" si="33">hyperlink("https://agile.sierrawireless.com/Agile/PLMServlet?action=OpenEmailObject&amp;classid=0&amp;objid=-1", "TDN-005454")</f>
        <v>TDN-005454</v>
      </c>
      <c r="M410" s="30" t="s">
        <v>7420</v>
      </c>
      <c r="N410" s="30" t="s">
        <v>8116</v>
      </c>
    </row>
    <row r="411">
      <c r="A411" s="168" t="str">
        <f>hyperlink("https://issues.sierrawireless.com/browse/OEMPRI-1862", "OEMPRI-1862")</f>
        <v>OEMPRI-1862</v>
      </c>
      <c r="B411" s="30" t="b">
        <v>1</v>
      </c>
      <c r="C411" s="30">
        <v>1102504.0</v>
      </c>
      <c r="D411" s="191">
        <v>9904463.0</v>
      </c>
      <c r="E411" s="30" t="s">
        <v>139</v>
      </c>
      <c r="F411" s="35">
        <v>42021.0</v>
      </c>
      <c r="G411" s="30" t="s">
        <v>92</v>
      </c>
      <c r="H411" s="30" t="s">
        <v>723</v>
      </c>
      <c r="I411" s="30" t="s">
        <v>609</v>
      </c>
      <c r="J411" s="30" t="s">
        <v>609</v>
      </c>
      <c r="K411" s="168" t="str">
        <f>hyperlink("https://skutracker.sierrawireless.local/projects/2167", "2167")</f>
        <v>2167</v>
      </c>
      <c r="L411" s="168" t="str">
        <f t="shared" si="33"/>
        <v>TDN-005454</v>
      </c>
      <c r="M411" s="30" t="s">
        <v>7880</v>
      </c>
      <c r="N411" s="30" t="s">
        <v>8012</v>
      </c>
    </row>
    <row r="412">
      <c r="A412" s="168" t="str">
        <f>hyperlink("https://issues.sierrawireless.com/browse/OEMPRI-2118", "OEMPRI-2118")</f>
        <v>OEMPRI-2118</v>
      </c>
      <c r="B412" s="30" t="b">
        <v>1</v>
      </c>
      <c r="C412" s="30">
        <v>1102472.0</v>
      </c>
      <c r="D412" s="191" t="s">
        <v>7134</v>
      </c>
      <c r="E412" s="30" t="s">
        <v>139</v>
      </c>
      <c r="F412" s="35">
        <v>42020.0</v>
      </c>
      <c r="G412" s="30" t="s">
        <v>92</v>
      </c>
      <c r="H412" s="30" t="s">
        <v>2596</v>
      </c>
      <c r="I412" s="30" t="s">
        <v>609</v>
      </c>
      <c r="J412" s="30" t="s">
        <v>609</v>
      </c>
      <c r="K412" s="168" t="str">
        <f>hyperlink("https://skutracker.sierrawireless.local/projects/1025", "1025")</f>
        <v>1025</v>
      </c>
      <c r="L412" s="168" t="str">
        <f>hyperlink("https://agile.sierrawireless.com/Agile/PLMServlet?action=OpenEmailObject&amp;classid=0&amp;objid=-1", "ECO-015504")</f>
        <v>ECO-015504</v>
      </c>
      <c r="M412" s="30" t="s">
        <v>7654</v>
      </c>
      <c r="N412" s="30" t="s">
        <v>8135</v>
      </c>
    </row>
    <row r="413">
      <c r="A413" s="168" t="str">
        <f>hyperlink("https://issues.sierrawireless.com/browse/OEMPRI-1867", "OEMPRI-1867")</f>
        <v>OEMPRI-1867</v>
      </c>
      <c r="B413" s="30" t="b">
        <v>1</v>
      </c>
      <c r="C413" s="30">
        <v>1102450.0</v>
      </c>
      <c r="D413" s="191">
        <v>9904339.0</v>
      </c>
      <c r="E413" s="30" t="s">
        <v>139</v>
      </c>
      <c r="F413" s="35">
        <v>42020.0</v>
      </c>
      <c r="G413" s="30" t="s">
        <v>92</v>
      </c>
      <c r="H413" s="30" t="s">
        <v>6300</v>
      </c>
      <c r="I413" s="30" t="s">
        <v>216</v>
      </c>
      <c r="J413" s="30" t="s">
        <v>216</v>
      </c>
      <c r="K413" s="168" t="str">
        <f>hyperlink("https://skutracker.sierrawireless.local/projects/1876", "1876")</f>
        <v>1876</v>
      </c>
      <c r="L413" s="168" t="str">
        <f>hyperlink("https://agile.sierrawireless.com/Agile/PLMServlet?action=OpenEmailObject&amp;classid=0&amp;objid=-1", "ECO-017171")</f>
        <v>ECO-017171</v>
      </c>
      <c r="M413" s="30" t="s">
        <v>8142</v>
      </c>
      <c r="N413" s="30" t="s">
        <v>8143</v>
      </c>
    </row>
    <row r="414">
      <c r="A414" s="168" t="str">
        <f>hyperlink("https://issues.sierrawireless.com/browse/OEMPRI-2085", "OEMPRI-2085")</f>
        <v>OEMPRI-2085</v>
      </c>
      <c r="B414" s="30" t="b">
        <v>1</v>
      </c>
      <c r="C414" s="30">
        <v>1102346.0</v>
      </c>
      <c r="D414" s="191">
        <v>9903917.0</v>
      </c>
      <c r="E414" s="30" t="s">
        <v>139</v>
      </c>
      <c r="F414" s="35">
        <v>42019.0</v>
      </c>
      <c r="G414" s="30" t="s">
        <v>92</v>
      </c>
      <c r="H414" s="30" t="s">
        <v>6300</v>
      </c>
      <c r="I414" s="30" t="s">
        <v>216</v>
      </c>
      <c r="J414" s="30" t="s">
        <v>216</v>
      </c>
      <c r="K414" s="168" t="str">
        <f>hyperlink("https://skutracker.sierrawireless.local/projects/1214", "1214")</f>
        <v>1214</v>
      </c>
      <c r="L414" s="168" t="str">
        <f>hyperlink("https://agile.sierrawireless.com/Agile/PLMServlet?action=OpenEmailObject&amp;classid=0&amp;objid=-1", "ECO-015916")</f>
        <v>ECO-015916</v>
      </c>
      <c r="M414" s="30" t="s">
        <v>7687</v>
      </c>
      <c r="N414" s="30" t="s">
        <v>8144</v>
      </c>
    </row>
    <row r="415">
      <c r="A415" s="168" t="str">
        <f>hyperlink("https://issues.sierrawireless.com/browse/OEMPRI-1921", "OEMPRI-1921")</f>
        <v>OEMPRI-1921</v>
      </c>
      <c r="B415" s="30" t="b">
        <v>1</v>
      </c>
      <c r="C415" s="30">
        <v>1102502.0</v>
      </c>
      <c r="D415" s="191">
        <v>9904443.0</v>
      </c>
      <c r="E415" s="30" t="s">
        <v>139</v>
      </c>
      <c r="F415" s="35">
        <v>42018.0</v>
      </c>
      <c r="G415" s="30" t="s">
        <v>92</v>
      </c>
      <c r="H415" s="30" t="s">
        <v>723</v>
      </c>
      <c r="I415" s="30" t="s">
        <v>609</v>
      </c>
      <c r="J415" s="30" t="s">
        <v>609</v>
      </c>
      <c r="K415" s="168" t="str">
        <f>hyperlink("https://skutracker.sierrawireless.local/projects/1101", "1101")</f>
        <v>1101</v>
      </c>
      <c r="L415" s="168" t="str">
        <f>hyperlink("https://agile.sierrawireless.com/Agile/PLMServlet?action=OpenEmailObject&amp;classid=0&amp;objid=-1", "TDN-004709")</f>
        <v>TDN-004709</v>
      </c>
      <c r="M415" s="30" t="s">
        <v>7658</v>
      </c>
      <c r="N415" s="30" t="s">
        <v>8145</v>
      </c>
    </row>
    <row r="416">
      <c r="A416" s="168" t="str">
        <f>hyperlink("https://issues.sierrawireless.com/browse/OEMPRI-2089", "OEMPRI-2089")</f>
        <v>OEMPRI-2089</v>
      </c>
      <c r="B416" s="30" t="b">
        <v>1</v>
      </c>
      <c r="C416" s="30">
        <v>1102494.0</v>
      </c>
      <c r="D416" s="191">
        <v>9904405.0</v>
      </c>
      <c r="E416" s="30" t="s">
        <v>139</v>
      </c>
      <c r="F416" s="35">
        <v>42017.0</v>
      </c>
      <c r="G416" s="30" t="s">
        <v>92</v>
      </c>
      <c r="H416" s="30" t="s">
        <v>6481</v>
      </c>
      <c r="I416" s="30" t="s">
        <v>216</v>
      </c>
      <c r="J416" s="30" t="s">
        <v>216</v>
      </c>
      <c r="K416" s="168" t="str">
        <f>hyperlink("https://skutracker.sierrawireless.local/projects/1073", "1073")</f>
        <v>1073</v>
      </c>
      <c r="L416" s="168" t="str">
        <f>hyperlink("https://agile.sierrawireless.com/Agile/PLMServlet?action=OpenEmailObject&amp;classid=0&amp;objid=-1", "ECO-015582")</f>
        <v>ECO-015582</v>
      </c>
      <c r="M416" s="30" t="s">
        <v>8146</v>
      </c>
      <c r="N416" s="30" t="s">
        <v>8018</v>
      </c>
    </row>
    <row r="417">
      <c r="A417" s="168" t="str">
        <f>hyperlink("https://issues.sierrawireless.com/browse/OEMPRI-2091", "OEMPRI-2091")</f>
        <v>OEMPRI-2091</v>
      </c>
      <c r="B417" s="30" t="b">
        <v>1</v>
      </c>
      <c r="C417" s="30">
        <v>1101770.0</v>
      </c>
      <c r="D417" s="191">
        <v>9902246.0</v>
      </c>
      <c r="E417" s="30" t="s">
        <v>139</v>
      </c>
      <c r="F417" s="35">
        <v>42017.0</v>
      </c>
      <c r="G417" s="30" t="s">
        <v>92</v>
      </c>
      <c r="H417" s="30" t="s">
        <v>3407</v>
      </c>
      <c r="I417" s="30" t="s">
        <v>216</v>
      </c>
      <c r="J417" s="30" t="s">
        <v>216</v>
      </c>
      <c r="K417" s="168" t="str">
        <f>hyperlink("https://skutracker.sierrawireless.local/projects/1086", "1086")</f>
        <v>1086</v>
      </c>
      <c r="L417" s="168" t="str">
        <f>hyperlink("https://agile.sierrawireless.com/Agile/PLMServlet?action=OpenEmailObject&amp;classid=0&amp;objid=-1", "ECO-015636")</f>
        <v>ECO-015636</v>
      </c>
      <c r="M417" s="30" t="s">
        <v>7167</v>
      </c>
      <c r="N417" s="30" t="s">
        <v>7994</v>
      </c>
    </row>
    <row r="418">
      <c r="A418" s="168" t="str">
        <f>hyperlink("https://issues.sierrawireless.com/browse/OEMPRI-2090", "OEMPRI-2090")</f>
        <v>OEMPRI-2090</v>
      </c>
      <c r="B418" s="30" t="b">
        <v>1</v>
      </c>
      <c r="C418" s="30">
        <v>9100094.0</v>
      </c>
      <c r="D418" s="191">
        <v>9904444.0</v>
      </c>
      <c r="E418" s="30" t="s">
        <v>139</v>
      </c>
      <c r="F418" s="35">
        <v>42017.0</v>
      </c>
      <c r="G418" s="30" t="s">
        <v>92</v>
      </c>
      <c r="H418" s="30" t="s">
        <v>6481</v>
      </c>
      <c r="I418" s="30" t="s">
        <v>216</v>
      </c>
      <c r="J418" s="30" t="s">
        <v>216</v>
      </c>
      <c r="K418" s="168" t="str">
        <f>hyperlink("https://skutracker.sierrawireless.local/projects/1117", "1117")</f>
        <v>1117</v>
      </c>
      <c r="L418" s="168" t="str">
        <f>hyperlink("https://agile.sierrawireless.com/Agile/PLMServlet?action=OpenEmailObject&amp;classid=0&amp;objid=-1", "ECO-015710")</f>
        <v>ECO-015710</v>
      </c>
      <c r="M418" s="30" t="s">
        <v>8147</v>
      </c>
      <c r="N418" s="30" t="s">
        <v>8018</v>
      </c>
    </row>
    <row r="419">
      <c r="A419" s="168" t="str">
        <f>hyperlink("https://issues.sierrawireless.com/browse/OEMPRI-2088", "OEMPRI-2088")</f>
        <v>OEMPRI-2088</v>
      </c>
      <c r="B419" s="30" t="b">
        <v>1</v>
      </c>
      <c r="C419" s="30">
        <v>1102523.0</v>
      </c>
      <c r="D419" s="191" t="s">
        <v>7697</v>
      </c>
      <c r="E419" s="30" t="s">
        <v>139</v>
      </c>
      <c r="F419" s="35">
        <v>42017.0</v>
      </c>
      <c r="G419" s="30" t="s">
        <v>92</v>
      </c>
      <c r="H419" s="30" t="s">
        <v>2707</v>
      </c>
      <c r="I419" s="30" t="s">
        <v>216</v>
      </c>
      <c r="J419" s="30" t="s">
        <v>216</v>
      </c>
      <c r="K419" s="168" t="str">
        <f>hyperlink("https://skutracker.sierrawireless.local/projects/1165", "1165")</f>
        <v>1165</v>
      </c>
      <c r="L419" s="168" t="str">
        <f>hyperlink("https://agile.sierrawireless.com/Agile/PLMServlet?action=OpenEmailObject&amp;classid=0&amp;objid=-1", "ECO-015794")</f>
        <v>ECO-015794</v>
      </c>
      <c r="M419" s="30" t="s">
        <v>7327</v>
      </c>
      <c r="N419" s="30" t="s">
        <v>7698</v>
      </c>
    </row>
    <row r="420">
      <c r="A420" s="168" t="str">
        <f>hyperlink("https://issues.sierrawireless.com/browse/OEMPRI-2059", "OEMPRI-2059")</f>
        <v>OEMPRI-2059</v>
      </c>
      <c r="B420" s="30" t="b">
        <v>1</v>
      </c>
      <c r="C420" s="30">
        <v>1102531.0</v>
      </c>
      <c r="D420" s="191" t="s">
        <v>7656</v>
      </c>
      <c r="E420" s="30" t="s">
        <v>139</v>
      </c>
      <c r="F420" s="35">
        <v>42017.0</v>
      </c>
      <c r="G420" s="30" t="s">
        <v>92</v>
      </c>
      <c r="H420" s="30" t="s">
        <v>6300</v>
      </c>
      <c r="I420" s="30" t="s">
        <v>216</v>
      </c>
      <c r="J420" s="30" t="s">
        <v>216</v>
      </c>
      <c r="K420" s="168" t="str">
        <f>hyperlink("https://skutracker.sierrawireless.local/projects/1201", "1201")</f>
        <v>1201</v>
      </c>
      <c r="L420" s="168" t="str">
        <f>hyperlink("https://agile.sierrawireless.com/Agile/PLMServlet?action=OpenEmailObject&amp;classid=0&amp;objid=-1", "ECO-015850")</f>
        <v>ECO-015850</v>
      </c>
      <c r="M420" s="30" t="s">
        <v>7723</v>
      </c>
      <c r="N420" s="30" t="s">
        <v>8148</v>
      </c>
    </row>
    <row r="421">
      <c r="A421" s="168" t="str">
        <f>hyperlink("https://issues.sierrawireless.com/browse/OEMPRI-2058", "OEMPRI-2058")</f>
        <v>OEMPRI-2058</v>
      </c>
      <c r="B421" s="30" t="b">
        <v>1</v>
      </c>
      <c r="C421" s="30">
        <v>1102550.0</v>
      </c>
      <c r="D421" s="191">
        <v>9904599.0</v>
      </c>
      <c r="E421" s="30" t="s">
        <v>139</v>
      </c>
      <c r="F421" s="35">
        <v>42017.0</v>
      </c>
      <c r="G421" s="30" t="s">
        <v>92</v>
      </c>
      <c r="H421" s="30" t="s">
        <v>6481</v>
      </c>
      <c r="I421" s="30" t="s">
        <v>216</v>
      </c>
      <c r="J421" s="30" t="s">
        <v>216</v>
      </c>
      <c r="K421" s="168" t="str">
        <f>hyperlink("https://skutracker.sierrawireless.local/projects/1279", "1279")</f>
        <v>1279</v>
      </c>
      <c r="L421" s="168" t="str">
        <f>hyperlink("https://agile.sierrawireless.com/Agile/PLMServlet?action=OpenEmailObject&amp;classid=0&amp;objid=-1", "ECO-016049")</f>
        <v>ECO-016049</v>
      </c>
      <c r="M421" s="30" t="s">
        <v>7053</v>
      </c>
      <c r="N421" s="30" t="s">
        <v>8018</v>
      </c>
    </row>
    <row r="422">
      <c r="A422" s="168" t="str">
        <f>hyperlink("https://issues.sierrawireless.com/browse/OEMPRI-1956", "OEMPRI-1956")</f>
        <v>OEMPRI-1956</v>
      </c>
      <c r="B422" s="30" t="b">
        <v>1</v>
      </c>
      <c r="C422" s="30">
        <v>1102593.0</v>
      </c>
      <c r="D422" s="191">
        <v>9904642.0</v>
      </c>
      <c r="E422" s="30" t="s">
        <v>139</v>
      </c>
      <c r="F422" s="35">
        <v>42017.0</v>
      </c>
      <c r="G422" s="30" t="s">
        <v>92</v>
      </c>
      <c r="H422" s="30" t="s">
        <v>147</v>
      </c>
      <c r="I422" s="30" t="s">
        <v>283</v>
      </c>
      <c r="J422" s="30" t="s">
        <v>283</v>
      </c>
      <c r="K422" s="168" t="str">
        <f>hyperlink("https://skutracker.sierrawireless.local/projects/1385", "1385")</f>
        <v>1385</v>
      </c>
      <c r="L422" s="30" t="s">
        <v>166</v>
      </c>
      <c r="M422" s="30" t="s">
        <v>7053</v>
      </c>
      <c r="N422" s="30" t="s">
        <v>7491</v>
      </c>
    </row>
    <row r="423">
      <c r="A423" s="168" t="str">
        <f>hyperlink("https://issues.sierrawireless.com/browse/OEMPRI-2064", "OEMPRI-2064")</f>
        <v>OEMPRI-2064</v>
      </c>
      <c r="B423" s="30" t="b">
        <v>1</v>
      </c>
      <c r="C423" s="30">
        <v>1102158.0</v>
      </c>
      <c r="D423" s="191">
        <v>9903250.0</v>
      </c>
      <c r="E423" s="30" t="s">
        <v>139</v>
      </c>
      <c r="F423" s="35">
        <v>42016.0</v>
      </c>
      <c r="G423" s="30" t="s">
        <v>92</v>
      </c>
      <c r="H423" s="30" t="s">
        <v>6681</v>
      </c>
      <c r="I423" s="30" t="s">
        <v>1400</v>
      </c>
      <c r="J423" s="30" t="s">
        <v>1400</v>
      </c>
      <c r="K423" s="168" t="str">
        <f>hyperlink("https://skutracker.sierrawireless.local/projects/1230", "1230")</f>
        <v>1230</v>
      </c>
      <c r="L423" s="30" t="s">
        <v>166</v>
      </c>
      <c r="M423" s="30" t="s">
        <v>7053</v>
      </c>
      <c r="N423" s="30" t="s">
        <v>8149</v>
      </c>
    </row>
    <row r="424">
      <c r="A424" s="168" t="str">
        <f>hyperlink("https://issues.sierrawireless.com/browse/OEMPRI-2017", "OEMPRI-2017")</f>
        <v>OEMPRI-2017</v>
      </c>
      <c r="B424" s="30" t="b">
        <v>1</v>
      </c>
      <c r="C424" s="30">
        <v>1102592.0</v>
      </c>
      <c r="D424" s="191">
        <v>9904648.0</v>
      </c>
      <c r="E424" s="30" t="s">
        <v>139</v>
      </c>
      <c r="F424" s="35">
        <v>42016.0</v>
      </c>
      <c r="G424" s="30" t="s">
        <v>92</v>
      </c>
      <c r="H424" s="30" t="s">
        <v>2707</v>
      </c>
      <c r="I424" s="30" t="s">
        <v>216</v>
      </c>
      <c r="J424" s="30" t="s">
        <v>216</v>
      </c>
      <c r="K424" s="168" t="str">
        <f>hyperlink("https://skutracker.sierrawireless.local/projects/1383", "1383")</f>
        <v>1383</v>
      </c>
      <c r="L424" s="168" t="str">
        <f>hyperlink("https://agile.sierrawireless.com/Agile/PLMServlet?action=OpenEmailObject&amp;classid=0&amp;objid=-1", "ECO-016206")</f>
        <v>ECO-016206</v>
      </c>
      <c r="M424" s="30" t="s">
        <v>7327</v>
      </c>
      <c r="N424" s="30" t="s">
        <v>7708</v>
      </c>
    </row>
    <row r="425">
      <c r="A425" s="168" t="str">
        <f>hyperlink("https://issues.sierrawireless.com/browse/OEMPRI-1959", "OEMPRI-1959")</f>
        <v>OEMPRI-1959</v>
      </c>
      <c r="B425" s="30" t="b">
        <v>1</v>
      </c>
      <c r="C425" s="30">
        <v>1102633.0</v>
      </c>
      <c r="D425" s="191">
        <v>9904850.0</v>
      </c>
      <c r="E425" s="30" t="s">
        <v>139</v>
      </c>
      <c r="F425" s="35">
        <v>42016.0</v>
      </c>
      <c r="G425" s="30" t="s">
        <v>92</v>
      </c>
      <c r="H425" s="30" t="s">
        <v>147</v>
      </c>
      <c r="I425" s="30" t="s">
        <v>283</v>
      </c>
      <c r="J425" s="30" t="s">
        <v>283</v>
      </c>
      <c r="K425" s="168" t="str">
        <f>hyperlink("https://skutracker.sierrawireless.local/projects/1620", "1620")</f>
        <v>1620</v>
      </c>
      <c r="L425" s="168" t="str">
        <f>hyperlink("https://agile.sierrawireless.com/Agile/PLMServlet?action=OpenEmailObject&amp;classid=0&amp;objid=-1", "ECO-016649")</f>
        <v>ECO-016649</v>
      </c>
      <c r="M425" s="30" t="s">
        <v>7605</v>
      </c>
      <c r="N425" s="30" t="s">
        <v>8150</v>
      </c>
    </row>
    <row r="426">
      <c r="A426" s="168" t="str">
        <f>hyperlink("https://issues.sierrawireless.com/browse/OEMPRI-1957", "OEMPRI-1957")</f>
        <v>OEMPRI-1957</v>
      </c>
      <c r="B426" s="30" t="b">
        <v>1</v>
      </c>
      <c r="C426" s="30">
        <v>1102336.0</v>
      </c>
      <c r="D426" s="191">
        <v>9903879.0</v>
      </c>
      <c r="E426" s="30" t="s">
        <v>139</v>
      </c>
      <c r="F426" s="35">
        <v>42016.0</v>
      </c>
      <c r="G426" s="30" t="s">
        <v>92</v>
      </c>
      <c r="H426" s="30" t="s">
        <v>147</v>
      </c>
      <c r="I426" s="30" t="s">
        <v>4728</v>
      </c>
      <c r="J426" s="30" t="s">
        <v>283</v>
      </c>
      <c r="K426" s="168" t="str">
        <f>hyperlink("https://skutracker.sierrawireless.local/projects/591", "591")</f>
        <v>591</v>
      </c>
      <c r="L426" s="168" t="str">
        <f>hyperlink("https://agile.sierrawireless.com/Agile/PLMServlet?action=OpenEmailObject&amp;classid=0&amp;objid=-1", "ECO-016645")</f>
        <v>ECO-016645</v>
      </c>
      <c r="M426" s="30" t="s">
        <v>7053</v>
      </c>
      <c r="N426" s="30" t="s">
        <v>7316</v>
      </c>
    </row>
    <row r="427">
      <c r="A427" s="168" t="str">
        <f>hyperlink("https://issues.sierrawireless.com/browse/OEMPRI-1958", "OEMPRI-1958")</f>
        <v>OEMPRI-1958</v>
      </c>
      <c r="B427" s="30" t="b">
        <v>1</v>
      </c>
      <c r="C427" s="30">
        <v>1102337.0</v>
      </c>
      <c r="D427" s="191">
        <v>9903880.0</v>
      </c>
      <c r="E427" s="30" t="s">
        <v>139</v>
      </c>
      <c r="F427" s="35">
        <v>42016.0</v>
      </c>
      <c r="G427" s="30" t="s">
        <v>92</v>
      </c>
      <c r="H427" s="30" t="s">
        <v>147</v>
      </c>
      <c r="I427" s="30" t="s">
        <v>283</v>
      </c>
      <c r="J427" s="30" t="s">
        <v>283</v>
      </c>
      <c r="K427" s="168" t="str">
        <f>hyperlink("https://skutracker.sierrawireless.local/projects/592", "592")</f>
        <v>592</v>
      </c>
      <c r="L427" s="168" t="str">
        <f>hyperlink("https://agile.sierrawireless.com/Agile/PLMServlet?action=OpenEmailObject&amp;classid=0&amp;objid=-1", "ECO-016646")</f>
        <v>ECO-016646</v>
      </c>
      <c r="M427" s="30" t="s">
        <v>8151</v>
      </c>
      <c r="N427" s="30" t="s">
        <v>7316</v>
      </c>
    </row>
    <row r="428">
      <c r="A428" s="168" t="str">
        <f>hyperlink("https://issues.sierrawireless.com/browse/OEMPRI-2018", "OEMPRI-2018")</f>
        <v>OEMPRI-2018</v>
      </c>
      <c r="B428" s="30" t="b">
        <v>1</v>
      </c>
      <c r="C428" s="30">
        <v>1102595.0</v>
      </c>
      <c r="D428" s="191">
        <v>9904663.0</v>
      </c>
      <c r="E428" s="30" t="s">
        <v>139</v>
      </c>
      <c r="F428" s="35">
        <v>42015.0</v>
      </c>
      <c r="G428" s="30" t="s">
        <v>92</v>
      </c>
      <c r="H428" s="30" t="s">
        <v>3407</v>
      </c>
      <c r="I428" s="30" t="s">
        <v>216</v>
      </c>
      <c r="J428" s="30" t="s">
        <v>216</v>
      </c>
      <c r="K428" s="168" t="str">
        <f>hyperlink("https://skutracker.sierrawireless.local/projects/1408", "1408")</f>
        <v>1408</v>
      </c>
      <c r="L428" s="168" t="str">
        <f>hyperlink("https://agile.sierrawireless.com/Agile/PLMServlet?action=OpenEmailObject&amp;classid=0&amp;objid=-1", "ECO-016253")</f>
        <v>ECO-016253</v>
      </c>
      <c r="M428" s="30" t="s">
        <v>8036</v>
      </c>
      <c r="N428" s="30" t="s">
        <v>8152</v>
      </c>
    </row>
    <row r="429">
      <c r="A429" s="168" t="str">
        <f>hyperlink("https://issues.sierrawireless.com/browse/OEMPRI-1870", "OEMPRI-1870")</f>
        <v>OEMPRI-1870</v>
      </c>
      <c r="B429" s="30" t="b">
        <v>1</v>
      </c>
      <c r="C429" s="30">
        <v>1102733.0</v>
      </c>
      <c r="D429" s="191">
        <v>9905125.0</v>
      </c>
      <c r="E429" s="30" t="s">
        <v>139</v>
      </c>
      <c r="F429" s="35">
        <v>42015.0</v>
      </c>
      <c r="G429" s="30" t="s">
        <v>92</v>
      </c>
      <c r="H429" s="30" t="s">
        <v>3685</v>
      </c>
      <c r="I429" s="30" t="s">
        <v>216</v>
      </c>
      <c r="J429" s="30" t="s">
        <v>216</v>
      </c>
      <c r="K429" s="168" t="str">
        <f>hyperlink("https://skutracker.sierrawireless.local/projects/1988", "1988")</f>
        <v>1988</v>
      </c>
      <c r="L429" s="168" t="str">
        <f>hyperlink("https://agile.sierrawireless.com/Agile/PLMServlet?action=OpenEmailObject&amp;classid=6000&amp;objid=8041610", "ECO-020508")</f>
        <v>ECO-020508</v>
      </c>
      <c r="M429" s="30" t="s">
        <v>7053</v>
      </c>
      <c r="N429" s="30" t="s">
        <v>7610</v>
      </c>
    </row>
    <row r="430">
      <c r="A430" s="168" t="str">
        <f>hyperlink("https://issues.sierrawireless.com/browse/OEMPRI-1869", "OEMPRI-1869")</f>
        <v>OEMPRI-1869</v>
      </c>
      <c r="B430" s="30" t="b">
        <v>1</v>
      </c>
      <c r="C430" s="30">
        <v>1.1027233E7</v>
      </c>
      <c r="D430" s="191">
        <v>9905126.0</v>
      </c>
      <c r="E430" s="30" t="s">
        <v>139</v>
      </c>
      <c r="F430" s="35">
        <v>42015.0</v>
      </c>
      <c r="G430" s="30" t="s">
        <v>92</v>
      </c>
      <c r="H430" s="30" t="s">
        <v>3685</v>
      </c>
      <c r="I430" s="30" t="s">
        <v>216</v>
      </c>
      <c r="J430" s="30" t="s">
        <v>216</v>
      </c>
      <c r="K430" s="168" t="str">
        <f>hyperlink("https://skutracker.sierrawireless.local/projects/1990", "1990")</f>
        <v>1990</v>
      </c>
      <c r="L430" s="168" t="str">
        <f>hyperlink("https://agile.sierrawireless.com/Agile/PLMServlet?action=OpenEmailObject&amp;classid=6000&amp;objid=8017610", "ECO-020419")</f>
        <v>ECO-020419</v>
      </c>
      <c r="M430" s="30" t="s">
        <v>7053</v>
      </c>
      <c r="N430" s="30" t="s">
        <v>7610</v>
      </c>
    </row>
    <row r="431">
      <c r="A431" s="168" t="str">
        <f>hyperlink("https://issues.sierrawireless.com/browse/OEMPRI-1871", "OEMPRI-1871")</f>
        <v>OEMPRI-1871</v>
      </c>
      <c r="B431" s="30" t="b">
        <v>1</v>
      </c>
      <c r="C431" s="30">
        <v>1102599.0</v>
      </c>
      <c r="D431" s="191">
        <v>9905146.0</v>
      </c>
      <c r="E431" s="30" t="s">
        <v>139</v>
      </c>
      <c r="F431" s="35">
        <v>42015.0</v>
      </c>
      <c r="G431" s="30" t="s">
        <v>92</v>
      </c>
      <c r="H431" s="30" t="s">
        <v>1399</v>
      </c>
      <c r="I431" s="30" t="s">
        <v>1400</v>
      </c>
      <c r="J431" s="30" t="s">
        <v>1400</v>
      </c>
      <c r="K431" s="168" t="str">
        <f>hyperlink("https://skutracker.sierrawireless.local/projects/2002", "2002")</f>
        <v>2002</v>
      </c>
      <c r="L431" s="168" t="str">
        <f>hyperlink("https://agile.sierrawireless.com/Agile/PLMServlet?action=OpenEmailObject&amp;classid=0&amp;objid=-1", "TDN-005342")</f>
        <v>TDN-005342</v>
      </c>
      <c r="M431" s="30" t="s">
        <v>7631</v>
      </c>
      <c r="N431" s="30" t="s">
        <v>8030</v>
      </c>
    </row>
    <row r="432">
      <c r="A432" s="168" t="str">
        <f>hyperlink("https://issues.sierrawireless.com/browse/OEMPRI-2120", "OEMPRI-2120")</f>
        <v>OEMPRI-2120</v>
      </c>
      <c r="B432" s="30" t="b">
        <v>1</v>
      </c>
      <c r="C432" s="30">
        <v>1102418.0</v>
      </c>
      <c r="D432" s="191" t="s">
        <v>7134</v>
      </c>
      <c r="E432" s="30" t="s">
        <v>139</v>
      </c>
      <c r="F432" s="35">
        <v>42015.0</v>
      </c>
      <c r="G432" s="30" t="s">
        <v>92</v>
      </c>
      <c r="H432" s="30" t="s">
        <v>2596</v>
      </c>
      <c r="I432" s="30" t="s">
        <v>609</v>
      </c>
      <c r="J432" s="30" t="s">
        <v>609</v>
      </c>
      <c r="K432" s="168" t="str">
        <f>hyperlink("https://skutracker.sierrawireless.local/projects/818", "818")</f>
        <v>818</v>
      </c>
      <c r="L432" s="168" t="str">
        <f>hyperlink("https://agile.sierrawireless.com/Agile/PLMServlet?action=OpenEmailObject&amp;classid=0&amp;objid=-1", "ECO-015011")</f>
        <v>ECO-015011</v>
      </c>
      <c r="M432" s="30" t="s">
        <v>7306</v>
      </c>
      <c r="N432" s="30" t="s">
        <v>8135</v>
      </c>
    </row>
    <row r="433">
      <c r="A433" s="168" t="str">
        <f>hyperlink("https://issues.sierrawireless.com/browse/OEMPRI-2121", "OEMPRI-2121")</f>
        <v>OEMPRI-2121</v>
      </c>
      <c r="B433" s="30" t="b">
        <v>1</v>
      </c>
      <c r="C433" s="30">
        <v>1102235.0</v>
      </c>
      <c r="D433" s="191">
        <v>9903531.0</v>
      </c>
      <c r="E433" s="30" t="s">
        <v>139</v>
      </c>
      <c r="F433" s="35">
        <v>42014.0</v>
      </c>
      <c r="G433" s="30" t="s">
        <v>92</v>
      </c>
      <c r="H433" s="30" t="s">
        <v>723</v>
      </c>
      <c r="I433" s="30" t="s">
        <v>609</v>
      </c>
      <c r="J433" s="30" t="s">
        <v>609</v>
      </c>
      <c r="K433" s="168" t="str">
        <f>hyperlink("https://skutracker.sierrawireless.local/projects/1098", "1098")</f>
        <v>1098</v>
      </c>
      <c r="L433" s="168" t="str">
        <f>hyperlink("https://agile.sierrawireless.com/Agile/PLMServlet?action=OpenEmailObject&amp;classid=0&amp;objid=-1", "ECO-015675")</f>
        <v>ECO-015675</v>
      </c>
      <c r="M433" s="30" t="s">
        <v>7979</v>
      </c>
      <c r="N433" s="30" t="s">
        <v>7980</v>
      </c>
    </row>
    <row r="434">
      <c r="A434" s="168" t="str">
        <f>hyperlink("https://issues.sierrawireless.com/browse/OEMPRI-2019", "OEMPRI-2019")</f>
        <v>OEMPRI-2019</v>
      </c>
      <c r="B434" s="30" t="b">
        <v>1</v>
      </c>
      <c r="C434" s="30">
        <v>1102564.0</v>
      </c>
      <c r="D434" s="191">
        <v>9904649.0</v>
      </c>
      <c r="E434" s="30" t="s">
        <v>139</v>
      </c>
      <c r="F434" s="35">
        <v>42014.0</v>
      </c>
      <c r="G434" s="30" t="s">
        <v>92</v>
      </c>
      <c r="H434" s="30" t="s">
        <v>6171</v>
      </c>
      <c r="I434" s="30" t="s">
        <v>216</v>
      </c>
      <c r="J434" s="30" t="s">
        <v>216</v>
      </c>
      <c r="K434" s="168" t="str">
        <f>hyperlink("https://skutracker.sierrawireless.local/projects/1288", "1288")</f>
        <v>1288</v>
      </c>
      <c r="L434" s="168" t="str">
        <f>hyperlink("https://agile.sierrawireless.com/Agile/PLMServlet?action=OpenEmailObject&amp;classid=0&amp;objid=-1", "TDN-004895")</f>
        <v>TDN-004895</v>
      </c>
      <c r="M434" s="30" t="s">
        <v>7053</v>
      </c>
      <c r="N434" s="30" t="s">
        <v>8153</v>
      </c>
    </row>
    <row r="435">
      <c r="A435" s="168" t="str">
        <f>hyperlink("https://issues.sierrawireless.com/browse/OEMPRI-1895", "OEMPRI-1895")</f>
        <v>OEMPRI-1895</v>
      </c>
      <c r="B435" s="30" t="b">
        <v>1</v>
      </c>
      <c r="C435" s="30">
        <v>1102687.0</v>
      </c>
      <c r="D435" s="191">
        <v>9905039.0</v>
      </c>
      <c r="E435" s="30" t="s">
        <v>139</v>
      </c>
      <c r="F435" s="35">
        <v>42014.0</v>
      </c>
      <c r="G435" s="30" t="s">
        <v>92</v>
      </c>
      <c r="H435" s="30" t="s">
        <v>6171</v>
      </c>
      <c r="I435" s="30" t="s">
        <v>216</v>
      </c>
      <c r="J435" s="30" t="s">
        <v>216</v>
      </c>
      <c r="K435" s="168" t="str">
        <f>hyperlink("https://skutracker.sierrawireless.local/projects/1783", "1783")</f>
        <v>1783</v>
      </c>
      <c r="L435" s="168" t="str">
        <f>hyperlink("https://agile.sierrawireless.com/Agile/PLMServlet?action=OpenEmailObject&amp;classid=0&amp;objid=-1", "ECO-016970")</f>
        <v>ECO-016970</v>
      </c>
      <c r="M435" s="30" t="s">
        <v>7053</v>
      </c>
      <c r="N435" s="30" t="s">
        <v>8154</v>
      </c>
    </row>
    <row r="436">
      <c r="A436" s="168" t="str">
        <f>hyperlink("https://issues.sierrawireless.com/browse/OEMPRI-1873", "OEMPRI-1873")</f>
        <v>OEMPRI-1873</v>
      </c>
      <c r="B436" s="30" t="b">
        <v>1</v>
      </c>
      <c r="C436" s="30">
        <v>1102691.0</v>
      </c>
      <c r="D436" s="191">
        <v>9903180.0</v>
      </c>
      <c r="E436" s="30" t="s">
        <v>139</v>
      </c>
      <c r="F436" s="35">
        <v>42014.0</v>
      </c>
      <c r="G436" s="30" t="s">
        <v>92</v>
      </c>
      <c r="H436" s="30" t="s">
        <v>2707</v>
      </c>
      <c r="I436" s="30" t="s">
        <v>216</v>
      </c>
      <c r="J436" s="30" t="s">
        <v>216</v>
      </c>
      <c r="K436" s="168" t="str">
        <f>hyperlink("https://skutracker.sierrawireless.local/projects/1808", "1808")</f>
        <v>1808</v>
      </c>
      <c r="L436" s="168" t="str">
        <f t="shared" ref="L436:L438" si="34">hyperlink("https://agile.sierrawireless.com/Agile/PLMServlet?action=OpenEmailObject&amp;classid=0&amp;objid=-1", "ECO-017005")</f>
        <v>ECO-017005</v>
      </c>
      <c r="M436" s="30" t="s">
        <v>7699</v>
      </c>
      <c r="N436" s="30" t="s">
        <v>7694</v>
      </c>
    </row>
    <row r="437">
      <c r="A437" s="168" t="str">
        <f>hyperlink("https://issues.sierrawireless.com/browse/OEMPRI-1874", "OEMPRI-1874")</f>
        <v>OEMPRI-1874</v>
      </c>
      <c r="B437" s="30" t="b">
        <v>1</v>
      </c>
      <c r="C437" s="30">
        <v>1102692.0</v>
      </c>
      <c r="D437" s="191">
        <v>9903756.0</v>
      </c>
      <c r="E437" s="30" t="s">
        <v>139</v>
      </c>
      <c r="F437" s="35">
        <v>42014.0</v>
      </c>
      <c r="G437" s="30" t="s">
        <v>92</v>
      </c>
      <c r="H437" s="30" t="s">
        <v>2707</v>
      </c>
      <c r="I437" s="30" t="s">
        <v>216</v>
      </c>
      <c r="J437" s="30" t="s">
        <v>216</v>
      </c>
      <c r="K437" s="168" t="str">
        <f>hyperlink("https://skutracker.sierrawireless.local/projects/1815", "1815")</f>
        <v>1815</v>
      </c>
      <c r="L437" s="168" t="str">
        <f t="shared" si="34"/>
        <v>ECO-017005</v>
      </c>
      <c r="M437" s="30" t="s">
        <v>7699</v>
      </c>
      <c r="N437" s="30" t="s">
        <v>8155</v>
      </c>
    </row>
    <row r="438">
      <c r="A438" s="168" t="str">
        <f>hyperlink("https://issues.sierrawireless.com/browse/OEMPRI-1872", "OEMPRI-1872")</f>
        <v>OEMPRI-1872</v>
      </c>
      <c r="B438" s="30" t="b">
        <v>1</v>
      </c>
      <c r="C438" s="30">
        <v>1102694.0</v>
      </c>
      <c r="D438" s="191">
        <v>9904558.0</v>
      </c>
      <c r="E438" s="30" t="s">
        <v>139</v>
      </c>
      <c r="F438" s="35">
        <v>42014.0</v>
      </c>
      <c r="G438" s="30" t="s">
        <v>92</v>
      </c>
      <c r="H438" s="30" t="s">
        <v>2707</v>
      </c>
      <c r="I438" s="30" t="s">
        <v>216</v>
      </c>
      <c r="J438" s="30" t="s">
        <v>216</v>
      </c>
      <c r="K438" s="168" t="str">
        <f>hyperlink("https://skutracker.sierrawireless.local/projects/1826", "1826")</f>
        <v>1826</v>
      </c>
      <c r="L438" s="168" t="str">
        <f t="shared" si="34"/>
        <v>ECO-017005</v>
      </c>
      <c r="M438" s="30" t="s">
        <v>7327</v>
      </c>
      <c r="N438" s="30" t="s">
        <v>7694</v>
      </c>
    </row>
    <row r="439">
      <c r="A439" s="168" t="str">
        <f>hyperlink("https://issues.sierrawireless.com/browse/OEMPRI-1894", "OEMPRI-1894")</f>
        <v>OEMPRI-1894</v>
      </c>
      <c r="B439" s="30" t="b">
        <v>1</v>
      </c>
      <c r="C439" s="30">
        <v>1102696.0</v>
      </c>
      <c r="D439" s="191">
        <v>9905065.0</v>
      </c>
      <c r="E439" s="30" t="s">
        <v>139</v>
      </c>
      <c r="F439" s="35">
        <v>42014.0</v>
      </c>
      <c r="G439" s="30" t="s">
        <v>92</v>
      </c>
      <c r="H439" s="30" t="s">
        <v>147</v>
      </c>
      <c r="I439" s="30" t="s">
        <v>216</v>
      </c>
      <c r="J439" s="30" t="s">
        <v>216</v>
      </c>
      <c r="K439" s="168" t="str">
        <f>hyperlink("https://skutracker.sierrawireless.local/projects/1832", "1832")</f>
        <v>1832</v>
      </c>
      <c r="L439" s="168" t="str">
        <f t="shared" ref="L439:L440" si="35">hyperlink("https://agile.sierrawireless.com/Agile/PLMServlet?action=OpenEmailObject&amp;classid=0&amp;objid=-1", "ECO-017018")</f>
        <v>ECO-017018</v>
      </c>
      <c r="M439" s="30" t="s">
        <v>7605</v>
      </c>
      <c r="N439" s="30" t="s">
        <v>8156</v>
      </c>
    </row>
    <row r="440">
      <c r="A440" s="168" t="str">
        <f>hyperlink("https://issues.sierrawireless.com/browse/OEMPRI-1893", "OEMPRI-1893")</f>
        <v>OEMPRI-1893</v>
      </c>
      <c r="B440" s="30" t="b">
        <v>1</v>
      </c>
      <c r="C440" s="30">
        <v>1102239.0</v>
      </c>
      <c r="D440" s="191">
        <v>9905066.0</v>
      </c>
      <c r="E440" s="30" t="s">
        <v>139</v>
      </c>
      <c r="F440" s="35">
        <v>42014.0</v>
      </c>
      <c r="G440" s="30" t="s">
        <v>92</v>
      </c>
      <c r="H440" s="30" t="s">
        <v>147</v>
      </c>
      <c r="I440" s="30" t="s">
        <v>216</v>
      </c>
      <c r="J440" s="30" t="s">
        <v>216</v>
      </c>
      <c r="K440" s="168" t="str">
        <f>hyperlink("https://skutracker.sierrawireless.local/projects/1833", "1833")</f>
        <v>1833</v>
      </c>
      <c r="L440" s="168" t="str">
        <f t="shared" si="35"/>
        <v>ECO-017018</v>
      </c>
      <c r="M440" s="30" t="s">
        <v>7053</v>
      </c>
      <c r="N440" s="30" t="s">
        <v>8156</v>
      </c>
    </row>
    <row r="441">
      <c r="A441" s="168" t="str">
        <f>hyperlink("https://issues.sierrawireless.com/browse/OEMPRI-1892", "OEMPRI-1892")</f>
        <v>OEMPRI-1892</v>
      </c>
      <c r="B441" s="30" t="b">
        <v>1</v>
      </c>
      <c r="C441" s="30">
        <v>1101735.0</v>
      </c>
      <c r="D441" s="191">
        <v>9905067.0</v>
      </c>
      <c r="E441" s="30" t="s">
        <v>139</v>
      </c>
      <c r="F441" s="35">
        <v>42014.0</v>
      </c>
      <c r="G441" s="30" t="s">
        <v>92</v>
      </c>
      <c r="H441" s="30" t="s">
        <v>147</v>
      </c>
      <c r="I441" s="30" t="s">
        <v>216</v>
      </c>
      <c r="J441" s="30" t="s">
        <v>216</v>
      </c>
      <c r="K441" s="168" t="str">
        <f>hyperlink("https://skutracker.sierrawireless.local/projects/1834", "1834")</f>
        <v>1834</v>
      </c>
      <c r="L441" s="30" t="s">
        <v>166</v>
      </c>
      <c r="M441" s="30" t="s">
        <v>7053</v>
      </c>
      <c r="N441" s="30" t="s">
        <v>8156</v>
      </c>
    </row>
    <row r="442">
      <c r="A442" s="168" t="str">
        <f>hyperlink("https://issues.sierrawireless.com/browse/OEMPRI-2094", "OEMPRI-2094")</f>
        <v>OEMPRI-2094</v>
      </c>
      <c r="B442" s="30" t="b">
        <v>1</v>
      </c>
      <c r="C442" s="30">
        <v>1101830.0</v>
      </c>
      <c r="D442" s="191">
        <v>9902427.0</v>
      </c>
      <c r="E442" s="30" t="s">
        <v>139</v>
      </c>
      <c r="F442" s="35">
        <v>42013.0</v>
      </c>
      <c r="G442" s="30" t="s">
        <v>92</v>
      </c>
      <c r="H442" s="30" t="s">
        <v>723</v>
      </c>
      <c r="I442" s="30" t="s">
        <v>609</v>
      </c>
      <c r="J442" s="30" t="s">
        <v>609</v>
      </c>
      <c r="K442" s="168" t="str">
        <f>hyperlink("https://skutracker.sierrawireless.local/projects/1141", "1141")</f>
        <v>1141</v>
      </c>
      <c r="L442" s="168" t="str">
        <f>hyperlink("https://agile.sierrawireless.com/Agile/PLMServlet?action=OpenEmailObject&amp;classid=0&amp;objid=-1", "ECO-015737")</f>
        <v>ECO-015737</v>
      </c>
      <c r="M442" s="30" t="s">
        <v>7605</v>
      </c>
      <c r="N442" s="30" t="s">
        <v>8024</v>
      </c>
    </row>
    <row r="443">
      <c r="A443" s="168" t="str">
        <f>hyperlink("https://issues.sierrawireless.com/browse/OEMPRI-2029", "OEMPRI-2029")</f>
        <v>OEMPRI-2029</v>
      </c>
      <c r="B443" s="30" t="b">
        <v>1</v>
      </c>
      <c r="C443" s="30">
        <v>1102235.0</v>
      </c>
      <c r="D443" s="191">
        <v>9903531.0</v>
      </c>
      <c r="E443" s="30" t="s">
        <v>139</v>
      </c>
      <c r="F443" s="35">
        <v>42013.0</v>
      </c>
      <c r="G443" s="30" t="s">
        <v>92</v>
      </c>
      <c r="H443" s="30" t="s">
        <v>723</v>
      </c>
      <c r="I443" s="30" t="s">
        <v>609</v>
      </c>
      <c r="J443" s="30" t="s">
        <v>609</v>
      </c>
      <c r="K443" s="168" t="str">
        <f>hyperlink("https://skutracker.sierrawireless.local/projects/1271", "1271")</f>
        <v>1271</v>
      </c>
      <c r="L443" s="168" t="str">
        <f>hyperlink("https://agile.sierrawireless.com/Agile/PLMServlet?action=OpenEmailObject&amp;classid=0&amp;objid=-1", "ECO-015982")</f>
        <v>ECO-015982</v>
      </c>
      <c r="M443" s="30" t="s">
        <v>7979</v>
      </c>
      <c r="N443" s="30" t="s">
        <v>8017</v>
      </c>
    </row>
    <row r="444">
      <c r="A444" s="168" t="str">
        <f>hyperlink("https://issues.sierrawireless.com/browse/OEMPRI-2024", "OEMPRI-2024")</f>
        <v>OEMPRI-2024</v>
      </c>
      <c r="B444" s="30" t="b">
        <v>1</v>
      </c>
      <c r="C444" s="30">
        <v>1102245.0</v>
      </c>
      <c r="D444" s="191">
        <v>9903842.0</v>
      </c>
      <c r="E444" s="30" t="s">
        <v>139</v>
      </c>
      <c r="F444" s="35">
        <v>42013.0</v>
      </c>
      <c r="G444" s="30" t="s">
        <v>92</v>
      </c>
      <c r="H444" s="30" t="s">
        <v>6300</v>
      </c>
      <c r="I444" s="30" t="s">
        <v>216</v>
      </c>
      <c r="J444" s="30" t="s">
        <v>216</v>
      </c>
      <c r="K444" s="168" t="str">
        <f>hyperlink("https://skutracker.sierrawireless.local/projects/1412", "1412")</f>
        <v>1412</v>
      </c>
      <c r="L444" s="168" t="str">
        <f>hyperlink("https://agile.sierrawireless.com/Agile/PLMServlet?action=OpenEmailObject&amp;classid=0&amp;objid=-1", "ECO-016254")</f>
        <v>ECO-016254</v>
      </c>
      <c r="M444" s="30" t="s">
        <v>8010</v>
      </c>
      <c r="N444" s="30" t="s">
        <v>8157</v>
      </c>
    </row>
    <row r="445">
      <c r="A445" s="168" t="str">
        <f>hyperlink("https://issues.sierrawireless.com/browse/OEMPRI-2023", "OEMPRI-2023")</f>
        <v>OEMPRI-2023</v>
      </c>
      <c r="B445" s="30" t="b">
        <v>1</v>
      </c>
      <c r="C445" s="30">
        <v>1102318.0</v>
      </c>
      <c r="D445" s="191">
        <v>9903841.0</v>
      </c>
      <c r="E445" s="30" t="s">
        <v>139</v>
      </c>
      <c r="F445" s="35">
        <v>42013.0</v>
      </c>
      <c r="G445" s="30" t="s">
        <v>92</v>
      </c>
      <c r="H445" s="30" t="s">
        <v>6300</v>
      </c>
      <c r="I445" s="30" t="s">
        <v>216</v>
      </c>
      <c r="J445" s="30" t="s">
        <v>216</v>
      </c>
      <c r="K445" s="168" t="str">
        <f>hyperlink("https://skutracker.sierrawireless.local/projects/1413", "1413")</f>
        <v>1413</v>
      </c>
      <c r="L445" s="168" t="str">
        <f>hyperlink("https://agile.sierrawireless.com/Agile/PLMServlet?action=OpenEmailObject&amp;classid=0&amp;objid=-1", "ECO-016255")</f>
        <v>ECO-016255</v>
      </c>
      <c r="M445" s="30" t="s">
        <v>8158</v>
      </c>
      <c r="N445" s="30" t="s">
        <v>8159</v>
      </c>
    </row>
    <row r="446">
      <c r="A446" s="168" t="str">
        <f>hyperlink("https://issues.sierrawireless.com/browse/OEMPRI-1896", "OEMPRI-1896")</f>
        <v>OEMPRI-1896</v>
      </c>
      <c r="B446" s="30" t="b">
        <v>1</v>
      </c>
      <c r="C446" s="30">
        <v>1102425.0</v>
      </c>
      <c r="D446" s="191">
        <v>9904182.0</v>
      </c>
      <c r="E446" s="30" t="s">
        <v>139</v>
      </c>
      <c r="F446" s="35">
        <v>42013.0</v>
      </c>
      <c r="G446" s="30" t="s">
        <v>92</v>
      </c>
      <c r="H446" s="30" t="s">
        <v>723</v>
      </c>
      <c r="I446" s="30" t="s">
        <v>609</v>
      </c>
      <c r="J446" s="30" t="s">
        <v>609</v>
      </c>
      <c r="K446" s="168" t="str">
        <f>hyperlink("https://skutracker.sierrawireless.local/projects/1632", "1632")</f>
        <v>1632</v>
      </c>
      <c r="L446" s="168" t="str">
        <f>hyperlink("https://agile.sierrawireless.com/Agile/PLMServlet?action=OpenEmailObject&amp;classid=0&amp;objid=-1", "TDN-005136")</f>
        <v>TDN-005136</v>
      </c>
      <c r="M446" s="30" t="s">
        <v>7053</v>
      </c>
      <c r="N446" s="30" t="s">
        <v>8145</v>
      </c>
    </row>
    <row r="447">
      <c r="A447" s="168" t="str">
        <f>hyperlink("https://issues.sierrawireless.com/browse/OEMPRI-1875", "OEMPRI-1875")</f>
        <v>OEMPRI-1875</v>
      </c>
      <c r="B447" s="30" t="b">
        <v>1</v>
      </c>
      <c r="C447" s="30">
        <v>1102602.0</v>
      </c>
      <c r="D447" s="191">
        <v>9904686.0</v>
      </c>
      <c r="E447" s="30" t="s">
        <v>139</v>
      </c>
      <c r="F447" s="35">
        <v>42013.0</v>
      </c>
      <c r="G447" s="30" t="s">
        <v>92</v>
      </c>
      <c r="H447" s="30" t="s">
        <v>215</v>
      </c>
      <c r="I447" s="30" t="s">
        <v>216</v>
      </c>
      <c r="J447" s="30" t="s">
        <v>216</v>
      </c>
      <c r="K447" s="168" t="str">
        <f>hyperlink("https://skutracker.sierrawireless.local/projects/1904", "1904")</f>
        <v>1904</v>
      </c>
      <c r="L447" s="168" t="str">
        <f>hyperlink("https://agile.sierrawireless.com/Agile/PLMServlet?action=OpenEmailObject&amp;classid=0&amp;objid=-1", "ECO-017206")</f>
        <v>ECO-017206</v>
      </c>
      <c r="M447" s="30" t="s">
        <v>7053</v>
      </c>
      <c r="N447" s="30" t="s">
        <v>7924</v>
      </c>
    </row>
    <row r="448">
      <c r="A448" s="168" t="str">
        <f>hyperlink("https://issues.sierrawireless.com/browse/OEMPRI-1846", "OEMPRI-1846")</f>
        <v>OEMPRI-1846</v>
      </c>
      <c r="B448" s="30" t="b">
        <v>1</v>
      </c>
      <c r="C448" s="30">
        <v>1102764.0</v>
      </c>
      <c r="D448" s="191">
        <v>9905221.0</v>
      </c>
      <c r="E448" s="30" t="s">
        <v>139</v>
      </c>
      <c r="F448" s="35">
        <v>42013.0</v>
      </c>
      <c r="G448" s="30" t="s">
        <v>92</v>
      </c>
      <c r="H448" s="30" t="s">
        <v>3685</v>
      </c>
      <c r="I448" s="30" t="s">
        <v>216</v>
      </c>
      <c r="J448" s="30" t="s">
        <v>216</v>
      </c>
      <c r="K448" s="168" t="str">
        <f>hyperlink("https://skutracker.sierrawireless.local/projects/2135", "2135")</f>
        <v>2135</v>
      </c>
      <c r="L448" s="168" t="str">
        <f>hyperlink("https://agile.sierrawireless.com/Agile/PLMServlet?action=OpenEmailObject&amp;classid=6000&amp;objid=8065621", "ECO-020570")</f>
        <v>ECO-020570</v>
      </c>
      <c r="M448" s="30" t="s">
        <v>7605</v>
      </c>
      <c r="N448" s="30" t="s">
        <v>7610</v>
      </c>
    </row>
    <row r="449">
      <c r="A449" s="168" t="str">
        <f>hyperlink("https://issues.sierrawireless.com/browse/OEMPRI-2095", "OEMPRI-2095")</f>
        <v>OEMPRI-2095</v>
      </c>
      <c r="B449" s="30" t="b">
        <v>1</v>
      </c>
      <c r="C449" s="30">
        <v>1102434.0</v>
      </c>
      <c r="D449" s="191">
        <v>9904211.0</v>
      </c>
      <c r="E449" s="30" t="s">
        <v>139</v>
      </c>
      <c r="F449" s="35">
        <v>42012.0</v>
      </c>
      <c r="G449" s="30" t="s">
        <v>92</v>
      </c>
      <c r="H449" s="30" t="s">
        <v>6481</v>
      </c>
      <c r="I449" s="30" t="s">
        <v>216</v>
      </c>
      <c r="J449" s="30" t="s">
        <v>216</v>
      </c>
      <c r="K449" s="168" t="str">
        <f>hyperlink("https://skutracker.sierrawireless.local/projects/1233", "1233")</f>
        <v>1233</v>
      </c>
      <c r="L449" s="168" t="str">
        <f>hyperlink("https://agile.sierrawireless.com/Agile/PLMServlet?action=OpenEmailObject&amp;classid=0&amp;objid=-1", "ECO-015896")</f>
        <v>ECO-015896</v>
      </c>
      <c r="M449" s="30" t="s">
        <v>7545</v>
      </c>
      <c r="N449" s="30" t="s">
        <v>8018</v>
      </c>
    </row>
    <row r="450">
      <c r="A450" s="168" t="str">
        <f>hyperlink("https://issues.sierrawireless.com/browse/OEMPRI-1994", "OEMPRI-1994")</f>
        <v>OEMPRI-1994</v>
      </c>
      <c r="B450" s="30" t="b">
        <v>1</v>
      </c>
      <c r="C450" s="30">
        <v>1102617.0</v>
      </c>
      <c r="D450" s="191">
        <v>9904775.0</v>
      </c>
      <c r="E450" s="30" t="s">
        <v>139</v>
      </c>
      <c r="F450" s="35">
        <v>42012.0</v>
      </c>
      <c r="G450" s="30" t="s">
        <v>92</v>
      </c>
      <c r="H450" s="30" t="s">
        <v>723</v>
      </c>
      <c r="I450" s="30" t="s">
        <v>609</v>
      </c>
      <c r="J450" s="30" t="s">
        <v>609</v>
      </c>
      <c r="K450" s="168" t="str">
        <f>hyperlink("https://skutracker.sierrawireless.local/projects/1510", "1510")</f>
        <v>1510</v>
      </c>
      <c r="L450" s="168" t="str">
        <f>hyperlink("https://agile.sierrawireless.com/Agile/PLMServlet?action=OpenEmailObject&amp;classid=0&amp;objid=-1", "TDN-005017")</f>
        <v>TDN-005017</v>
      </c>
      <c r="M450" s="30" t="s">
        <v>7605</v>
      </c>
      <c r="N450" s="30" t="s">
        <v>8160</v>
      </c>
    </row>
    <row r="451">
      <c r="A451" s="168" t="str">
        <f>hyperlink("https://issues.sierrawireless.com/browse/OEMPRI-2101", "OEMPRI-2101")</f>
        <v>OEMPRI-2101</v>
      </c>
      <c r="B451" s="30" t="b">
        <v>1</v>
      </c>
      <c r="C451" s="30">
        <v>1102458.0</v>
      </c>
      <c r="D451" s="191" t="s">
        <v>7134</v>
      </c>
      <c r="E451" s="30" t="s">
        <v>139</v>
      </c>
      <c r="F451" s="35">
        <v>42011.0</v>
      </c>
      <c r="G451" s="30" t="s">
        <v>92</v>
      </c>
      <c r="H451" s="30" t="s">
        <v>2596</v>
      </c>
      <c r="I451" s="30" t="s">
        <v>609</v>
      </c>
      <c r="J451" s="30" t="s">
        <v>609</v>
      </c>
      <c r="K451" s="168" t="str">
        <f>hyperlink("https://skutracker.sierrawireless.local/projects/1181", "1181")</f>
        <v>1181</v>
      </c>
      <c r="L451" s="168" t="str">
        <f>hyperlink("https://agile.sierrawireless.com/Agile/PLMServlet?action=OpenEmailObject&amp;classid=0&amp;objid=-1", "ECO-004804")</f>
        <v>ECO-004804</v>
      </c>
      <c r="M451" s="30" t="s">
        <v>7390</v>
      </c>
      <c r="N451" s="30" t="s">
        <v>8161</v>
      </c>
    </row>
    <row r="452">
      <c r="A452" s="168" t="str">
        <f>hyperlink("https://issues.sierrawireless.com/browse/OEMPRI-2099", "OEMPRI-2099")</f>
        <v>OEMPRI-2099</v>
      </c>
      <c r="B452" s="30" t="b">
        <v>1</v>
      </c>
      <c r="C452" s="30">
        <v>1102460.0</v>
      </c>
      <c r="D452" s="191" t="s">
        <v>7134</v>
      </c>
      <c r="E452" s="30" t="s">
        <v>139</v>
      </c>
      <c r="F452" s="35">
        <v>42011.0</v>
      </c>
      <c r="G452" s="30" t="s">
        <v>92</v>
      </c>
      <c r="H452" s="30" t="s">
        <v>2596</v>
      </c>
      <c r="I452" s="30" t="s">
        <v>609</v>
      </c>
      <c r="J452" s="30" t="s">
        <v>609</v>
      </c>
      <c r="K452" s="168" t="str">
        <f>hyperlink("https://skutracker.sierrawireless.local/projects/1182", "1182")</f>
        <v>1182</v>
      </c>
      <c r="L452" s="168" t="str">
        <f>hyperlink("https://agile.sierrawireless.com/Agile/PLMServlet?action=OpenEmailObject&amp;classid=0&amp;objid=-1", "ECO-004805")</f>
        <v>ECO-004805</v>
      </c>
      <c r="M452" s="30" t="s">
        <v>7658</v>
      </c>
      <c r="N452" s="30" t="s">
        <v>8161</v>
      </c>
    </row>
    <row r="453">
      <c r="A453" s="168" t="str">
        <f>hyperlink("https://issues.sierrawireless.com/browse/OEMPRI-2098", "OEMPRI-2098")</f>
        <v>OEMPRI-2098</v>
      </c>
      <c r="B453" s="30" t="b">
        <v>1</v>
      </c>
      <c r="C453" s="30">
        <v>1102459.0</v>
      </c>
      <c r="D453" s="191" t="s">
        <v>7134</v>
      </c>
      <c r="E453" s="30" t="s">
        <v>139</v>
      </c>
      <c r="F453" s="35">
        <v>42011.0</v>
      </c>
      <c r="G453" s="30" t="s">
        <v>92</v>
      </c>
      <c r="H453" s="30" t="s">
        <v>2596</v>
      </c>
      <c r="I453" s="30" t="s">
        <v>609</v>
      </c>
      <c r="J453" s="30" t="s">
        <v>609</v>
      </c>
      <c r="K453" s="168" t="str">
        <f>hyperlink("https://skutracker.sierrawireless.local/projects/1184", "1184")</f>
        <v>1184</v>
      </c>
      <c r="L453" s="168" t="str">
        <f>hyperlink("https://agile.sierrawireless.com/Agile/PLMServlet?action=OpenEmailObject&amp;classid=0&amp;objid=-1", "ECO-004807")</f>
        <v>ECO-004807</v>
      </c>
      <c r="M453" s="30" t="s">
        <v>8162</v>
      </c>
      <c r="N453" s="30" t="s">
        <v>8161</v>
      </c>
    </row>
    <row r="454">
      <c r="A454" s="168" t="str">
        <f>hyperlink("https://issues.sierrawireless.com/browse/OEMPRI-2097", "OEMPRI-2097")</f>
        <v>OEMPRI-2097</v>
      </c>
      <c r="B454" s="30" t="b">
        <v>1</v>
      </c>
      <c r="C454" s="30">
        <v>1102457.0</v>
      </c>
      <c r="D454" s="191" t="s">
        <v>7134</v>
      </c>
      <c r="E454" s="30" t="s">
        <v>139</v>
      </c>
      <c r="F454" s="35">
        <v>42011.0</v>
      </c>
      <c r="G454" s="30" t="s">
        <v>92</v>
      </c>
      <c r="H454" s="30" t="s">
        <v>2596</v>
      </c>
      <c r="I454" s="30" t="s">
        <v>609</v>
      </c>
      <c r="J454" s="30" t="s">
        <v>609</v>
      </c>
      <c r="K454" s="168" t="str">
        <f>hyperlink("https://skutracker.sierrawireless.local/projects/1185", "1185")</f>
        <v>1185</v>
      </c>
      <c r="L454" s="168" t="str">
        <f>hyperlink("https://agile.sierrawireless.com/Agile/PLMServlet?action=OpenEmailObject&amp;classid=0&amp;objid=-1", "ECO-004808")</f>
        <v>ECO-004808</v>
      </c>
      <c r="M454" s="30" t="s">
        <v>8163</v>
      </c>
      <c r="N454" s="30" t="s">
        <v>8161</v>
      </c>
    </row>
    <row r="455">
      <c r="A455" s="168" t="str">
        <f>hyperlink("https://issues.sierrawireless.com/browse/OEMPRI-2066", "OEMPRI-2066")</f>
        <v>OEMPRI-2066</v>
      </c>
      <c r="B455" s="30" t="b">
        <v>1</v>
      </c>
      <c r="C455" s="30">
        <v>1102559.0</v>
      </c>
      <c r="D455" s="191">
        <v>9904575.0</v>
      </c>
      <c r="E455" s="30" t="s">
        <v>139</v>
      </c>
      <c r="F455" s="35">
        <v>42011.0</v>
      </c>
      <c r="G455" s="30" t="s">
        <v>92</v>
      </c>
      <c r="H455" s="30" t="s">
        <v>723</v>
      </c>
      <c r="I455" s="30" t="s">
        <v>177</v>
      </c>
      <c r="J455" s="30" t="s">
        <v>177</v>
      </c>
      <c r="K455" s="168" t="str">
        <f>hyperlink("https://skutracker.sierrawireless.local/projects/1292", "1292")</f>
        <v>1292</v>
      </c>
      <c r="L455" s="168" t="str">
        <f>hyperlink("https://agile.sierrawireless.com/Agile/PLMServlet?action=OpenEmailObject&amp;classid=0&amp;objid=-1", "ECO-016025")</f>
        <v>ECO-016025</v>
      </c>
      <c r="M455" s="30" t="s">
        <v>7586</v>
      </c>
      <c r="N455" s="30" t="s">
        <v>7993</v>
      </c>
    </row>
    <row r="456">
      <c r="A456" s="168" t="str">
        <f>hyperlink("https://issues.sierrawireless.com/browse/OEMPRI-1996", "OEMPRI-1996")</f>
        <v>OEMPRI-1996</v>
      </c>
      <c r="B456" s="30" t="b">
        <v>1</v>
      </c>
      <c r="C456" s="30">
        <v>1102608.0</v>
      </c>
      <c r="D456" s="191">
        <v>9904558.0</v>
      </c>
      <c r="E456" s="30" t="s">
        <v>139</v>
      </c>
      <c r="F456" s="35">
        <v>42011.0</v>
      </c>
      <c r="G456" s="30" t="s">
        <v>92</v>
      </c>
      <c r="H456" s="30" t="s">
        <v>2707</v>
      </c>
      <c r="I456" s="30" t="s">
        <v>216</v>
      </c>
      <c r="J456" s="30" t="s">
        <v>216</v>
      </c>
      <c r="K456" s="168" t="str">
        <f>hyperlink("https://skutracker.sierrawireless.local/projects/1467", "1467")</f>
        <v>1467</v>
      </c>
      <c r="L456" s="168" t="str">
        <f>hyperlink("https://agile.sierrawireless.com/Agile/PLMServlet?action=OpenEmailObject&amp;classid=0&amp;objid=-1", "ECO-016352")</f>
        <v>ECO-016352</v>
      </c>
      <c r="M456" s="30" t="s">
        <v>7327</v>
      </c>
      <c r="N456" s="30" t="s">
        <v>8164</v>
      </c>
    </row>
    <row r="457">
      <c r="A457" s="168" t="str">
        <f>hyperlink("https://issues.sierrawireless.com/browse/OEMPRI-1962", "OEMPRI-1962")</f>
        <v>OEMPRI-1962</v>
      </c>
      <c r="B457" s="30" t="b">
        <v>1</v>
      </c>
      <c r="C457" s="30">
        <v>1102493.0</v>
      </c>
      <c r="D457" s="191">
        <v>9904452.0</v>
      </c>
      <c r="E457" s="30" t="s">
        <v>139</v>
      </c>
      <c r="F457" s="35">
        <v>42010.0</v>
      </c>
      <c r="G457" s="30" t="s">
        <v>92</v>
      </c>
      <c r="H457" s="30" t="s">
        <v>723</v>
      </c>
      <c r="I457" s="30" t="s">
        <v>609</v>
      </c>
      <c r="J457" s="30" t="s">
        <v>609</v>
      </c>
      <c r="K457" s="168" t="str">
        <f>hyperlink("https://skutracker.sierrawireless.local/projects/1485", "1485")</f>
        <v>1485</v>
      </c>
      <c r="L457" s="168" t="str">
        <f>hyperlink("https://agile.sierrawireless.com/Agile/PLMServlet?action=OpenEmailObject&amp;classid=0&amp;objid=-1", "ECO-016439")</f>
        <v>ECO-016439</v>
      </c>
      <c r="M457" s="30" t="s">
        <v>7420</v>
      </c>
      <c r="N457" s="30" t="s">
        <v>8165</v>
      </c>
    </row>
    <row r="458">
      <c r="A458" s="168" t="str">
        <f>hyperlink("https://issues.sierrawireless.com/browse/OEMPRI-1931", "OEMPRI-1931")</f>
        <v>OEMPRI-1931</v>
      </c>
      <c r="B458" s="30" t="b">
        <v>1</v>
      </c>
      <c r="C458" s="30">
        <v>1102616.0</v>
      </c>
      <c r="D458" s="191" t="s">
        <v>92</v>
      </c>
      <c r="E458" s="30" t="s">
        <v>139</v>
      </c>
      <c r="F458" s="35">
        <v>42010.0</v>
      </c>
      <c r="G458" s="30" t="s">
        <v>92</v>
      </c>
      <c r="H458" s="30" t="s">
        <v>723</v>
      </c>
      <c r="I458" s="30" t="s">
        <v>177</v>
      </c>
      <c r="J458" s="30" t="s">
        <v>177</v>
      </c>
      <c r="K458" s="168" t="str">
        <f>hyperlink("https://skutracker.sierrawireless.local/projects/1489", "1489")</f>
        <v>1489</v>
      </c>
      <c r="L458" s="168" t="str">
        <f>hyperlink("https://agile.sierrawireless.com/Agile/PLMServlet?action=OpenEmailObject&amp;classid=0&amp;objid=-1", "ECO-016396")</f>
        <v>ECO-016396</v>
      </c>
      <c r="M458" s="30" t="s">
        <v>7053</v>
      </c>
      <c r="N458" s="30" t="s">
        <v>8166</v>
      </c>
    </row>
    <row r="459">
      <c r="A459" s="168" t="str">
        <f>hyperlink("https://issues.sierrawireless.com/browse/OEMPRI-1997", "OEMPRI-1997")</f>
        <v>OEMPRI-1997</v>
      </c>
      <c r="B459" s="30" t="b">
        <v>1</v>
      </c>
      <c r="C459" s="30">
        <v>1102292.0</v>
      </c>
      <c r="D459" s="191" t="s">
        <v>8167</v>
      </c>
      <c r="E459" s="30" t="s">
        <v>139</v>
      </c>
      <c r="F459" s="35">
        <v>42010.0</v>
      </c>
      <c r="G459" s="30" t="s">
        <v>92</v>
      </c>
      <c r="H459" s="30" t="s">
        <v>2707</v>
      </c>
      <c r="I459" s="30" t="s">
        <v>216</v>
      </c>
      <c r="J459" s="30" t="s">
        <v>216</v>
      </c>
      <c r="K459" s="168" t="str">
        <f>hyperlink("https://skutracker.sierrawireless.local/projects/1501", "1501")</f>
        <v>1501</v>
      </c>
      <c r="L459" s="168" t="str">
        <f>hyperlink("https://agile.sierrawireless.com/Agile/PLMServlet?action=OpenEmailObject&amp;classid=0&amp;objid=-1", "TDN-005021")</f>
        <v>TDN-005021</v>
      </c>
      <c r="M459" s="30" t="s">
        <v>7327</v>
      </c>
      <c r="N459" s="30" t="s">
        <v>7708</v>
      </c>
    </row>
    <row r="460">
      <c r="A460" s="168" t="str">
        <f>hyperlink("https://issues.sierrawireless.com/browse/OEMPRI-1964", "OEMPRI-1964")</f>
        <v>OEMPRI-1964</v>
      </c>
      <c r="B460" s="30" t="b">
        <v>1</v>
      </c>
      <c r="C460" s="30">
        <v>1102629.0</v>
      </c>
      <c r="D460" s="191" t="s">
        <v>7134</v>
      </c>
      <c r="E460" s="30" t="s">
        <v>139</v>
      </c>
      <c r="F460" s="35">
        <v>42009.0</v>
      </c>
      <c r="G460" s="30" t="s">
        <v>92</v>
      </c>
      <c r="H460" s="30" t="s">
        <v>6220</v>
      </c>
      <c r="I460" s="30" t="s">
        <v>244</v>
      </c>
      <c r="J460" s="30" t="s">
        <v>244</v>
      </c>
      <c r="K460" s="168" t="str">
        <f>hyperlink("https://skutracker.sierrawireless.local/projects/1598", "1598")</f>
        <v>1598</v>
      </c>
      <c r="L460" s="168" t="str">
        <f>hyperlink("https://agile.sierrawireless.com/Agile/PLMServlet?action=OpenEmailObject&amp;classid=0&amp;objid=-1", "ECO-016628")</f>
        <v>ECO-016628</v>
      </c>
      <c r="M460" s="30" t="s">
        <v>7877</v>
      </c>
      <c r="N460" s="30" t="s">
        <v>8168</v>
      </c>
    </row>
    <row r="461">
      <c r="A461" s="168" t="str">
        <f>hyperlink("https://issues.sierrawireless.com/browse/OEMPRI-1965", "OEMPRI-1965")</f>
        <v>OEMPRI-1965</v>
      </c>
      <c r="B461" s="30" t="b">
        <v>1</v>
      </c>
      <c r="C461" s="30">
        <v>1102630.0</v>
      </c>
      <c r="D461" s="191" t="s">
        <v>7134</v>
      </c>
      <c r="E461" s="30" t="s">
        <v>139</v>
      </c>
      <c r="F461" s="35">
        <v>42009.0</v>
      </c>
      <c r="G461" s="30" t="s">
        <v>92</v>
      </c>
      <c r="H461" s="30" t="s">
        <v>6220</v>
      </c>
      <c r="I461" s="30" t="s">
        <v>244</v>
      </c>
      <c r="J461" s="30" t="s">
        <v>244</v>
      </c>
      <c r="K461" s="168" t="str">
        <f>hyperlink("https://skutracker.sierrawireless.local/projects/1599", "1599")</f>
        <v>1599</v>
      </c>
      <c r="L461" s="168" t="str">
        <f>hyperlink("https://agile.sierrawireless.com/Agile/PLMServlet?action=OpenEmailObject&amp;classid=0&amp;objid=-1", "ECO-016777")</f>
        <v>ECO-016777</v>
      </c>
      <c r="M461" s="30" t="s">
        <v>7877</v>
      </c>
      <c r="N461" s="30" t="s">
        <v>8168</v>
      </c>
    </row>
    <row r="462">
      <c r="A462" s="168" t="str">
        <f>hyperlink("https://issues.sierrawireless.com/browse/OEMPRI-2031", "OEMPRI-2031")</f>
        <v>OEMPRI-2031</v>
      </c>
      <c r="B462" s="30" t="b">
        <v>1</v>
      </c>
      <c r="C462" s="30">
        <v>1102407.0</v>
      </c>
      <c r="D462" s="191" t="s">
        <v>92</v>
      </c>
      <c r="E462" s="30" t="s">
        <v>139</v>
      </c>
      <c r="F462" s="35">
        <v>42008.0</v>
      </c>
      <c r="G462" s="30" t="s">
        <v>92</v>
      </c>
      <c r="H462" s="30" t="s">
        <v>215</v>
      </c>
      <c r="I462" s="30" t="s">
        <v>177</v>
      </c>
      <c r="J462" s="30" t="s">
        <v>177</v>
      </c>
      <c r="K462" s="168" t="str">
        <f>hyperlink("https://skutracker.sierrawireless.local/projects/1356", "1356")</f>
        <v>1356</v>
      </c>
      <c r="L462" s="168" t="str">
        <f>hyperlink("https://agile.sierrawireless.com/Agile/PLMServlet?action=OpenEmailObject&amp;classid=0&amp;objid=-1", "ECO-016156")</f>
        <v>ECO-016156</v>
      </c>
      <c r="M462" s="30" t="s">
        <v>7620</v>
      </c>
      <c r="N462" s="30" t="s">
        <v>7311</v>
      </c>
    </row>
    <row r="463">
      <c r="A463" s="168" t="str">
        <f>hyperlink("https://issues.sierrawireless.com/browse/OEMPRI-1878", "OEMPRI-1878")</f>
        <v>OEMPRI-1878</v>
      </c>
      <c r="B463" s="30" t="b">
        <v>1</v>
      </c>
      <c r="C463" s="30">
        <v>1102244.0</v>
      </c>
      <c r="D463" s="191">
        <v>9903564.0</v>
      </c>
      <c r="E463" s="30" t="s">
        <v>139</v>
      </c>
      <c r="F463" s="35">
        <v>42008.0</v>
      </c>
      <c r="G463" s="30" t="s">
        <v>92</v>
      </c>
      <c r="H463" s="30" t="s">
        <v>3685</v>
      </c>
      <c r="I463" s="30" t="s">
        <v>216</v>
      </c>
      <c r="J463" s="30" t="s">
        <v>216</v>
      </c>
      <c r="K463" s="168" t="str">
        <f>hyperlink("https://skutracker.sierrawireless.local/projects/1916", "1916")</f>
        <v>1916</v>
      </c>
      <c r="L463" s="168" t="str">
        <f>hyperlink("https://agile.sierrawireless.com/Agile/PLMServlet?action=OpenEmailObject&amp;classid=6000&amp;objid=8016780", "ECO-020407")</f>
        <v>ECO-020407</v>
      </c>
      <c r="M463" s="30" t="s">
        <v>7053</v>
      </c>
      <c r="N463" s="30" t="s">
        <v>7610</v>
      </c>
    </row>
    <row r="464">
      <c r="A464" s="168" t="str">
        <f>hyperlink("https://issues.sierrawireless.com/browse/OEMPRI-1880", "OEMPRI-1880")</f>
        <v>OEMPRI-1880</v>
      </c>
      <c r="B464" s="30" t="b">
        <v>1</v>
      </c>
      <c r="C464" s="30">
        <v>1102723.0</v>
      </c>
      <c r="D464" s="191">
        <v>9905112.0</v>
      </c>
      <c r="E464" s="30" t="s">
        <v>139</v>
      </c>
      <c r="F464" s="35">
        <v>42008.0</v>
      </c>
      <c r="G464" s="30" t="s">
        <v>92</v>
      </c>
      <c r="H464" s="30" t="s">
        <v>3685</v>
      </c>
      <c r="I464" s="30" t="s">
        <v>216</v>
      </c>
      <c r="J464" s="30" t="s">
        <v>216</v>
      </c>
      <c r="K464" s="168" t="str">
        <f>hyperlink("https://skutracker.sierrawireless.local/projects/1926", "1926")</f>
        <v>1926</v>
      </c>
      <c r="L464" s="168" t="str">
        <f>hyperlink("https://agile.sierrawireless.com/Agile/PLMServlet?action=OpenEmailObject&amp;classid=6000&amp;objid=8175677", "ECO-020898")</f>
        <v>ECO-020898</v>
      </c>
      <c r="M464" s="30" t="s">
        <v>7586</v>
      </c>
      <c r="N464" s="30" t="s">
        <v>7610</v>
      </c>
    </row>
    <row r="465">
      <c r="A465" s="168" t="str">
        <f>hyperlink("https://issues.sierrawireless.com/browse/OEMPRI-1879", "OEMPRI-1879")</f>
        <v>OEMPRI-1879</v>
      </c>
      <c r="B465" s="30" t="b">
        <v>1</v>
      </c>
      <c r="C465" s="30">
        <v>1102724.0</v>
      </c>
      <c r="D465" s="191">
        <v>9905113.0</v>
      </c>
      <c r="E465" s="30" t="s">
        <v>139</v>
      </c>
      <c r="F465" s="35">
        <v>42008.0</v>
      </c>
      <c r="G465" s="30" t="s">
        <v>92</v>
      </c>
      <c r="H465" s="30" t="s">
        <v>3685</v>
      </c>
      <c r="I465" s="30" t="s">
        <v>216</v>
      </c>
      <c r="J465" s="30" t="s">
        <v>216</v>
      </c>
      <c r="K465" s="168" t="str">
        <f>hyperlink("https://skutracker.sierrawireless.local/projects/1929", "1929")</f>
        <v>1929</v>
      </c>
      <c r="L465" s="168" t="str">
        <f>hyperlink("https://agile.sierrawireless.com/Agile/PLMServlet?action=OpenEmailObject&amp;classid=0&amp;objid=-1", "ECO-017174")</f>
        <v>ECO-017174</v>
      </c>
      <c r="M465" s="30" t="s">
        <v>8169</v>
      </c>
      <c r="N465" s="30" t="s">
        <v>7610</v>
      </c>
    </row>
    <row r="466">
      <c r="A466" s="168" t="str">
        <f>hyperlink("https://issues.sierrawireless.com/browse/OEMPRI-2126", "OEMPRI-2126")</f>
        <v>OEMPRI-2126</v>
      </c>
      <c r="B466" s="30" t="b">
        <v>1</v>
      </c>
      <c r="C466" s="30">
        <v>1101979.0</v>
      </c>
      <c r="D466" s="191">
        <v>9903098.0</v>
      </c>
      <c r="E466" s="30" t="s">
        <v>139</v>
      </c>
      <c r="F466" s="35">
        <v>42008.0</v>
      </c>
      <c r="G466" s="30" t="s">
        <v>92</v>
      </c>
      <c r="H466" s="30" t="s">
        <v>2596</v>
      </c>
      <c r="I466" s="30" t="s">
        <v>609</v>
      </c>
      <c r="J466" s="30" t="s">
        <v>609</v>
      </c>
      <c r="K466" s="168" t="str">
        <f>hyperlink("https://skutracker.sierrawireless.local/projects/992", "992")</f>
        <v>992</v>
      </c>
      <c r="L466" s="168" t="str">
        <f>hyperlink("https://agile.sierrawireless.com/Agile/PLMServlet?action=OpenEmailObject&amp;classid=0&amp;objid=-1", "ECO-015694")</f>
        <v>ECO-015694</v>
      </c>
      <c r="M466" s="30" t="s">
        <v>7658</v>
      </c>
      <c r="N466" s="30" t="s">
        <v>8135</v>
      </c>
    </row>
    <row r="467">
      <c r="A467" s="168" t="str">
        <f>hyperlink("https://issues.sierrawireless.com/browse/OEMPRI-1968", "OEMPRI-1968")</f>
        <v>OEMPRI-1968</v>
      </c>
      <c r="B467" s="30" t="b">
        <v>1</v>
      </c>
      <c r="C467" s="30" t="s">
        <v>166</v>
      </c>
      <c r="D467" s="191" t="s">
        <v>7134</v>
      </c>
      <c r="E467" s="30" t="s">
        <v>139</v>
      </c>
      <c r="F467" s="35">
        <v>42008.0</v>
      </c>
      <c r="G467" s="30" t="s">
        <v>92</v>
      </c>
      <c r="H467" s="30" t="s">
        <v>2596</v>
      </c>
      <c r="I467" s="30" t="s">
        <v>244</v>
      </c>
      <c r="J467" s="30" t="s">
        <v>244</v>
      </c>
      <c r="K467" s="168" t="str">
        <f>hyperlink("https://skutracker.sierrawireless.local/projects/1594", "1594")</f>
        <v>1594</v>
      </c>
      <c r="L467" s="168" t="str">
        <f>hyperlink("https://agile.sierrawireless.com/Agile/PLMServlet?action=OpenEmailObject&amp;classid=0&amp;objid=-1", "ECO-016626")</f>
        <v>ECO-016626</v>
      </c>
      <c r="M467" s="30" t="s">
        <v>7306</v>
      </c>
      <c r="N467" s="30" t="s">
        <v>8170</v>
      </c>
    </row>
    <row r="468">
      <c r="A468" s="168" t="str">
        <f>hyperlink("https://issues.sierrawireless.com/browse/OEMPRI-1967", "OEMPRI-1967")</f>
        <v>OEMPRI-1967</v>
      </c>
      <c r="B468" s="30" t="b">
        <v>1</v>
      </c>
      <c r="C468" s="30">
        <v>1102501.0</v>
      </c>
      <c r="D468" s="191" t="s">
        <v>7134</v>
      </c>
      <c r="E468" s="30" t="s">
        <v>139</v>
      </c>
      <c r="F468" s="35">
        <v>42008.0</v>
      </c>
      <c r="G468" s="30" t="s">
        <v>92</v>
      </c>
      <c r="H468" s="30" t="s">
        <v>2596</v>
      </c>
      <c r="I468" s="30" t="s">
        <v>244</v>
      </c>
      <c r="J468" s="30" t="s">
        <v>244</v>
      </c>
      <c r="K468" s="168" t="str">
        <f>hyperlink("https://skutracker.sierrawireless.local/projects/1595", "1595")</f>
        <v>1595</v>
      </c>
      <c r="L468" s="168" t="str">
        <f>hyperlink("https://agile.sierrawireless.com/Agile/PLMServlet?action=OpenEmailObject&amp;classid=0&amp;objid=-1", "ECO-016776")</f>
        <v>ECO-016776</v>
      </c>
      <c r="M468" s="30" t="s">
        <v>7880</v>
      </c>
      <c r="N468" s="30" t="s">
        <v>8170</v>
      </c>
    </row>
    <row r="469">
      <c r="A469" s="168" t="str">
        <f>hyperlink("https://issues.sierrawireless.com/browse/OEMPRI-2130", "OEMPRI-2130")</f>
        <v>OEMPRI-2130</v>
      </c>
      <c r="B469" s="30" t="b">
        <v>1</v>
      </c>
      <c r="C469" s="30">
        <v>1102483.0</v>
      </c>
      <c r="D469" s="191">
        <v>9904375.0</v>
      </c>
      <c r="E469" s="30" t="s">
        <v>139</v>
      </c>
      <c r="F469" s="35">
        <v>42007.0</v>
      </c>
      <c r="G469" s="30" t="s">
        <v>92</v>
      </c>
      <c r="H469" s="30" t="s">
        <v>3407</v>
      </c>
      <c r="I469" s="30" t="s">
        <v>216</v>
      </c>
      <c r="J469" s="30" t="s">
        <v>216</v>
      </c>
      <c r="K469" s="168" t="str">
        <f>hyperlink("https://skutracker.sierrawireless.local/projects/1053", "1053")</f>
        <v>1053</v>
      </c>
      <c r="L469" s="168" t="str">
        <f>hyperlink("https://agile.sierrawireless.com/Agile/PLMServlet?action=OpenEmailObject&amp;classid=0&amp;objid=-1", "ECO-015442")</f>
        <v>ECO-015442</v>
      </c>
      <c r="M469" s="30" t="s">
        <v>8171</v>
      </c>
      <c r="N469" s="30" t="s">
        <v>7994</v>
      </c>
    </row>
    <row r="470">
      <c r="A470" s="168" t="str">
        <f>hyperlink("https://issues.sierrawireless.com/browse/OEMPRI-1998", "OEMPRI-1998")</f>
        <v>OEMPRI-1998</v>
      </c>
      <c r="B470" s="30" t="b">
        <v>1</v>
      </c>
      <c r="C470" s="30">
        <v>1102564.0</v>
      </c>
      <c r="D470" s="191">
        <v>9904649.0</v>
      </c>
      <c r="E470" s="30" t="s">
        <v>139</v>
      </c>
      <c r="F470" s="35">
        <v>42007.0</v>
      </c>
      <c r="G470" s="30" t="s">
        <v>92</v>
      </c>
      <c r="H470" s="30" t="s">
        <v>6171</v>
      </c>
      <c r="I470" s="30" t="s">
        <v>216</v>
      </c>
      <c r="J470" s="30" t="s">
        <v>216</v>
      </c>
      <c r="K470" s="168" t="str">
        <f>hyperlink("https://skutracker.sierrawireless.local/projects/1288", "1288")</f>
        <v>1288</v>
      </c>
      <c r="L470" s="168" t="str">
        <f>hyperlink("https://agile.sierrawireless.com/Agile/PLMServlet?action=OpenEmailObject&amp;classid=0&amp;objid=-1", "TDN-004895")</f>
        <v>TDN-004895</v>
      </c>
      <c r="M470" s="30" t="s">
        <v>7053</v>
      </c>
      <c r="N470" s="30" t="s">
        <v>8172</v>
      </c>
    </row>
    <row r="471">
      <c r="A471" s="168" t="str">
        <f>hyperlink("https://issues.sierrawireless.com/browse/OEMPRI-2034", "OEMPRI-2034")</f>
        <v>OEMPRI-2034</v>
      </c>
      <c r="B471" s="30" t="b">
        <v>1</v>
      </c>
      <c r="C471" s="30">
        <v>1102573.0</v>
      </c>
      <c r="D471" s="191" t="s">
        <v>92</v>
      </c>
      <c r="E471" s="30" t="s">
        <v>139</v>
      </c>
      <c r="F471" s="35">
        <v>42007.0</v>
      </c>
      <c r="G471" s="30" t="s">
        <v>92</v>
      </c>
      <c r="H471" s="30" t="s">
        <v>215</v>
      </c>
      <c r="I471" s="30" t="s">
        <v>177</v>
      </c>
      <c r="J471" s="30" t="s">
        <v>177</v>
      </c>
      <c r="K471" s="168" t="str">
        <f>hyperlink("https://skutracker.sierrawireless.local/projects/1358", "1358")</f>
        <v>1358</v>
      </c>
      <c r="L471" s="168" t="str">
        <f>hyperlink("https://agile.sierrawireless.com/Agile/PLMServlet?action=OpenEmailObject&amp;classid=0&amp;objid=-1", "ECO-016311")</f>
        <v>ECO-016311</v>
      </c>
      <c r="M471" s="30" t="s">
        <v>8010</v>
      </c>
      <c r="N471" s="30" t="s">
        <v>7350</v>
      </c>
    </row>
    <row r="472">
      <c r="A472" s="168" t="str">
        <f>hyperlink("https://issues.sierrawireless.com/browse/OEMPRI-2033", "OEMPRI-2033")</f>
        <v>OEMPRI-2033</v>
      </c>
      <c r="B472" s="30" t="b">
        <v>1</v>
      </c>
      <c r="C472" s="30">
        <v>1102572.0</v>
      </c>
      <c r="D472" s="191" t="s">
        <v>92</v>
      </c>
      <c r="E472" s="30" t="s">
        <v>139</v>
      </c>
      <c r="F472" s="35">
        <v>42007.0</v>
      </c>
      <c r="G472" s="30" t="s">
        <v>92</v>
      </c>
      <c r="H472" s="30" t="s">
        <v>215</v>
      </c>
      <c r="I472" s="30" t="s">
        <v>177</v>
      </c>
      <c r="J472" s="30" t="s">
        <v>177</v>
      </c>
      <c r="K472" s="168" t="str">
        <f>hyperlink("https://skutracker.sierrawireless.local/projects/1359", "1359")</f>
        <v>1359</v>
      </c>
      <c r="L472" s="168" t="str">
        <f>hyperlink("https://agile.sierrawireless.com/Agile/PLMServlet?action=OpenEmailObject&amp;classid=0&amp;objid=-1", "ECO-016534")</f>
        <v>ECO-016534</v>
      </c>
      <c r="M472" s="30" t="s">
        <v>7053</v>
      </c>
      <c r="N472" s="30" t="s">
        <v>7350</v>
      </c>
    </row>
    <row r="473">
      <c r="A473" s="168" t="str">
        <f>hyperlink("https://issues.sierrawireless.com/browse/OEMPRI-2035", "OEMPRI-2035")</f>
        <v>OEMPRI-2035</v>
      </c>
      <c r="B473" s="30" t="b">
        <v>1</v>
      </c>
      <c r="C473" s="30">
        <v>1102581.0</v>
      </c>
      <c r="D473" s="191" t="s">
        <v>92</v>
      </c>
      <c r="E473" s="30" t="s">
        <v>139</v>
      </c>
      <c r="F473" s="35">
        <v>42007.0</v>
      </c>
      <c r="G473" s="30" t="s">
        <v>92</v>
      </c>
      <c r="H473" s="30" t="s">
        <v>215</v>
      </c>
      <c r="I473" s="30" t="s">
        <v>177</v>
      </c>
      <c r="J473" s="30" t="s">
        <v>177</v>
      </c>
      <c r="K473" s="168" t="str">
        <f>hyperlink("https://skutracker.sierrawireless.local/projects/1360", "1360")</f>
        <v>1360</v>
      </c>
      <c r="L473" s="168" t="str">
        <f>hyperlink("https://agile.sierrawireless.com/Agile/PLMServlet?action=OpenEmailObject&amp;classid=0&amp;objid=-1", "ECO-016159")</f>
        <v>ECO-016159</v>
      </c>
      <c r="M473" s="30" t="s">
        <v>7605</v>
      </c>
      <c r="N473" s="30" t="s">
        <v>7350</v>
      </c>
    </row>
    <row r="474">
      <c r="A474" s="168" t="str">
        <f>hyperlink("https://issues.sierrawireless.com/browse/OEMPRI-2036", "OEMPRI-2036")</f>
        <v>OEMPRI-2036</v>
      </c>
      <c r="B474" s="30" t="b">
        <v>1</v>
      </c>
      <c r="C474" s="30">
        <v>1102583.0</v>
      </c>
      <c r="D474" s="191" t="s">
        <v>92</v>
      </c>
      <c r="E474" s="30" t="s">
        <v>139</v>
      </c>
      <c r="F474" s="35">
        <v>42007.0</v>
      </c>
      <c r="G474" s="30" t="s">
        <v>92</v>
      </c>
      <c r="H474" s="30" t="s">
        <v>215</v>
      </c>
      <c r="I474" s="30" t="s">
        <v>177</v>
      </c>
      <c r="J474" s="30" t="s">
        <v>177</v>
      </c>
      <c r="K474" s="168" t="str">
        <f>hyperlink("https://skutracker.sierrawireless.local/projects/1363", "1363")</f>
        <v>1363</v>
      </c>
      <c r="L474" s="168" t="str">
        <f>hyperlink("https://agile.sierrawireless.com/Agile/PLMServlet?action=OpenEmailObject&amp;classid=0&amp;objid=-1", "ECO-016161")</f>
        <v>ECO-016161</v>
      </c>
      <c r="M474" s="30" t="s">
        <v>7620</v>
      </c>
      <c r="N474" s="30" t="s">
        <v>7311</v>
      </c>
    </row>
    <row r="475">
      <c r="A475" s="168" t="str">
        <f>hyperlink("https://issues.sierrawireless.com/browse/OEMPRI-2038", "OEMPRI-2038")</f>
        <v>OEMPRI-2038</v>
      </c>
      <c r="B475" s="30" t="b">
        <v>1</v>
      </c>
      <c r="C475" s="30">
        <v>1102297.0</v>
      </c>
      <c r="D475" s="191" t="s">
        <v>92</v>
      </c>
      <c r="E475" s="30" t="s">
        <v>139</v>
      </c>
      <c r="F475" s="35">
        <v>42007.0</v>
      </c>
      <c r="G475" s="30" t="s">
        <v>92</v>
      </c>
      <c r="H475" s="30" t="s">
        <v>215</v>
      </c>
      <c r="I475" s="30" t="s">
        <v>177</v>
      </c>
      <c r="J475" s="30" t="s">
        <v>177</v>
      </c>
      <c r="K475" s="168" t="str">
        <f>hyperlink("https://skutracker.sierrawireless.local/projects/1370", "1370")</f>
        <v>1370</v>
      </c>
      <c r="L475" s="168" t="str">
        <f>hyperlink("https://agile.sierrawireless.com/Agile/PLMServlet?action=OpenEmailObject&amp;classid=0&amp;objid=-1", "ECO-016164")</f>
        <v>ECO-016164</v>
      </c>
      <c r="M475" s="30" t="s">
        <v>7545</v>
      </c>
      <c r="N475" s="30" t="s">
        <v>8199</v>
      </c>
    </row>
    <row r="476">
      <c r="A476" s="168" t="str">
        <f>hyperlink("https://issues.sierrawireless.com/browse/OEMPRI-2039", "OEMPRI-2039")</f>
        <v>OEMPRI-2039</v>
      </c>
      <c r="B476" s="30" t="b">
        <v>1</v>
      </c>
      <c r="C476" s="30">
        <v>1102585.0</v>
      </c>
      <c r="D476" s="191">
        <v>9904630.0</v>
      </c>
      <c r="E476" s="30" t="s">
        <v>139</v>
      </c>
      <c r="F476" s="35">
        <v>42007.0</v>
      </c>
      <c r="G476" s="30" t="s">
        <v>92</v>
      </c>
      <c r="H476" s="30" t="s">
        <v>215</v>
      </c>
      <c r="I476" s="30" t="s">
        <v>177</v>
      </c>
      <c r="J476" s="30" t="s">
        <v>177</v>
      </c>
      <c r="K476" s="168" t="str">
        <f>hyperlink("https://skutracker.sierrawireless.local/projects/1371", "1371")</f>
        <v>1371</v>
      </c>
      <c r="L476" s="168" t="str">
        <f>hyperlink("https://agile.sierrawireless.com/Agile/PLMServlet?action=OpenEmailObject&amp;classid=0&amp;objid=-1", "ECO-016165")</f>
        <v>ECO-016165</v>
      </c>
      <c r="M476" s="30" t="s">
        <v>7620</v>
      </c>
      <c r="N476" s="30" t="s">
        <v>7350</v>
      </c>
    </row>
    <row r="477">
      <c r="A477" s="168" t="str">
        <f>hyperlink("https://issues.sierrawireless.com/browse/OEMPRI-2102", "OEMPRI-2102")</f>
        <v>OEMPRI-2102</v>
      </c>
      <c r="B477" s="30" t="b">
        <v>1</v>
      </c>
      <c r="C477" s="30">
        <v>1102471.0</v>
      </c>
      <c r="D477" s="191">
        <v>9904332.0</v>
      </c>
      <c r="E477" s="30" t="s">
        <v>139</v>
      </c>
      <c r="F477" s="35">
        <v>42006.0</v>
      </c>
      <c r="G477" s="30" t="s">
        <v>92</v>
      </c>
      <c r="H477" s="30" t="s">
        <v>3685</v>
      </c>
      <c r="I477" s="30" t="s">
        <v>216</v>
      </c>
      <c r="J477" s="30" t="s">
        <v>216</v>
      </c>
      <c r="K477" s="168" t="str">
        <f>hyperlink("https://skutracker.sierrawireless.local/projects/1004", "1004")</f>
        <v>1004</v>
      </c>
      <c r="L477" s="168" t="str">
        <f>hyperlink("https://agile.sierrawireless.com/Agile/PLMServlet?action=OpenEmailObject&amp;classid=0&amp;objid=-1", "ECO-015461")</f>
        <v>ECO-015461</v>
      </c>
      <c r="M477" s="30" t="s">
        <v>7053</v>
      </c>
      <c r="N477" s="30" t="s">
        <v>8214</v>
      </c>
    </row>
    <row r="478">
      <c r="A478" s="168" t="str">
        <f>hyperlink("https://issues.sierrawireless.com/browse/OEMPRI-1999", "OEMPRI-1999")</f>
        <v>OEMPRI-1999</v>
      </c>
      <c r="B478" s="30" t="b">
        <v>1</v>
      </c>
      <c r="C478" s="30">
        <v>1102616.0</v>
      </c>
      <c r="D478" s="191" t="s">
        <v>92</v>
      </c>
      <c r="E478" s="30" t="s">
        <v>139</v>
      </c>
      <c r="F478" s="35">
        <v>42006.0</v>
      </c>
      <c r="G478" s="30" t="s">
        <v>92</v>
      </c>
      <c r="H478" s="30" t="s">
        <v>723</v>
      </c>
      <c r="I478" s="30" t="s">
        <v>177</v>
      </c>
      <c r="J478" s="30" t="s">
        <v>177</v>
      </c>
      <c r="K478" s="168" t="str">
        <f>hyperlink("https://skutracker.sierrawireless.local/projects/1489", "1489")</f>
        <v>1489</v>
      </c>
      <c r="L478" s="168" t="str">
        <f>hyperlink("https://agile.sierrawireless.com/Agile/PLMServlet?action=OpenEmailObject&amp;classid=0&amp;objid=-1", "ECO-016396")</f>
        <v>ECO-016396</v>
      </c>
      <c r="M478" s="30" t="s">
        <v>7053</v>
      </c>
      <c r="N478" s="30" t="s">
        <v>8215</v>
      </c>
    </row>
    <row r="479">
      <c r="A479" s="168" t="str">
        <f>hyperlink("https://issues.sierrawireless.com/browse/OEMPRI-1938", "OEMPRI-1938")</f>
        <v>OEMPRI-1938</v>
      </c>
      <c r="B479" s="30" t="b">
        <v>1</v>
      </c>
      <c r="C479" s="30">
        <v>1102599.0</v>
      </c>
      <c r="D479" s="191" t="s">
        <v>92</v>
      </c>
      <c r="E479" s="30" t="s">
        <v>139</v>
      </c>
      <c r="F479" s="35">
        <v>42005.0</v>
      </c>
      <c r="G479" s="30" t="s">
        <v>92</v>
      </c>
      <c r="H479" s="30" t="s">
        <v>1399</v>
      </c>
      <c r="I479" s="30" t="s">
        <v>1400</v>
      </c>
      <c r="J479" s="30" t="s">
        <v>1400</v>
      </c>
      <c r="K479" s="168" t="str">
        <f>hyperlink("https://skutracker.sierrawireless.local/projects/1663", "1663")</f>
        <v>1663</v>
      </c>
      <c r="L479" s="168" t="str">
        <f>hyperlink("https://agile.sierrawireless.com/Agile/PLMServlet?action=OpenEmailObject&amp;classid=0&amp;objid=-1", "TDN-005155")</f>
        <v>TDN-005155</v>
      </c>
      <c r="M479" s="30" t="s">
        <v>7631</v>
      </c>
      <c r="N479" s="30" t="s">
        <v>8216</v>
      </c>
    </row>
    <row r="480">
      <c r="A480" s="168" t="str">
        <f>hyperlink("https://issues.sierrawireless.com/browse/OEMPRI-1848", "OEMPRI-1848")</f>
        <v>OEMPRI-1848</v>
      </c>
      <c r="B480" s="30" t="b">
        <v>1</v>
      </c>
      <c r="C480" s="30">
        <v>1102754.0</v>
      </c>
      <c r="D480" s="191" t="s">
        <v>7656</v>
      </c>
      <c r="E480" s="30" t="s">
        <v>139</v>
      </c>
      <c r="F480" s="35">
        <v>42005.0</v>
      </c>
      <c r="G480" s="30" t="s">
        <v>92</v>
      </c>
      <c r="H480" s="30" t="s">
        <v>2596</v>
      </c>
      <c r="I480" s="30" t="s">
        <v>244</v>
      </c>
      <c r="J480" s="30" t="s">
        <v>244</v>
      </c>
      <c r="K480" s="168" t="str">
        <f>hyperlink("https://skutracker.sierrawireless.local/projects/2097", "2097")</f>
        <v>2097</v>
      </c>
      <c r="L480" s="168" t="str">
        <f>hyperlink("https://agile.sierrawireless.com/Agile/PLMServlet?action=OpenEmailObject&amp;classid=6000&amp;objid=7885841", "ECO-017368")</f>
        <v>ECO-017368</v>
      </c>
      <c r="M480" s="30" t="s">
        <v>7654</v>
      </c>
      <c r="N480" s="30" t="s">
        <v>8217</v>
      </c>
    </row>
    <row r="481">
      <c r="A481" s="168" t="str">
        <f>hyperlink("https://issues.sierrawireless.com/browse/OEMPRI-1849", "OEMPRI-1849")</f>
        <v>OEMPRI-1849</v>
      </c>
      <c r="B481" s="30" t="b">
        <v>1</v>
      </c>
      <c r="C481" s="30">
        <v>1102755.0</v>
      </c>
      <c r="D481" s="191" t="s">
        <v>7695</v>
      </c>
      <c r="E481" s="30" t="s">
        <v>139</v>
      </c>
      <c r="F481" s="35">
        <v>42005.0</v>
      </c>
      <c r="G481" s="30" t="s">
        <v>92</v>
      </c>
      <c r="H481" s="30" t="s">
        <v>2596</v>
      </c>
      <c r="I481" s="30" t="s">
        <v>244</v>
      </c>
      <c r="J481" s="30" t="s">
        <v>244</v>
      </c>
      <c r="K481" s="168" t="str">
        <f>hyperlink("https://skutracker.sierrawireless.local/projects/2098", "2098")</f>
        <v>2098</v>
      </c>
      <c r="L481" s="168" t="str">
        <f>hyperlink("https://agile.sierrawireless.com/Agile/PLMServlet?action=OpenEmailObject&amp;classid=6000&amp;objid=7880226", "ECO-017369")</f>
        <v>ECO-017369</v>
      </c>
      <c r="M481" s="30" t="s">
        <v>7658</v>
      </c>
      <c r="N481" s="30" t="s">
        <v>8217</v>
      </c>
    </row>
  </sheetData>
  <autoFilter ref="$A$2:$AB$481"/>
  <conditionalFormatting sqref="A1:AB481">
    <cfRule type="expression" dxfId="0" priority="1">
      <formula>$E1= "Closed"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86"/>
    <col customWidth="1" min="4" max="4" width="47.43"/>
  </cols>
  <sheetData>
    <row r="1">
      <c r="A1" s="194" t="s">
        <v>7165</v>
      </c>
    </row>
    <row r="2">
      <c r="A2" s="195" t="s">
        <v>7170</v>
      </c>
      <c r="B2" s="195" t="s">
        <v>7173</v>
      </c>
      <c r="C2" s="195" t="s">
        <v>7174</v>
      </c>
      <c r="D2" s="195" t="s">
        <v>7175</v>
      </c>
    </row>
    <row r="3" ht="81.0" customHeight="1">
      <c r="A3" s="196">
        <v>1.0</v>
      </c>
      <c r="B3" s="49" t="s">
        <v>7178</v>
      </c>
      <c r="C3" s="49">
        <v>15.0</v>
      </c>
      <c r="D3" s="49"/>
    </row>
    <row r="4" ht="76.5" customHeight="1">
      <c r="A4" s="196">
        <v>2.0</v>
      </c>
      <c r="B4" s="49" t="s">
        <v>7179</v>
      </c>
      <c r="C4" s="49">
        <v>15.0</v>
      </c>
      <c r="D4" s="53"/>
    </row>
    <row r="5" ht="69.75" customHeight="1">
      <c r="A5" s="196">
        <v>3.0</v>
      </c>
      <c r="B5" s="49" t="s">
        <v>7180</v>
      </c>
      <c r="C5" s="49">
        <v>15.0</v>
      </c>
      <c r="D5" s="49">
        <v>1.0</v>
      </c>
    </row>
    <row r="6" ht="75.0" customHeight="1">
      <c r="A6" s="196">
        <v>4.0</v>
      </c>
      <c r="B6" s="49" t="s">
        <v>7181</v>
      </c>
      <c r="C6" s="49">
        <v>30.0</v>
      </c>
      <c r="D6" s="53"/>
    </row>
    <row r="7" ht="90.0" customHeight="1">
      <c r="A7" s="196">
        <v>5.0</v>
      </c>
      <c r="B7" s="49" t="s">
        <v>7182</v>
      </c>
      <c r="C7" s="49">
        <v>25.0</v>
      </c>
      <c r="D7" s="49" t="s">
        <v>7183</v>
      </c>
    </row>
  </sheetData>
  <mergeCells count="1">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0"/>
    <col customWidth="1" min="2" max="2" width="17.71"/>
    <col customWidth="1" min="3" max="3" width="77.14"/>
    <col customWidth="1" min="4" max="4" width="16.57"/>
    <col customWidth="1" min="5" max="5" width="10.71"/>
    <col customWidth="1" min="6" max="6" width="12.0"/>
    <col customWidth="1" min="7" max="7" width="14.86"/>
    <col customWidth="1" min="8" max="8" width="15.14"/>
    <col customWidth="1" min="9" max="9" width="28.57"/>
  </cols>
  <sheetData>
    <row r="1">
      <c r="A1" s="197" t="s">
        <v>7207</v>
      </c>
      <c r="B1" s="197" t="s">
        <v>7212</v>
      </c>
      <c r="C1" s="197" t="s">
        <v>7175</v>
      </c>
      <c r="D1" s="197" t="s">
        <v>7214</v>
      </c>
      <c r="E1" s="197" t="s">
        <v>7215</v>
      </c>
      <c r="F1" s="197" t="s">
        <v>7216</v>
      </c>
      <c r="G1" s="197" t="s">
        <v>7217</v>
      </c>
      <c r="H1" s="197" t="s">
        <v>7218</v>
      </c>
      <c r="I1" s="197" t="s">
        <v>7219</v>
      </c>
    </row>
    <row r="2">
      <c r="A2" s="2" t="s">
        <v>7220</v>
      </c>
      <c r="B2" s="2" t="s">
        <v>7220</v>
      </c>
      <c r="C2" s="2" t="s">
        <v>7222</v>
      </c>
      <c r="D2" s="2" t="s">
        <v>139</v>
      </c>
    </row>
    <row r="3" hidden="1">
      <c r="A3" s="2" t="s">
        <v>7223</v>
      </c>
      <c r="B3" s="2" t="s">
        <v>7224</v>
      </c>
      <c r="C3" s="2" t="s">
        <v>7225</v>
      </c>
      <c r="D3" s="2" t="s">
        <v>277</v>
      </c>
      <c r="E3" s="2" t="s">
        <v>7226</v>
      </c>
      <c r="F3" s="2" t="s">
        <v>7227</v>
      </c>
      <c r="G3" s="181">
        <v>43166.0</v>
      </c>
      <c r="H3" s="181">
        <v>43167.0</v>
      </c>
    </row>
    <row r="4" hidden="1">
      <c r="A4" s="2" t="s">
        <v>7223</v>
      </c>
      <c r="B4" s="2" t="s">
        <v>7229</v>
      </c>
      <c r="C4" s="2" t="s">
        <v>7230</v>
      </c>
      <c r="D4" s="2" t="s">
        <v>139</v>
      </c>
      <c r="E4" s="2" t="s">
        <v>7226</v>
      </c>
      <c r="F4" s="2" t="s">
        <v>7231</v>
      </c>
      <c r="G4" s="181">
        <v>43166.0</v>
      </c>
      <c r="H4" s="181">
        <v>43167.0</v>
      </c>
    </row>
    <row r="5" hidden="1">
      <c r="A5" s="2" t="s">
        <v>7223</v>
      </c>
      <c r="B5" s="2" t="s">
        <v>7229</v>
      </c>
      <c r="C5" s="2" t="s">
        <v>7232</v>
      </c>
      <c r="D5" s="2" t="s">
        <v>139</v>
      </c>
      <c r="E5" s="2" t="s">
        <v>7226</v>
      </c>
      <c r="F5" s="2" t="s">
        <v>7231</v>
      </c>
      <c r="G5" s="181">
        <v>43160.0</v>
      </c>
      <c r="H5" s="181">
        <v>43161.0</v>
      </c>
    </row>
    <row r="6" hidden="1">
      <c r="A6" s="198" t="s">
        <v>7233</v>
      </c>
      <c r="B6" s="198" t="s">
        <v>7235</v>
      </c>
      <c r="C6" s="198" t="s">
        <v>7236</v>
      </c>
      <c r="D6" s="198" t="s">
        <v>139</v>
      </c>
      <c r="E6" s="198" t="s">
        <v>153</v>
      </c>
      <c r="F6" s="179"/>
      <c r="G6" s="177">
        <v>43159.0</v>
      </c>
      <c r="H6" s="179"/>
      <c r="I6" s="198" t="s">
        <v>7238</v>
      </c>
      <c r="J6" s="179"/>
      <c r="K6" s="179"/>
      <c r="L6" s="179"/>
      <c r="M6" s="179"/>
      <c r="N6" s="179"/>
      <c r="O6" s="179"/>
      <c r="P6" s="179"/>
      <c r="Q6" s="179"/>
      <c r="R6" s="179"/>
      <c r="S6" s="179"/>
      <c r="T6" s="179"/>
      <c r="U6" s="179"/>
      <c r="V6" s="179"/>
      <c r="W6" s="179"/>
      <c r="X6" s="179"/>
      <c r="Y6" s="179"/>
      <c r="Z6" s="179"/>
    </row>
    <row r="7" hidden="1">
      <c r="A7" s="2" t="s">
        <v>605</v>
      </c>
      <c r="B7" s="2" t="s">
        <v>7239</v>
      </c>
      <c r="C7" s="2" t="s">
        <v>7240</v>
      </c>
      <c r="D7" s="2" t="s">
        <v>86</v>
      </c>
      <c r="E7" s="2" t="s">
        <v>310</v>
      </c>
      <c r="G7" s="35">
        <v>43157.0</v>
      </c>
    </row>
    <row r="8" hidden="1">
      <c r="A8" s="2" t="s">
        <v>7241</v>
      </c>
      <c r="B8" s="2" t="s">
        <v>7239</v>
      </c>
      <c r="C8" s="2" t="s">
        <v>7243</v>
      </c>
      <c r="D8" s="2" t="s">
        <v>139</v>
      </c>
      <c r="E8" s="2" t="s">
        <v>153</v>
      </c>
      <c r="G8" s="35">
        <v>43140.0</v>
      </c>
    </row>
    <row r="9" hidden="1">
      <c r="A9" s="2" t="s">
        <v>7245</v>
      </c>
      <c r="B9" s="2" t="s">
        <v>7239</v>
      </c>
      <c r="C9" s="2" t="s">
        <v>7246</v>
      </c>
      <c r="D9" s="2" t="s">
        <v>139</v>
      </c>
      <c r="E9" s="2" t="s">
        <v>7247</v>
      </c>
      <c r="G9" s="35">
        <v>43138.0</v>
      </c>
    </row>
    <row r="10" hidden="1">
      <c r="A10" s="2" t="s">
        <v>605</v>
      </c>
      <c r="B10" s="2" t="s">
        <v>7248</v>
      </c>
      <c r="C10" s="2" t="s">
        <v>7249</v>
      </c>
      <c r="D10" s="2" t="s">
        <v>139</v>
      </c>
      <c r="E10" s="2" t="s">
        <v>7250</v>
      </c>
      <c r="F10" s="2" t="s">
        <v>7226</v>
      </c>
      <c r="G10" s="181">
        <v>43132.0</v>
      </c>
    </row>
    <row r="11" hidden="1">
      <c r="A11" s="2" t="s">
        <v>7252</v>
      </c>
      <c r="B11" s="2" t="s">
        <v>7253</v>
      </c>
      <c r="C11" s="2" t="s">
        <v>7254</v>
      </c>
      <c r="D11" s="2" t="s">
        <v>86</v>
      </c>
      <c r="E11" s="2" t="s">
        <v>7226</v>
      </c>
      <c r="F11" s="2" t="s">
        <v>7255</v>
      </c>
      <c r="G11" s="181">
        <v>43132.0</v>
      </c>
    </row>
    <row r="12" hidden="1">
      <c r="A12" s="2" t="s">
        <v>7245</v>
      </c>
      <c r="B12" s="2" t="s">
        <v>7229</v>
      </c>
      <c r="C12" s="2" t="s">
        <v>7256</v>
      </c>
      <c r="D12" s="2" t="s">
        <v>86</v>
      </c>
      <c r="E12" s="2" t="s">
        <v>7250</v>
      </c>
      <c r="G12" s="181">
        <v>43132.0</v>
      </c>
    </row>
    <row r="13" hidden="1">
      <c r="A13" s="2" t="s">
        <v>7245</v>
      </c>
      <c r="B13" s="2" t="s">
        <v>7258</v>
      </c>
      <c r="C13" s="2" t="s">
        <v>7259</v>
      </c>
      <c r="D13" s="2" t="s">
        <v>86</v>
      </c>
      <c r="E13" s="2" t="s">
        <v>7250</v>
      </c>
      <c r="G13" s="199">
        <v>43132.0</v>
      </c>
    </row>
    <row r="14" hidden="1">
      <c r="A14" s="2" t="s">
        <v>7252</v>
      </c>
      <c r="B14" s="2" t="s">
        <v>7253</v>
      </c>
      <c r="C14" s="2" t="s">
        <v>7260</v>
      </c>
      <c r="D14" s="2" t="s">
        <v>139</v>
      </c>
      <c r="E14" s="2" t="s">
        <v>7226</v>
      </c>
      <c r="F14" s="2" t="s">
        <v>7255</v>
      </c>
      <c r="G14" s="181">
        <v>43123.0</v>
      </c>
    </row>
    <row r="15" hidden="1">
      <c r="A15" s="2" t="s">
        <v>7241</v>
      </c>
      <c r="B15" s="2" t="s">
        <v>7261</v>
      </c>
      <c r="C15" s="2" t="s">
        <v>7262</v>
      </c>
      <c r="D15" s="2" t="s">
        <v>139</v>
      </c>
      <c r="E15" s="2" t="s">
        <v>7263</v>
      </c>
      <c r="F15" s="2" t="s">
        <v>7264</v>
      </c>
      <c r="G15" s="181">
        <v>43112.0</v>
      </c>
      <c r="H15" s="181">
        <v>43112.0</v>
      </c>
    </row>
    <row r="16" ht="32.25" customHeight="1">
      <c r="A16" s="2" t="s">
        <v>7252</v>
      </c>
      <c r="B16" s="2" t="s">
        <v>7239</v>
      </c>
      <c r="C16" s="2" t="s">
        <v>7265</v>
      </c>
      <c r="D16" s="2" t="s">
        <v>139</v>
      </c>
      <c r="E16" s="2" t="s">
        <v>7266</v>
      </c>
      <c r="F16" s="2" t="s">
        <v>7255</v>
      </c>
      <c r="G16" s="181">
        <v>43110.0</v>
      </c>
      <c r="H16" s="181">
        <v>43111.0</v>
      </c>
    </row>
    <row r="17" ht="120.75" customHeight="1">
      <c r="A17" s="2" t="s">
        <v>7252</v>
      </c>
      <c r="B17" s="2" t="s">
        <v>7267</v>
      </c>
      <c r="C17" s="2" t="s">
        <v>7268</v>
      </c>
      <c r="D17" s="2" t="s">
        <v>139</v>
      </c>
      <c r="E17" s="2" t="s">
        <v>7266</v>
      </c>
      <c r="F17" s="2" t="s">
        <v>7255</v>
      </c>
      <c r="G17" s="181">
        <v>43105.0</v>
      </c>
      <c r="H17" s="181">
        <v>43105.0</v>
      </c>
    </row>
    <row r="18">
      <c r="A18" s="2" t="s">
        <v>7252</v>
      </c>
      <c r="B18" s="2" t="s">
        <v>7239</v>
      </c>
      <c r="C18" s="2" t="s">
        <v>7269</v>
      </c>
      <c r="D18" s="2" t="s">
        <v>139</v>
      </c>
      <c r="E18" s="2" t="s">
        <v>7266</v>
      </c>
      <c r="F18" s="2" t="s">
        <v>7255</v>
      </c>
      <c r="G18" s="181">
        <v>43098.0</v>
      </c>
      <c r="H18" s="181">
        <v>43108.0</v>
      </c>
    </row>
    <row r="19" ht="29.25" customHeight="1">
      <c r="A19" s="2" t="s">
        <v>7271</v>
      </c>
      <c r="B19" s="2" t="s">
        <v>7229</v>
      </c>
      <c r="C19" s="200" t="s">
        <v>7272</v>
      </c>
      <c r="D19" s="2" t="s">
        <v>86</v>
      </c>
      <c r="E19" s="2" t="s">
        <v>120</v>
      </c>
      <c r="G19" s="43">
        <v>43185.0</v>
      </c>
    </row>
    <row r="20">
      <c r="A20" s="2" t="s">
        <v>7273</v>
      </c>
      <c r="B20" s="2" t="s">
        <v>160</v>
      </c>
      <c r="C20" s="2" t="s">
        <v>7274</v>
      </c>
      <c r="D20" s="2" t="s">
        <v>86</v>
      </c>
      <c r="E20" s="2" t="s">
        <v>30</v>
      </c>
      <c r="G20" s="43">
        <v>43214.0</v>
      </c>
    </row>
  </sheetData>
  <autoFilter ref="$A$2:$Z$15">
    <filterColumn colId="1">
      <filters>
        <filter val="ALL"/>
      </filters>
    </filterColumn>
    <filterColumn colId="3">
      <filters>
        <filter val="In Progress"/>
        <filter val="Open"/>
      </filters>
    </filterColumn>
  </autoFilter>
  <conditionalFormatting sqref="A1:Z1002">
    <cfRule type="expression" dxfId="0" priority="1">
      <formula>$D1= "Closed"</formula>
    </cfRule>
  </conditionalFormatting>
  <dataValidations>
    <dataValidation type="list" allowBlank="1" sqref="B1:B1002">
      <formula1>"ALL,AR7552,AR7582,AR7582-1,AR7584,AR7586,AR8582,AR7592,AR7592-1,AR7594,AR7596,AR7598,SLxx,MCxx,AR758x,AR759x,AR758x/AR759x,other"</formula1>
    </dataValidation>
    <dataValidation type="list" allowBlank="1" sqref="A1:A1002">
      <formula1>"spkg,test,env,tool,jobfile,other,MFT,FW,PM/SPM"</formula1>
    </dataValidation>
    <dataValidation type="list" allowBlank="1" sqref="D1:D1002">
      <formula1>"Open,Closed,In Progress"</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1.86"/>
    <col customWidth="1" min="2" max="2" width="10.14"/>
    <col customWidth="1" min="3" max="3" width="11.57"/>
    <col customWidth="1" min="4" max="4" width="10.14"/>
    <col customWidth="1" min="5" max="5" width="9.86"/>
    <col customWidth="1" min="6" max="6" width="9.0"/>
    <col customWidth="1" min="7" max="7" width="9.86"/>
    <col customWidth="1" min="8" max="8" width="23.86"/>
    <col customWidth="1" min="9" max="9" width="17.43"/>
    <col customWidth="1" min="11" max="11" width="11.0"/>
    <col customWidth="1" min="12" max="12" width="12.14"/>
    <col customWidth="1" min="13" max="13" width="11.57"/>
    <col customWidth="1" min="14" max="14" width="10.29"/>
    <col customWidth="1" min="15" max="15" width="9.86"/>
    <col customWidth="1" min="16" max="16" width="10.29"/>
    <col customWidth="1" min="17" max="17" width="9.86"/>
    <col customWidth="1" min="18" max="18" width="24.0"/>
    <col customWidth="1" min="19" max="19" width="11.71"/>
  </cols>
  <sheetData>
    <row r="1">
      <c r="A1" s="203" t="s">
        <v>7460</v>
      </c>
      <c r="B1" s="204"/>
      <c r="C1" s="205"/>
      <c r="D1" s="205"/>
      <c r="E1" s="205"/>
      <c r="F1" s="205"/>
      <c r="G1" s="205"/>
      <c r="H1" s="205"/>
      <c r="I1" s="205"/>
      <c r="J1" s="206"/>
      <c r="K1" s="207" t="s">
        <v>7463</v>
      </c>
      <c r="L1" s="204"/>
      <c r="M1" s="205"/>
      <c r="N1" s="205"/>
      <c r="O1" s="205"/>
      <c r="P1" s="205"/>
      <c r="Q1" s="205"/>
      <c r="R1" s="205"/>
      <c r="S1" s="205"/>
      <c r="T1" s="206"/>
      <c r="U1" s="206"/>
    </row>
    <row r="2">
      <c r="A2" s="203" t="s">
        <v>7465</v>
      </c>
      <c r="B2" s="203" t="s">
        <v>7467</v>
      </c>
      <c r="C2" s="203" t="s">
        <v>7468</v>
      </c>
      <c r="D2" s="203" t="s">
        <v>7469</v>
      </c>
      <c r="E2" s="203" t="s">
        <v>7470</v>
      </c>
      <c r="F2" s="203" t="s">
        <v>7471</v>
      </c>
      <c r="G2" s="203" t="s">
        <v>7472</v>
      </c>
      <c r="H2" s="203" t="s">
        <v>7473</v>
      </c>
      <c r="I2" s="203" t="s">
        <v>7474</v>
      </c>
      <c r="J2" s="208"/>
      <c r="K2" s="203" t="s">
        <v>7465</v>
      </c>
      <c r="L2" s="203" t="s">
        <v>7467</v>
      </c>
      <c r="M2" s="203" t="s">
        <v>7468</v>
      </c>
      <c r="N2" s="203" t="s">
        <v>7469</v>
      </c>
      <c r="O2" s="203" t="s">
        <v>7470</v>
      </c>
      <c r="P2" s="203" t="s">
        <v>7471</v>
      </c>
      <c r="Q2" s="203" t="s">
        <v>7472</v>
      </c>
      <c r="R2" s="203" t="s">
        <v>7473</v>
      </c>
      <c r="S2" s="203" t="s">
        <v>7474</v>
      </c>
      <c r="T2" s="206"/>
      <c r="U2" s="206"/>
    </row>
    <row r="3">
      <c r="A3" s="209" t="s">
        <v>7476</v>
      </c>
      <c r="B3" s="209" t="s">
        <v>7479</v>
      </c>
      <c r="C3" s="209">
        <v>1.01103367E8</v>
      </c>
      <c r="D3" s="209">
        <v>1103367.0</v>
      </c>
      <c r="E3" s="209">
        <v>9906982.0</v>
      </c>
      <c r="F3" s="209" t="s">
        <v>7480</v>
      </c>
      <c r="G3" s="209" t="s">
        <v>7066</v>
      </c>
      <c r="H3" s="210" t="s">
        <v>7481</v>
      </c>
      <c r="I3" s="209" t="s">
        <v>7482</v>
      </c>
      <c r="J3" s="208"/>
      <c r="K3" s="211" t="s">
        <v>7483</v>
      </c>
      <c r="L3" s="212" t="s">
        <v>7484</v>
      </c>
      <c r="M3" s="213">
        <v>1.01103102E8</v>
      </c>
      <c r="N3" s="214">
        <v>1103102.0</v>
      </c>
      <c r="O3" s="214">
        <v>9906297.0</v>
      </c>
      <c r="P3" s="212" t="s">
        <v>7487</v>
      </c>
      <c r="Q3" s="212" t="s">
        <v>7053</v>
      </c>
      <c r="R3" s="212" t="s">
        <v>7488</v>
      </c>
      <c r="S3" s="212" t="s">
        <v>7482</v>
      </c>
      <c r="T3" s="206"/>
      <c r="U3" s="206"/>
    </row>
    <row r="4">
      <c r="A4" s="215"/>
      <c r="B4" s="209" t="s">
        <v>7479</v>
      </c>
      <c r="C4" s="209">
        <v>1.01103373E8</v>
      </c>
      <c r="D4" s="209">
        <v>1103373.0</v>
      </c>
      <c r="E4" s="209">
        <v>9906988.0</v>
      </c>
      <c r="F4" s="209" t="s">
        <v>7239</v>
      </c>
      <c r="G4" s="209" t="s">
        <v>7053</v>
      </c>
      <c r="H4" s="210" t="s">
        <v>7481</v>
      </c>
      <c r="I4" s="209" t="s">
        <v>7482</v>
      </c>
      <c r="J4" s="208"/>
      <c r="K4" s="211" t="s">
        <v>7483</v>
      </c>
      <c r="L4" s="212" t="s">
        <v>7484</v>
      </c>
      <c r="M4" s="216">
        <v>1.0110321E8</v>
      </c>
      <c r="N4" s="217">
        <v>1103210.0</v>
      </c>
      <c r="O4" s="214">
        <v>9906623.0</v>
      </c>
      <c r="P4" s="212" t="s">
        <v>7493</v>
      </c>
      <c r="Q4" s="212" t="s">
        <v>7066</v>
      </c>
      <c r="R4" s="212" t="s">
        <v>7494</v>
      </c>
      <c r="S4" s="212" t="s">
        <v>7482</v>
      </c>
      <c r="T4" s="206"/>
      <c r="U4" s="206"/>
    </row>
    <row r="5">
      <c r="A5" s="209" t="s">
        <v>7496</v>
      </c>
      <c r="B5" s="209" t="s">
        <v>7479</v>
      </c>
      <c r="C5" s="218">
        <v>1.01103379E8</v>
      </c>
      <c r="D5" s="209">
        <v>1103379.0</v>
      </c>
      <c r="E5" s="209">
        <v>9907000.0</v>
      </c>
      <c r="F5" s="209" t="s">
        <v>7239</v>
      </c>
      <c r="G5" s="209" t="s">
        <v>7306</v>
      </c>
      <c r="H5" s="209" t="s">
        <v>7498</v>
      </c>
      <c r="I5" s="209" t="s">
        <v>7482</v>
      </c>
      <c r="J5" s="208"/>
      <c r="K5" s="219" t="s">
        <v>7499</v>
      </c>
      <c r="L5" s="220" t="s">
        <v>7501</v>
      </c>
      <c r="M5" s="216">
        <v>1.0110321E8</v>
      </c>
      <c r="N5" s="221">
        <v>1103992.0</v>
      </c>
      <c r="O5" s="222">
        <v>9908132.0</v>
      </c>
      <c r="P5" s="223" t="s">
        <v>7493</v>
      </c>
      <c r="Q5" s="220" t="s">
        <v>7066</v>
      </c>
      <c r="R5" s="223" t="s">
        <v>7494</v>
      </c>
      <c r="S5" s="220" t="s">
        <v>7482</v>
      </c>
      <c r="T5" s="206"/>
      <c r="U5" s="206"/>
    </row>
    <row r="6">
      <c r="A6" s="209" t="s">
        <v>7504</v>
      </c>
      <c r="B6" s="209" t="s">
        <v>7505</v>
      </c>
      <c r="C6" s="218">
        <v>1.01103379E8</v>
      </c>
      <c r="D6" s="209">
        <v>1103830.0</v>
      </c>
      <c r="E6" s="215"/>
      <c r="F6" s="209" t="s">
        <v>7239</v>
      </c>
      <c r="G6" s="209" t="s">
        <v>7306</v>
      </c>
      <c r="H6" s="209" t="s">
        <v>7498</v>
      </c>
      <c r="I6" s="209" t="s">
        <v>7482</v>
      </c>
      <c r="J6" s="208"/>
      <c r="K6" s="211" t="s">
        <v>7483</v>
      </c>
      <c r="L6" s="212" t="s">
        <v>7484</v>
      </c>
      <c r="M6" s="224">
        <v>1.01103049E8</v>
      </c>
      <c r="N6" s="214">
        <v>1103049.0</v>
      </c>
      <c r="O6" s="214">
        <v>9906093.0</v>
      </c>
      <c r="P6" s="212" t="s">
        <v>7261</v>
      </c>
      <c r="Q6" s="212" t="s">
        <v>7053</v>
      </c>
      <c r="R6" s="212" t="s">
        <v>7507</v>
      </c>
      <c r="S6" s="212" t="s">
        <v>7482</v>
      </c>
      <c r="T6" s="206"/>
      <c r="U6" s="206"/>
    </row>
    <row r="7">
      <c r="A7" s="225" t="s">
        <v>7508</v>
      </c>
      <c r="B7" s="225" t="s">
        <v>7510</v>
      </c>
      <c r="C7" s="226">
        <v>1.01103963E8</v>
      </c>
      <c r="D7" s="225">
        <v>1103963.0</v>
      </c>
      <c r="E7" s="225">
        <v>9908155.0</v>
      </c>
      <c r="F7" s="225" t="s">
        <v>7239</v>
      </c>
      <c r="G7" s="225" t="s">
        <v>7099</v>
      </c>
      <c r="H7" s="225" t="s">
        <v>7498</v>
      </c>
      <c r="I7" s="225" t="s">
        <v>7482</v>
      </c>
      <c r="J7" s="208"/>
      <c r="K7" s="211" t="s">
        <v>7483</v>
      </c>
      <c r="L7" s="212" t="s">
        <v>7484</v>
      </c>
      <c r="M7" s="216">
        <v>1.01103204E8</v>
      </c>
      <c r="N7" s="217">
        <v>1103204.0</v>
      </c>
      <c r="O7" s="214">
        <v>9906619.0</v>
      </c>
      <c r="P7" s="212" t="s">
        <v>7261</v>
      </c>
      <c r="Q7" s="212" t="s">
        <v>7066</v>
      </c>
      <c r="R7" s="212" t="s">
        <v>7514</v>
      </c>
      <c r="S7" s="212" t="s">
        <v>7482</v>
      </c>
      <c r="T7" s="206"/>
      <c r="U7" s="206"/>
    </row>
    <row r="8">
      <c r="A8" s="225" t="s">
        <v>7508</v>
      </c>
      <c r="B8" s="225" t="s">
        <v>7510</v>
      </c>
      <c r="C8" s="226">
        <v>1.01103963E8</v>
      </c>
      <c r="D8" s="225">
        <v>1104152.0</v>
      </c>
      <c r="E8" s="225">
        <v>9908590.0</v>
      </c>
      <c r="F8" s="225" t="s">
        <v>7239</v>
      </c>
      <c r="G8" s="225" t="s">
        <v>7099</v>
      </c>
      <c r="H8" s="225" t="s">
        <v>7498</v>
      </c>
      <c r="I8" s="225" t="s">
        <v>7482</v>
      </c>
      <c r="J8" s="208"/>
      <c r="K8" s="219" t="s">
        <v>7499</v>
      </c>
      <c r="L8" s="220" t="s">
        <v>7501</v>
      </c>
      <c r="M8" s="216">
        <v>1.01103204E8</v>
      </c>
      <c r="N8" s="221">
        <v>1103993.0</v>
      </c>
      <c r="O8" s="222">
        <v>9908133.0</v>
      </c>
      <c r="P8" s="220" t="s">
        <v>7261</v>
      </c>
      <c r="Q8" s="220" t="s">
        <v>7066</v>
      </c>
      <c r="R8" s="220" t="s">
        <v>7514</v>
      </c>
      <c r="S8" s="220" t="s">
        <v>7482</v>
      </c>
      <c r="T8" s="206"/>
      <c r="U8" s="206"/>
    </row>
    <row r="9">
      <c r="A9" s="209" t="s">
        <v>7476</v>
      </c>
      <c r="B9" s="209" t="s">
        <v>7479</v>
      </c>
      <c r="C9" s="209">
        <v>1.01103151E8</v>
      </c>
      <c r="D9" s="209">
        <v>1103151.0</v>
      </c>
      <c r="E9" s="209">
        <v>9906435.0</v>
      </c>
      <c r="F9" s="209" t="s">
        <v>7235</v>
      </c>
      <c r="G9" s="209" t="s">
        <v>7066</v>
      </c>
      <c r="H9" s="209" t="s">
        <v>7515</v>
      </c>
      <c r="I9" s="209" t="s">
        <v>7482</v>
      </c>
      <c r="J9" s="208"/>
      <c r="K9" s="211" t="s">
        <v>7483</v>
      </c>
      <c r="L9" s="212" t="s">
        <v>7484</v>
      </c>
      <c r="M9" s="224">
        <v>1.01103097E8</v>
      </c>
      <c r="N9" s="214">
        <v>1103097.0</v>
      </c>
      <c r="O9" s="214">
        <v>9906295.0</v>
      </c>
      <c r="P9" s="212" t="s">
        <v>7516</v>
      </c>
      <c r="Q9" s="212" t="s">
        <v>7053</v>
      </c>
      <c r="R9" s="212" t="s">
        <v>7517</v>
      </c>
      <c r="S9" s="212" t="s">
        <v>7482</v>
      </c>
      <c r="T9" s="206"/>
      <c r="U9" s="206"/>
    </row>
    <row r="10">
      <c r="A10" s="209" t="s">
        <v>7518</v>
      </c>
      <c r="B10" s="209" t="s">
        <v>7479</v>
      </c>
      <c r="C10" s="209">
        <v>1.01103368E8</v>
      </c>
      <c r="D10" s="209">
        <v>1103368.0</v>
      </c>
      <c r="E10" s="209">
        <v>9906983.0</v>
      </c>
      <c r="F10" s="209" t="s">
        <v>7235</v>
      </c>
      <c r="G10" s="209" t="s">
        <v>7099</v>
      </c>
      <c r="H10" s="209" t="s">
        <v>7519</v>
      </c>
      <c r="I10" s="209" t="s">
        <v>7482</v>
      </c>
      <c r="J10" s="208"/>
      <c r="K10" s="211" t="s">
        <v>7483</v>
      </c>
      <c r="L10" s="212" t="s">
        <v>7484</v>
      </c>
      <c r="M10" s="216">
        <v>1.01103207E8</v>
      </c>
      <c r="N10" s="217">
        <v>1103207.0</v>
      </c>
      <c r="O10" s="214">
        <v>9906620.0</v>
      </c>
      <c r="P10" s="212" t="s">
        <v>7516</v>
      </c>
      <c r="Q10" s="212" t="s">
        <v>7066</v>
      </c>
      <c r="R10" s="212" t="s">
        <v>7521</v>
      </c>
      <c r="S10" s="212" t="s">
        <v>7482</v>
      </c>
      <c r="T10" s="206"/>
      <c r="U10" s="206"/>
    </row>
    <row r="11">
      <c r="A11" s="225" t="s">
        <v>7508</v>
      </c>
      <c r="B11" s="225" t="s">
        <v>7510</v>
      </c>
      <c r="C11" s="226">
        <v>1.01103964E8</v>
      </c>
      <c r="D11" s="225">
        <v>1103964.0</v>
      </c>
      <c r="E11" s="225">
        <v>9908156.0</v>
      </c>
      <c r="F11" s="225" t="s">
        <v>7235</v>
      </c>
      <c r="G11" s="225" t="s">
        <v>7099</v>
      </c>
      <c r="H11" s="225" t="s">
        <v>7519</v>
      </c>
      <c r="I11" s="225" t="s">
        <v>7482</v>
      </c>
      <c r="J11" s="208"/>
      <c r="K11" s="219" t="s">
        <v>7499</v>
      </c>
      <c r="L11" s="220" t="s">
        <v>7501</v>
      </c>
      <c r="M11" s="216">
        <v>1.01103207E8</v>
      </c>
      <c r="N11" s="221">
        <v>1103996.0</v>
      </c>
      <c r="O11" s="222">
        <v>9908136.0</v>
      </c>
      <c r="P11" s="220" t="s">
        <v>7516</v>
      </c>
      <c r="Q11" s="220" t="s">
        <v>7066</v>
      </c>
      <c r="R11" s="220" t="s">
        <v>7521</v>
      </c>
      <c r="S11" s="220" t="s">
        <v>7482</v>
      </c>
      <c r="T11" s="206"/>
      <c r="U11" s="206"/>
    </row>
    <row r="12">
      <c r="A12" s="225" t="s">
        <v>7508</v>
      </c>
      <c r="B12" s="225" t="s">
        <v>7510</v>
      </c>
      <c r="C12" s="226">
        <v>1.01103964E8</v>
      </c>
      <c r="D12" s="225">
        <v>1104153.0</v>
      </c>
      <c r="E12" s="225">
        <v>9908591.0</v>
      </c>
      <c r="F12" s="225" t="s">
        <v>7235</v>
      </c>
      <c r="G12" s="225" t="s">
        <v>7099</v>
      </c>
      <c r="H12" s="225" t="s">
        <v>7519</v>
      </c>
      <c r="I12" s="225" t="s">
        <v>7482</v>
      </c>
      <c r="J12" s="208"/>
      <c r="K12" s="211" t="s">
        <v>7483</v>
      </c>
      <c r="L12" s="212" t="s">
        <v>7484</v>
      </c>
      <c r="M12" s="216">
        <v>1.01103211E8</v>
      </c>
      <c r="N12" s="217">
        <v>1103211.0</v>
      </c>
      <c r="O12" s="214">
        <v>9906625.0</v>
      </c>
      <c r="P12" s="212" t="s">
        <v>7523</v>
      </c>
      <c r="Q12" s="212" t="s">
        <v>7066</v>
      </c>
      <c r="R12" s="212" t="s">
        <v>7524</v>
      </c>
      <c r="S12" s="212" t="s">
        <v>7482</v>
      </c>
      <c r="T12" s="206"/>
      <c r="U12" s="206"/>
    </row>
    <row r="13">
      <c r="A13" s="215"/>
      <c r="B13" s="209" t="s">
        <v>7479</v>
      </c>
      <c r="C13" s="218">
        <v>1.01103378E8</v>
      </c>
      <c r="D13" s="209">
        <v>1103372.0</v>
      </c>
      <c r="E13" s="209">
        <v>9906987.0</v>
      </c>
      <c r="F13" s="209" t="s">
        <v>7235</v>
      </c>
      <c r="G13" s="209" t="s">
        <v>7053</v>
      </c>
      <c r="H13" s="209" t="s">
        <v>7519</v>
      </c>
      <c r="I13" s="209" t="s">
        <v>7482</v>
      </c>
      <c r="J13" s="208"/>
      <c r="K13" s="219" t="s">
        <v>7499</v>
      </c>
      <c r="L13" s="220" t="s">
        <v>7501</v>
      </c>
      <c r="M13" s="216">
        <v>1.01103211E8</v>
      </c>
      <c r="N13" s="221">
        <v>1103997.0</v>
      </c>
      <c r="O13" s="222">
        <v>9908317.0</v>
      </c>
      <c r="P13" s="220" t="s">
        <v>7523</v>
      </c>
      <c r="Q13" s="220" t="s">
        <v>7066</v>
      </c>
      <c r="R13" s="220" t="s">
        <v>7524</v>
      </c>
      <c r="S13" s="220" t="s">
        <v>7482</v>
      </c>
      <c r="T13" s="206"/>
      <c r="U13" s="206"/>
    </row>
    <row r="14">
      <c r="A14" s="209" t="s">
        <v>7496</v>
      </c>
      <c r="B14" s="209" t="s">
        <v>7479</v>
      </c>
      <c r="C14" s="218">
        <v>1.01103378E8</v>
      </c>
      <c r="D14" s="209">
        <v>1103378.0</v>
      </c>
      <c r="E14" s="209">
        <v>9906998.0</v>
      </c>
      <c r="F14" s="209" t="s">
        <v>7235</v>
      </c>
      <c r="G14" s="209" t="s">
        <v>7306</v>
      </c>
      <c r="H14" s="209" t="s">
        <v>7519</v>
      </c>
      <c r="I14" s="209" t="s">
        <v>7482</v>
      </c>
      <c r="J14" s="208"/>
      <c r="K14" s="211" t="s">
        <v>7483</v>
      </c>
      <c r="L14" s="212" t="s">
        <v>7484</v>
      </c>
      <c r="M14" s="224">
        <v>1.01103415E8</v>
      </c>
      <c r="N14" s="214">
        <v>1103415.0</v>
      </c>
      <c r="O14" s="214">
        <v>9906995.0</v>
      </c>
      <c r="P14" s="212" t="s">
        <v>7523</v>
      </c>
      <c r="Q14" s="212" t="s">
        <v>7053</v>
      </c>
      <c r="R14" s="212" t="s">
        <v>7525</v>
      </c>
      <c r="S14" s="212" t="s">
        <v>7482</v>
      </c>
      <c r="T14" s="206"/>
      <c r="U14" s="206"/>
    </row>
    <row r="15">
      <c r="A15" s="209" t="s">
        <v>7504</v>
      </c>
      <c r="B15" s="209" t="s">
        <v>7505</v>
      </c>
      <c r="C15" s="218">
        <v>1.01103378E8</v>
      </c>
      <c r="D15" s="209">
        <v>1103831.0</v>
      </c>
      <c r="E15" s="209">
        <v>9907853.0</v>
      </c>
      <c r="F15" s="209" t="s">
        <v>7235</v>
      </c>
      <c r="G15" s="209" t="s">
        <v>7306</v>
      </c>
      <c r="H15" s="209" t="s">
        <v>7519</v>
      </c>
      <c r="I15" s="209" t="s">
        <v>7482</v>
      </c>
      <c r="J15" s="208"/>
      <c r="K15" s="227"/>
      <c r="L15" s="228"/>
      <c r="M15" s="229"/>
      <c r="N15" s="214" t="s">
        <v>7529</v>
      </c>
      <c r="O15" s="214">
        <v>9906444.0</v>
      </c>
      <c r="P15" s="212" t="s">
        <v>7493</v>
      </c>
      <c r="Q15" s="212" t="s">
        <v>7530</v>
      </c>
      <c r="R15" s="212" t="s">
        <v>7488</v>
      </c>
      <c r="S15" s="212" t="s">
        <v>7482</v>
      </c>
      <c r="T15" s="206"/>
      <c r="U15" s="206"/>
    </row>
    <row r="16">
      <c r="A16" s="209" t="s">
        <v>7476</v>
      </c>
      <c r="B16" s="209" t="s">
        <v>7479</v>
      </c>
      <c r="C16" s="230">
        <v>1.01103223E8</v>
      </c>
      <c r="D16" s="209">
        <v>1103223.0</v>
      </c>
      <c r="E16" s="209">
        <v>9906693.0</v>
      </c>
      <c r="F16" s="209" t="s">
        <v>7267</v>
      </c>
      <c r="G16" s="209" t="s">
        <v>7066</v>
      </c>
      <c r="H16" s="210" t="s">
        <v>7532</v>
      </c>
      <c r="I16" s="209" t="s">
        <v>7482</v>
      </c>
      <c r="J16" s="208"/>
      <c r="K16" s="231"/>
      <c r="L16" s="232"/>
      <c r="M16" s="233"/>
      <c r="N16" s="214" t="s">
        <v>7529</v>
      </c>
      <c r="O16" s="214">
        <v>9907852.0</v>
      </c>
      <c r="P16" s="212" t="s">
        <v>7493</v>
      </c>
      <c r="Q16" s="212" t="s">
        <v>7535</v>
      </c>
      <c r="R16" s="212" t="s">
        <v>7536</v>
      </c>
      <c r="S16" s="212" t="s">
        <v>7482</v>
      </c>
      <c r="T16" s="206"/>
      <c r="U16" s="206"/>
    </row>
    <row r="17">
      <c r="A17" s="209" t="s">
        <v>7496</v>
      </c>
      <c r="B17" s="209" t="s">
        <v>7479</v>
      </c>
      <c r="C17" s="218">
        <v>1.01103359E8</v>
      </c>
      <c r="D17" s="209">
        <v>1103359.0</v>
      </c>
      <c r="E17" s="209">
        <v>9906968.0</v>
      </c>
      <c r="F17" s="209" t="s">
        <v>7267</v>
      </c>
      <c r="G17" s="209" t="s">
        <v>7306</v>
      </c>
      <c r="H17" s="209" t="s">
        <v>7537</v>
      </c>
      <c r="I17" s="209" t="s">
        <v>7482</v>
      </c>
      <c r="J17" s="208"/>
      <c r="K17" s="231"/>
      <c r="L17" s="232"/>
      <c r="M17" s="233"/>
      <c r="N17" s="214" t="s">
        <v>7529</v>
      </c>
      <c r="O17" s="214">
        <v>9906909.0</v>
      </c>
      <c r="P17" s="212" t="s">
        <v>7261</v>
      </c>
      <c r="Q17" s="212" t="s">
        <v>7538</v>
      </c>
      <c r="R17" s="212" t="s">
        <v>7539</v>
      </c>
      <c r="S17" s="212" t="s">
        <v>7482</v>
      </c>
      <c r="T17" s="206"/>
      <c r="U17" s="206"/>
    </row>
    <row r="18">
      <c r="A18" s="209" t="s">
        <v>7504</v>
      </c>
      <c r="B18" s="209" t="s">
        <v>7505</v>
      </c>
      <c r="C18" s="218">
        <v>1.01103359E8</v>
      </c>
      <c r="D18" s="209">
        <v>1103832.0</v>
      </c>
      <c r="E18" s="215"/>
      <c r="F18" s="209" t="s">
        <v>7267</v>
      </c>
      <c r="G18" s="209" t="s">
        <v>7306</v>
      </c>
      <c r="H18" s="209" t="s">
        <v>7537</v>
      </c>
      <c r="I18" s="209" t="s">
        <v>7482</v>
      </c>
      <c r="J18" s="208"/>
      <c r="K18" s="231"/>
      <c r="L18" s="232"/>
      <c r="M18" s="233"/>
      <c r="N18" s="214" t="s">
        <v>7529</v>
      </c>
      <c r="O18" s="214">
        <v>9906446.0</v>
      </c>
      <c r="P18" s="212" t="s">
        <v>7261</v>
      </c>
      <c r="Q18" s="212" t="s">
        <v>7541</v>
      </c>
      <c r="R18" s="212" t="s">
        <v>7542</v>
      </c>
      <c r="S18" s="212" t="s">
        <v>7482</v>
      </c>
      <c r="T18" s="206"/>
      <c r="U18" s="206"/>
    </row>
    <row r="19">
      <c r="A19" s="215"/>
      <c r="B19" s="209" t="s">
        <v>7479</v>
      </c>
      <c r="C19" s="218">
        <v>1.01103362E8</v>
      </c>
      <c r="D19" s="209">
        <v>1103362.0</v>
      </c>
      <c r="E19" s="209">
        <v>9906977.0</v>
      </c>
      <c r="F19" s="209" t="s">
        <v>7267</v>
      </c>
      <c r="G19" s="209" t="s">
        <v>7393</v>
      </c>
      <c r="H19" s="209" t="s">
        <v>7543</v>
      </c>
      <c r="I19" s="209" t="s">
        <v>7482</v>
      </c>
      <c r="J19" s="208"/>
      <c r="K19" s="231"/>
      <c r="L19" s="232"/>
      <c r="M19" s="233"/>
      <c r="N19" s="214" t="s">
        <v>7529</v>
      </c>
      <c r="O19" s="214">
        <v>9907024.0</v>
      </c>
      <c r="P19" s="212" t="s">
        <v>7523</v>
      </c>
      <c r="Q19" s="212" t="s">
        <v>7545</v>
      </c>
      <c r="R19" s="212" t="s">
        <v>7546</v>
      </c>
      <c r="S19" s="212" t="s">
        <v>7482</v>
      </c>
      <c r="T19" s="206"/>
      <c r="U19" s="206"/>
    </row>
    <row r="20">
      <c r="A20" s="215"/>
      <c r="B20" s="209" t="s">
        <v>7479</v>
      </c>
      <c r="C20" s="218">
        <v>1.01103362E8</v>
      </c>
      <c r="D20" s="209">
        <v>1104059.0</v>
      </c>
      <c r="E20" s="209">
        <v>9908316.0</v>
      </c>
      <c r="F20" s="209" t="s">
        <v>7267</v>
      </c>
      <c r="G20" s="209" t="s">
        <v>7393</v>
      </c>
      <c r="H20" s="209" t="s">
        <v>7543</v>
      </c>
      <c r="I20" s="209" t="s">
        <v>7482</v>
      </c>
      <c r="J20" s="208"/>
      <c r="K20" s="231"/>
      <c r="L20" s="232"/>
      <c r="M20" s="233"/>
      <c r="N20" s="214" t="s">
        <v>7529</v>
      </c>
      <c r="O20" s="214">
        <v>9908452.0</v>
      </c>
      <c r="P20" s="212" t="s">
        <v>7523</v>
      </c>
      <c r="Q20" s="212" t="s">
        <v>7547</v>
      </c>
      <c r="R20" s="212" t="s">
        <v>7548</v>
      </c>
      <c r="S20" s="212" t="s">
        <v>7482</v>
      </c>
      <c r="T20" s="206"/>
      <c r="U20" s="206"/>
    </row>
    <row r="21">
      <c r="A21" s="209" t="s">
        <v>7518</v>
      </c>
      <c r="B21" s="209" t="s">
        <v>7479</v>
      </c>
      <c r="C21" s="209">
        <v>1.01103371E8</v>
      </c>
      <c r="D21" s="209">
        <v>1103371.0</v>
      </c>
      <c r="E21" s="209">
        <v>9906986.0</v>
      </c>
      <c r="F21" s="209" t="s">
        <v>7267</v>
      </c>
      <c r="G21" s="209" t="s">
        <v>7099</v>
      </c>
      <c r="H21" s="209" t="s">
        <v>7543</v>
      </c>
      <c r="I21" s="209" t="s">
        <v>7482</v>
      </c>
      <c r="J21" s="208"/>
      <c r="K21" s="234"/>
      <c r="L21" s="235"/>
      <c r="M21" s="233"/>
      <c r="N21" s="214" t="s">
        <v>7529</v>
      </c>
      <c r="O21" s="214">
        <v>9907653.0</v>
      </c>
      <c r="P21" s="212" t="s">
        <v>7493</v>
      </c>
      <c r="Q21" s="212" t="s">
        <v>7551</v>
      </c>
      <c r="R21" s="212" t="s">
        <v>7552</v>
      </c>
      <c r="S21" s="212" t="s">
        <v>7482</v>
      </c>
      <c r="T21" s="206"/>
      <c r="U21" s="206"/>
    </row>
    <row r="22">
      <c r="A22" s="225" t="s">
        <v>7508</v>
      </c>
      <c r="B22" s="225" t="s">
        <v>7510</v>
      </c>
      <c r="C22" s="226">
        <v>1.01103965E8</v>
      </c>
      <c r="D22" s="225">
        <v>1103965.0</v>
      </c>
      <c r="E22" s="225">
        <v>9908157.0</v>
      </c>
      <c r="F22" s="225" t="s">
        <v>7267</v>
      </c>
      <c r="G22" s="225" t="s">
        <v>7099</v>
      </c>
      <c r="H22" s="225" t="s">
        <v>7543</v>
      </c>
      <c r="I22" s="225" t="s">
        <v>7482</v>
      </c>
      <c r="J22" s="208"/>
      <c r="K22" s="234"/>
      <c r="L22" s="235"/>
      <c r="M22" s="233"/>
      <c r="N22" s="214" t="s">
        <v>7529</v>
      </c>
      <c r="O22" s="214">
        <v>9906910.0</v>
      </c>
      <c r="P22" s="212" t="s">
        <v>7261</v>
      </c>
      <c r="Q22" s="212" t="s">
        <v>7078</v>
      </c>
      <c r="R22" s="212" t="s">
        <v>7507</v>
      </c>
      <c r="S22" s="212" t="s">
        <v>7482</v>
      </c>
      <c r="T22" s="206"/>
      <c r="U22" s="206"/>
    </row>
    <row r="23">
      <c r="A23" s="225" t="s">
        <v>7508</v>
      </c>
      <c r="B23" s="225" t="s">
        <v>7510</v>
      </c>
      <c r="C23" s="226">
        <v>1.01103965E8</v>
      </c>
      <c r="D23" s="225">
        <v>1104154.0</v>
      </c>
      <c r="E23" s="225">
        <v>9908592.0</v>
      </c>
      <c r="F23" s="225" t="s">
        <v>7267</v>
      </c>
      <c r="G23" s="225" t="s">
        <v>7099</v>
      </c>
      <c r="H23" s="225" t="s">
        <v>7543</v>
      </c>
      <c r="I23" s="225" t="s">
        <v>7482</v>
      </c>
      <c r="J23" s="208"/>
      <c r="K23" s="234"/>
      <c r="L23" s="235"/>
      <c r="M23" s="236"/>
      <c r="N23" s="214">
        <v>9101001.0</v>
      </c>
      <c r="O23" s="214" t="s">
        <v>7529</v>
      </c>
      <c r="P23" s="212" t="s">
        <v>176</v>
      </c>
      <c r="Q23" s="212" t="s">
        <v>7554</v>
      </c>
      <c r="R23" s="212" t="s">
        <v>7555</v>
      </c>
      <c r="S23" s="212" t="s">
        <v>7556</v>
      </c>
      <c r="T23" s="206"/>
      <c r="U23" s="206"/>
    </row>
    <row r="24">
      <c r="A24" s="209" t="s">
        <v>7496</v>
      </c>
      <c r="B24" s="209" t="s">
        <v>7479</v>
      </c>
      <c r="C24" s="209">
        <v>1.0110336E8</v>
      </c>
      <c r="D24" s="209">
        <v>1103360.0</v>
      </c>
      <c r="E24" s="209">
        <v>9906969.0</v>
      </c>
      <c r="F24" s="209" t="s">
        <v>7557</v>
      </c>
      <c r="G24" s="209" t="s">
        <v>7306</v>
      </c>
      <c r="H24" s="209" t="s">
        <v>7558</v>
      </c>
      <c r="I24" s="209" t="s">
        <v>7482</v>
      </c>
      <c r="J24" s="208"/>
      <c r="K24" s="234"/>
      <c r="L24" s="235"/>
      <c r="M24" s="236"/>
      <c r="N24" s="214">
        <v>5101000.0</v>
      </c>
      <c r="O24" s="214" t="s">
        <v>7529</v>
      </c>
      <c r="P24" s="212" t="s">
        <v>176</v>
      </c>
      <c r="Q24" s="212" t="s">
        <v>7559</v>
      </c>
      <c r="R24" s="212" t="s">
        <v>7560</v>
      </c>
      <c r="S24" s="212" t="s">
        <v>7556</v>
      </c>
      <c r="T24" s="206"/>
      <c r="U24" s="206"/>
    </row>
    <row r="25">
      <c r="A25" s="225" t="s">
        <v>7508</v>
      </c>
      <c r="B25" s="225" t="s">
        <v>7510</v>
      </c>
      <c r="C25" s="225">
        <v>1.01103966E8</v>
      </c>
      <c r="D25" s="225">
        <v>1103966.0</v>
      </c>
      <c r="E25" s="225">
        <v>9908158.0</v>
      </c>
      <c r="F25" s="225" t="s">
        <v>7557</v>
      </c>
      <c r="G25" s="225" t="s">
        <v>7099</v>
      </c>
      <c r="H25" s="237"/>
      <c r="I25" s="225" t="s">
        <v>7482</v>
      </c>
      <c r="J25" s="208"/>
      <c r="K25" s="206"/>
      <c r="L25" s="206"/>
      <c r="M25" s="206"/>
      <c r="N25" s="206"/>
      <c r="O25" s="206"/>
      <c r="P25" s="206"/>
      <c r="Q25" s="206"/>
      <c r="R25" s="206"/>
      <c r="S25" s="206"/>
      <c r="T25" s="206"/>
      <c r="U25" s="206"/>
    </row>
    <row r="26">
      <c r="A26" s="209" t="s">
        <v>7476</v>
      </c>
      <c r="B26" s="209" t="s">
        <v>7479</v>
      </c>
      <c r="C26" s="209">
        <v>1.01103494E8</v>
      </c>
      <c r="D26" s="209">
        <v>1103494.0</v>
      </c>
      <c r="E26" s="209">
        <v>9907253.0</v>
      </c>
      <c r="F26" s="209" t="s">
        <v>7557</v>
      </c>
      <c r="G26" s="209" t="s">
        <v>7066</v>
      </c>
      <c r="H26" s="209" t="s">
        <v>7563</v>
      </c>
      <c r="I26" s="209" t="s">
        <v>7482</v>
      </c>
      <c r="J26" s="208"/>
      <c r="K26" s="206"/>
      <c r="L26" s="206"/>
      <c r="M26" s="206"/>
      <c r="N26" s="206"/>
      <c r="O26" s="206"/>
      <c r="P26" s="206"/>
      <c r="Q26" s="206"/>
      <c r="R26" s="206"/>
      <c r="S26" s="206"/>
      <c r="T26" s="206"/>
      <c r="U26" s="206"/>
    </row>
    <row r="27">
      <c r="A27" s="209" t="s">
        <v>7496</v>
      </c>
      <c r="B27" s="209" t="s">
        <v>7479</v>
      </c>
      <c r="C27" s="209">
        <v>1.01103361E8</v>
      </c>
      <c r="D27" s="209">
        <v>1103361.0</v>
      </c>
      <c r="E27" s="209">
        <v>9906970.0</v>
      </c>
      <c r="F27" s="209" t="s">
        <v>7565</v>
      </c>
      <c r="G27" s="209" t="s">
        <v>7306</v>
      </c>
      <c r="H27" s="209" t="s">
        <v>7563</v>
      </c>
      <c r="I27" s="209" t="s">
        <v>7482</v>
      </c>
      <c r="J27" s="206"/>
      <c r="K27" s="206"/>
      <c r="L27" s="206"/>
      <c r="M27" s="206"/>
      <c r="N27" s="206"/>
      <c r="O27" s="206"/>
      <c r="P27" s="206"/>
      <c r="Q27" s="206"/>
      <c r="R27" s="206"/>
      <c r="S27" s="206"/>
      <c r="T27" s="206"/>
      <c r="U27" s="206"/>
    </row>
    <row r="28">
      <c r="A28" s="209" t="s">
        <v>7518</v>
      </c>
      <c r="B28" s="209" t="s">
        <v>7479</v>
      </c>
      <c r="C28" s="209">
        <v>1103377.0</v>
      </c>
      <c r="D28" s="209">
        <v>1103377.0</v>
      </c>
      <c r="E28" s="209">
        <v>9906994.0</v>
      </c>
      <c r="F28" s="209" t="s">
        <v>7565</v>
      </c>
      <c r="G28" s="209" t="s">
        <v>7099</v>
      </c>
      <c r="H28" s="209" t="s">
        <v>7566</v>
      </c>
      <c r="I28" s="209" t="s">
        <v>7482</v>
      </c>
      <c r="J28" s="206"/>
      <c r="K28" s="206"/>
      <c r="L28" s="206"/>
      <c r="M28" s="206"/>
      <c r="N28" s="206"/>
      <c r="O28" s="206"/>
      <c r="P28" s="206"/>
      <c r="Q28" s="206"/>
      <c r="R28" s="206"/>
      <c r="S28" s="206"/>
      <c r="T28" s="206"/>
      <c r="U28" s="206"/>
    </row>
    <row r="29">
      <c r="A29" s="225" t="s">
        <v>7508</v>
      </c>
      <c r="B29" s="225" t="s">
        <v>7510</v>
      </c>
      <c r="C29" s="225">
        <v>1.01103998E8</v>
      </c>
      <c r="D29" s="225">
        <v>1103998.0</v>
      </c>
      <c r="E29" s="225">
        <v>9908146.0</v>
      </c>
      <c r="F29" s="225" t="s">
        <v>7565</v>
      </c>
      <c r="G29" s="225" t="s">
        <v>7099</v>
      </c>
      <c r="H29" s="225" t="s">
        <v>7566</v>
      </c>
      <c r="I29" s="225" t="s">
        <v>7482</v>
      </c>
      <c r="J29" s="206"/>
      <c r="K29" s="206"/>
      <c r="L29" s="206"/>
      <c r="M29" s="206"/>
      <c r="N29" s="206"/>
      <c r="O29" s="206"/>
      <c r="P29" s="206"/>
      <c r="Q29" s="206"/>
      <c r="R29" s="206"/>
      <c r="S29" s="206"/>
      <c r="T29" s="206"/>
      <c r="U29" s="206"/>
    </row>
    <row r="30">
      <c r="A30" s="215"/>
      <c r="B30" s="215"/>
      <c r="C30" s="215"/>
      <c r="D30" s="210" t="s">
        <v>7529</v>
      </c>
      <c r="E30" s="209">
        <v>9906552.0</v>
      </c>
      <c r="F30" s="209" t="s">
        <v>7267</v>
      </c>
      <c r="G30" s="209" t="s">
        <v>7568</v>
      </c>
      <c r="H30" s="209" t="s">
        <v>7537</v>
      </c>
      <c r="I30" s="209" t="s">
        <v>7482</v>
      </c>
      <c r="J30" s="206"/>
      <c r="K30" s="206"/>
      <c r="L30" s="206"/>
      <c r="M30" s="206"/>
      <c r="N30" s="206"/>
      <c r="O30" s="206"/>
      <c r="P30" s="206"/>
      <c r="Q30" s="206"/>
      <c r="R30" s="206"/>
      <c r="S30" s="206"/>
      <c r="T30" s="206"/>
      <c r="U30" s="206"/>
    </row>
    <row r="31">
      <c r="A31" s="215"/>
      <c r="B31" s="215"/>
      <c r="C31" s="215"/>
      <c r="D31" s="210" t="s">
        <v>7529</v>
      </c>
      <c r="E31" s="209">
        <v>9907718.0</v>
      </c>
      <c r="F31" s="209" t="s">
        <v>7267</v>
      </c>
      <c r="G31" s="209" t="s">
        <v>7569</v>
      </c>
      <c r="H31" s="209" t="s">
        <v>7543</v>
      </c>
      <c r="I31" s="209" t="s">
        <v>7482</v>
      </c>
      <c r="J31" s="206"/>
      <c r="K31" s="206"/>
      <c r="L31" s="206"/>
      <c r="M31" s="206"/>
      <c r="N31" s="206"/>
      <c r="O31" s="206"/>
      <c r="P31" s="206"/>
      <c r="Q31" s="206"/>
      <c r="R31" s="206"/>
      <c r="S31" s="206"/>
      <c r="T31" s="206"/>
      <c r="U31" s="206"/>
    </row>
    <row r="32">
      <c r="A32" s="215"/>
      <c r="B32" s="215"/>
      <c r="C32" s="215"/>
      <c r="D32" s="209">
        <v>9101001.0</v>
      </c>
      <c r="E32" s="209" t="s">
        <v>7529</v>
      </c>
      <c r="F32" s="209" t="s">
        <v>7235</v>
      </c>
      <c r="G32" s="209" t="s">
        <v>7554</v>
      </c>
      <c r="H32" s="209" t="s">
        <v>7572</v>
      </c>
      <c r="I32" s="209" t="s">
        <v>7556</v>
      </c>
      <c r="J32" s="206"/>
      <c r="K32" s="206"/>
      <c r="L32" s="206"/>
      <c r="M32" s="206"/>
      <c r="N32" s="206"/>
      <c r="O32" s="206"/>
      <c r="P32" s="206"/>
      <c r="Q32" s="206"/>
      <c r="R32" s="206"/>
      <c r="S32" s="206"/>
      <c r="T32" s="206"/>
      <c r="U32" s="206"/>
    </row>
    <row r="33">
      <c r="A33" s="215"/>
      <c r="B33" s="215"/>
      <c r="C33" s="215"/>
      <c r="D33" s="209">
        <v>9101001.0</v>
      </c>
      <c r="E33" s="209">
        <v>5502004.0</v>
      </c>
      <c r="F33" s="209" t="s">
        <v>7235</v>
      </c>
      <c r="G33" s="209" t="s">
        <v>7554</v>
      </c>
      <c r="H33" s="209" t="s">
        <v>7573</v>
      </c>
      <c r="I33" s="209" t="s">
        <v>7556</v>
      </c>
      <c r="J33" s="206"/>
      <c r="K33" s="206"/>
      <c r="L33" s="206"/>
      <c r="M33" s="206"/>
      <c r="N33" s="206"/>
      <c r="O33" s="206"/>
      <c r="P33" s="206"/>
      <c r="Q33" s="206"/>
      <c r="R33" s="206"/>
      <c r="S33" s="206"/>
      <c r="T33" s="206"/>
      <c r="U33" s="206"/>
    </row>
    <row r="34">
      <c r="A34" s="215"/>
      <c r="B34" s="215"/>
      <c r="C34" s="215"/>
      <c r="D34" s="209">
        <v>9101001.0</v>
      </c>
      <c r="E34" s="209">
        <v>5502007.0</v>
      </c>
      <c r="F34" s="209" t="s">
        <v>7235</v>
      </c>
      <c r="G34" s="209" t="s">
        <v>7554</v>
      </c>
      <c r="H34" s="209" t="s">
        <v>7576</v>
      </c>
      <c r="I34" s="209" t="s">
        <v>7556</v>
      </c>
      <c r="J34" s="206"/>
      <c r="K34" s="206"/>
      <c r="L34" s="206"/>
      <c r="M34" s="206"/>
      <c r="N34" s="206"/>
      <c r="O34" s="206"/>
      <c r="P34" s="206"/>
      <c r="Q34" s="206"/>
      <c r="R34" s="206"/>
      <c r="S34" s="206"/>
      <c r="T34" s="206"/>
      <c r="U34" s="206"/>
    </row>
    <row r="35">
      <c r="A35" s="238"/>
      <c r="B35" s="238"/>
      <c r="C35" s="215"/>
      <c r="D35" s="209">
        <v>9102002.0</v>
      </c>
      <c r="E35" s="209" t="s">
        <v>7529</v>
      </c>
      <c r="F35" s="209" t="s">
        <v>7565</v>
      </c>
      <c r="G35" s="209" t="s">
        <v>7554</v>
      </c>
      <c r="H35" s="209" t="s">
        <v>7580</v>
      </c>
      <c r="I35" s="209" t="s">
        <v>7556</v>
      </c>
      <c r="J35" s="206"/>
      <c r="K35" s="206"/>
      <c r="L35" s="206"/>
      <c r="M35" s="206"/>
      <c r="N35" s="206"/>
      <c r="O35" s="206"/>
      <c r="P35" s="206"/>
      <c r="Q35" s="206"/>
      <c r="R35" s="206"/>
      <c r="S35" s="206"/>
      <c r="T35" s="206"/>
      <c r="U35" s="206"/>
    </row>
    <row r="36">
      <c r="A36" s="238"/>
      <c r="B36" s="238"/>
      <c r="C36" s="215"/>
      <c r="D36" s="209">
        <v>9102001.0</v>
      </c>
      <c r="E36" s="209" t="s">
        <v>7529</v>
      </c>
      <c r="F36" s="209" t="s">
        <v>7239</v>
      </c>
      <c r="G36" s="209" t="s">
        <v>7582</v>
      </c>
      <c r="H36" s="209" t="s">
        <v>7583</v>
      </c>
      <c r="I36" s="209" t="s">
        <v>7556</v>
      </c>
      <c r="J36" s="206"/>
      <c r="K36" s="206"/>
      <c r="L36" s="206"/>
      <c r="M36" s="206"/>
      <c r="N36" s="206"/>
      <c r="O36" s="206"/>
      <c r="P36" s="206"/>
      <c r="Q36" s="206"/>
      <c r="R36" s="206"/>
      <c r="S36" s="206"/>
      <c r="T36" s="206"/>
      <c r="U36" s="206"/>
    </row>
    <row r="37">
      <c r="A37" s="238"/>
      <c r="B37" s="238"/>
      <c r="C37" s="215"/>
      <c r="D37" s="209">
        <v>9102008.0</v>
      </c>
      <c r="E37" s="209">
        <v>5502008.0</v>
      </c>
      <c r="F37" s="209" t="s">
        <v>7480</v>
      </c>
      <c r="G37" s="209" t="s">
        <v>7584</v>
      </c>
      <c r="H37" s="209" t="s">
        <v>7585</v>
      </c>
      <c r="I37" s="209" t="s">
        <v>7556</v>
      </c>
      <c r="J37" s="206"/>
      <c r="K37" s="206"/>
      <c r="L37" s="206"/>
      <c r="M37" s="206"/>
      <c r="N37" s="206"/>
      <c r="O37" s="206"/>
      <c r="P37" s="206"/>
      <c r="Q37" s="206"/>
      <c r="R37" s="206"/>
      <c r="S37" s="206"/>
      <c r="T37" s="206"/>
      <c r="U37" s="206"/>
    </row>
    <row r="38">
      <c r="A38" s="238"/>
      <c r="B38" s="238"/>
      <c r="C38" s="238"/>
      <c r="D38" s="209">
        <v>9102009.0</v>
      </c>
      <c r="E38" s="209">
        <v>5502009.0</v>
      </c>
      <c r="F38" s="209" t="s">
        <v>7480</v>
      </c>
      <c r="G38" s="209" t="s">
        <v>7535</v>
      </c>
      <c r="H38" s="209" t="s">
        <v>7588</v>
      </c>
      <c r="I38" s="209" t="s">
        <v>7556</v>
      </c>
      <c r="J38" s="206"/>
      <c r="K38" s="206"/>
      <c r="L38" s="206"/>
      <c r="M38" s="206"/>
      <c r="N38" s="206"/>
      <c r="O38" s="206"/>
      <c r="P38" s="206"/>
      <c r="Q38" s="206"/>
      <c r="R38" s="206"/>
      <c r="S38" s="206"/>
      <c r="T38" s="206"/>
      <c r="U38" s="206"/>
    </row>
    <row r="39">
      <c r="A39" s="238"/>
      <c r="B39" s="238"/>
      <c r="C39" s="238"/>
      <c r="D39" s="209">
        <v>9102010.0</v>
      </c>
      <c r="E39" s="209">
        <v>5502010.0</v>
      </c>
      <c r="F39" s="209" t="s">
        <v>7480</v>
      </c>
      <c r="G39" s="209" t="s">
        <v>7591</v>
      </c>
      <c r="H39" s="209" t="s">
        <v>7592</v>
      </c>
      <c r="I39" s="209" t="s">
        <v>7556</v>
      </c>
    </row>
    <row r="40">
      <c r="A40" s="238"/>
      <c r="B40" s="238"/>
      <c r="C40" s="238"/>
      <c r="D40" s="209">
        <v>9102010.0</v>
      </c>
      <c r="E40" s="209">
        <v>5502010.0</v>
      </c>
      <c r="F40" s="209" t="s">
        <v>7480</v>
      </c>
      <c r="G40" s="209" t="s">
        <v>7551</v>
      </c>
      <c r="H40" s="209" t="s">
        <v>7593</v>
      </c>
      <c r="I40" s="209" t="s">
        <v>7556</v>
      </c>
    </row>
  </sheetData>
  <drawing r:id="rId2"/>
  <legacyDrawing r:id="rId3"/>
</worksheet>
</file>