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q76823_temple_edu/Documents/Temple/TempleCourses/Fall23/cis4360-Fall23/Lectures/"/>
    </mc:Choice>
  </mc:AlternateContent>
  <xr:revisionPtr revIDLastSave="401" documentId="8_{B0FE938A-888D-4514-9FCC-2204A62EF1EF}" xr6:coauthVersionLast="47" xr6:coauthVersionMax="47" xr10:uidLastSave="{AB156BBE-A4E3-4113-9ED9-ABFC7425BEB6}"/>
  <bookViews>
    <workbookView xWindow="885" yWindow="1560" windowWidth="26865" windowHeight="13845" activeTab="2" xr2:uid="{489F2B3E-7DCC-4D92-8D77-FD2639230F7B}"/>
  </bookViews>
  <sheets>
    <sheet name="Call" sheetId="1" r:id="rId1"/>
    <sheet name="Put" sheetId="2" r:id="rId2"/>
    <sheet name="American Put" sheetId="4" r:id="rId3"/>
    <sheet name="fu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H7" i="4" s="1"/>
  <c r="B12" i="4"/>
  <c r="B13" i="4" s="1"/>
  <c r="M9" i="4"/>
  <c r="O7" i="4" s="1"/>
  <c r="Q5" i="4" s="1"/>
  <c r="Q6" i="4" s="1"/>
  <c r="B12" i="1"/>
  <c r="B13" i="1" s="1"/>
  <c r="P14" i="1"/>
  <c r="N7" i="1"/>
  <c r="P13" i="1"/>
  <c r="N11" i="1"/>
  <c r="L9" i="1"/>
  <c r="J14" i="1"/>
  <c r="J13" i="1"/>
  <c r="J12" i="1"/>
  <c r="J15" i="1"/>
  <c r="B16" i="3"/>
  <c r="B12" i="2"/>
  <c r="B13" i="3"/>
  <c r="B14" i="3" s="1"/>
  <c r="K9" i="3"/>
  <c r="E9" i="3"/>
  <c r="J5" i="4" l="1"/>
  <c r="J6" i="4" s="1"/>
  <c r="H11" i="4"/>
  <c r="B14" i="4"/>
  <c r="B15" i="4" s="1"/>
  <c r="O11" i="4"/>
  <c r="Q13" i="4" s="1"/>
  <c r="Q14" i="4" s="1"/>
  <c r="B14" i="1"/>
  <c r="B15" i="1" s="1"/>
  <c r="B8" i="3"/>
  <c r="B15" i="3"/>
  <c r="B9" i="3"/>
  <c r="M7" i="3"/>
  <c r="O5" i="3" s="1"/>
  <c r="Q3" i="3" s="1"/>
  <c r="Q4" i="3" s="1"/>
  <c r="G7" i="3"/>
  <c r="G8" i="3" s="1"/>
  <c r="B11" i="2"/>
  <c r="B13" i="2"/>
  <c r="B14" i="2" s="1"/>
  <c r="J9" i="2"/>
  <c r="L11" i="2" s="1"/>
  <c r="E9" i="2"/>
  <c r="G11" i="2" s="1"/>
  <c r="G12" i="2" s="1"/>
  <c r="L7" i="2"/>
  <c r="N5" i="2" s="1"/>
  <c r="N6" i="2" s="1"/>
  <c r="G7" i="2"/>
  <c r="G8" i="2" s="1"/>
  <c r="J13" i="4" l="1"/>
  <c r="J14" i="4" s="1"/>
  <c r="J9" i="4"/>
  <c r="J10" i="4" s="1"/>
  <c r="H8" i="4" s="1"/>
  <c r="Q9" i="4"/>
  <c r="Q10" i="4" s="1"/>
  <c r="O12" i="4" s="1"/>
  <c r="G11" i="3"/>
  <c r="G12" i="3" s="1"/>
  <c r="B17" i="3"/>
  <c r="M11" i="3"/>
  <c r="O13" i="3" s="1"/>
  <c r="Q15" i="3" s="1"/>
  <c r="Q16" i="3" s="1"/>
  <c r="N13" i="2"/>
  <c r="N14" i="2" s="1"/>
  <c r="N9" i="2"/>
  <c r="N10" i="2" s="1"/>
  <c r="L8" i="2" s="1"/>
  <c r="E10" i="2"/>
  <c r="H12" i="4" l="1"/>
  <c r="F10" i="4"/>
  <c r="O8" i="4"/>
  <c r="M10" i="4" s="1"/>
  <c r="L12" i="2"/>
  <c r="E10" i="3"/>
  <c r="O9" i="3"/>
  <c r="Q7" i="3" s="1"/>
  <c r="Q8" i="3" s="1"/>
  <c r="O6" i="3"/>
  <c r="Q11" i="3"/>
  <c r="Q12" i="3" s="1"/>
  <c r="O14" i="3" s="1"/>
  <c r="O10" i="3" l="1"/>
  <c r="M12" i="3" s="1"/>
  <c r="J10" i="2"/>
  <c r="M8" i="3" l="1"/>
  <c r="K10" i="3" s="1"/>
  <c r="D9" i="1" l="1"/>
  <c r="F7" i="1" s="1"/>
  <c r="F8" i="1" s="1"/>
  <c r="P9" i="1" l="1"/>
  <c r="P10" i="1" s="1"/>
  <c r="P5" i="1"/>
  <c r="P6" i="1" s="1"/>
  <c r="N8" i="1" s="1"/>
  <c r="F11" i="1"/>
  <c r="F12" i="1" s="1"/>
  <c r="D10" i="1" s="1"/>
  <c r="N12" i="1" l="1"/>
  <c r="L10" i="1" s="1"/>
</calcChain>
</file>

<file path=xl/sharedStrings.xml><?xml version="1.0" encoding="utf-8"?>
<sst xmlns="http://schemas.openxmlformats.org/spreadsheetml/2006/main" count="98" uniqueCount="40">
  <si>
    <t>S_0</t>
  </si>
  <si>
    <t>u</t>
  </si>
  <si>
    <t xml:space="preserve">d </t>
  </si>
  <si>
    <t>Inputs</t>
  </si>
  <si>
    <t>Strike</t>
  </si>
  <si>
    <t>r</t>
  </si>
  <si>
    <t>p</t>
  </si>
  <si>
    <t>expiry</t>
  </si>
  <si>
    <t>DF</t>
  </si>
  <si>
    <t>1-p</t>
  </si>
  <si>
    <t>n=0</t>
  </si>
  <si>
    <t>n=1</t>
  </si>
  <si>
    <t>n=2</t>
  </si>
  <si>
    <t>Put</t>
  </si>
  <si>
    <t>1-period</t>
  </si>
  <si>
    <t>2-period</t>
  </si>
  <si>
    <t>sigma</t>
  </si>
  <si>
    <t>1-period in year</t>
  </si>
  <si>
    <t>3-period</t>
  </si>
  <si>
    <t>n=3</t>
  </si>
  <si>
    <t>1-period DF</t>
  </si>
  <si>
    <t>dividend_yield</t>
  </si>
  <si>
    <t>3-month</t>
  </si>
  <si>
    <t>1-period (T)</t>
  </si>
  <si>
    <t>6-month</t>
  </si>
  <si>
    <t>Fig 13.4</t>
  </si>
  <si>
    <t>One-period example from the book</t>
  </si>
  <si>
    <t>European Call</t>
  </si>
  <si>
    <t>Expiry</t>
  </si>
  <si>
    <t>3-month European Put</t>
  </si>
  <si>
    <t>6-month European Put</t>
  </si>
  <si>
    <t>&lt;= T is time for a single period</t>
  </si>
  <si>
    <t>Early exericse</t>
  </si>
  <si>
    <t>Example 13.4</t>
  </si>
  <si>
    <t>2-Y Put</t>
  </si>
  <si>
    <t>European Put</t>
  </si>
  <si>
    <t>American Put</t>
  </si>
  <si>
    <t>cannot early exericse even it's in the money</t>
  </si>
  <si>
    <t>Fig 13.7</t>
  </si>
  <si>
    <t>Fig 13.8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</si>
</sst>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9" fontId="2" fillId="2" borderId="0" xfId="1" applyFont="1" applyFill="1"/>
    <xf numFmtId="0" fontId="2" fillId="3" borderId="0" xfId="0" applyFont="1" applyFill="1"/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0" fontId="3" fillId="2" borderId="0" xfId="0" applyFont="1" applyFill="1"/>
    <xf numFmtId="43" fontId="2" fillId="2" borderId="0" xfId="2" applyFont="1" applyFill="1"/>
    <xf numFmtId="43" fontId="2" fillId="3" borderId="0" xfId="0" applyNumberFormat="1" applyFont="1" applyFill="1"/>
    <xf numFmtId="0" fontId="3" fillId="0" borderId="0" xfId="0" applyFont="1"/>
    <xf numFmtId="0" fontId="2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38100</xdr:rowOff>
    </xdr:from>
    <xdr:to>
      <xdr:col>5</xdr:col>
      <xdr:colOff>28575</xdr:colOff>
      <xdr:row>8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9BF838-A724-4C20-9D95-E6379868C406}"/>
            </a:ext>
          </a:extLst>
        </xdr:cNvPr>
        <xdr:cNvCxnSpPr/>
      </xdr:nvCxnSpPr>
      <xdr:spPr>
        <a:xfrm flipV="1">
          <a:off x="4267200" y="1181100"/>
          <a:ext cx="63817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9</xdr:row>
      <xdr:rowOff>9525</xdr:rowOff>
    </xdr:from>
    <xdr:to>
      <xdr:col>5</xdr:col>
      <xdr:colOff>19050</xdr:colOff>
      <xdr:row>11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8182700-E8A1-47CF-AB28-4FF28014A73D}"/>
            </a:ext>
          </a:extLst>
        </xdr:cNvPr>
        <xdr:cNvCxnSpPr/>
      </xdr:nvCxnSpPr>
      <xdr:spPr>
        <a:xfrm>
          <a:off x="4257675" y="1724025"/>
          <a:ext cx="638175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38100</xdr:rowOff>
    </xdr:from>
    <xdr:to>
      <xdr:col>13</xdr:col>
      <xdr:colOff>28575</xdr:colOff>
      <xdr:row>8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A18ED42-9AB6-4795-BE41-ACD60448B3D5}"/>
            </a:ext>
          </a:extLst>
        </xdr:cNvPr>
        <xdr:cNvCxnSpPr/>
      </xdr:nvCxnSpPr>
      <xdr:spPr>
        <a:xfrm flipV="1">
          <a:off x="4333875" y="11811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53578</xdr:colOff>
      <xdr:row>9</xdr:row>
      <xdr:rowOff>184547</xdr:rowOff>
    </xdr:from>
    <xdr:to>
      <xdr:col>13</xdr:col>
      <xdr:colOff>19050</xdr:colOff>
      <xdr:row>11</xdr:row>
      <xdr:rowOff>47625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74B2A8A-0436-4174-B408-C62AA0AB2F18}"/>
            </a:ext>
          </a:extLst>
        </xdr:cNvPr>
        <xdr:cNvCxnSpPr/>
      </xdr:nvCxnSpPr>
      <xdr:spPr>
        <a:xfrm>
          <a:off x="8120062" y="1899047"/>
          <a:ext cx="572691" cy="244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38100</xdr:rowOff>
    </xdr:from>
    <xdr:to>
      <xdr:col>15</xdr:col>
      <xdr:colOff>28575</xdr:colOff>
      <xdr:row>6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A45F2FE-10A6-4F92-9D01-987C4B10AB6A}"/>
            </a:ext>
          </a:extLst>
        </xdr:cNvPr>
        <xdr:cNvCxnSpPr/>
      </xdr:nvCxnSpPr>
      <xdr:spPr>
        <a:xfrm flipV="1">
          <a:off x="7381875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581025</xdr:colOff>
      <xdr:row>11</xdr:row>
      <xdr:rowOff>0</xdr:rowOff>
    </xdr:from>
    <xdr:to>
      <xdr:col>15</xdr:col>
      <xdr:colOff>0</xdr:colOff>
      <xdr:row>13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E18BF7C-036A-4EBA-A84F-808715A62E90}"/>
            </a:ext>
          </a:extLst>
        </xdr:cNvPr>
        <xdr:cNvCxnSpPr/>
      </xdr:nvCxnSpPr>
      <xdr:spPr>
        <a:xfrm>
          <a:off x="8572500" y="2095500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38100</xdr:rowOff>
    </xdr:from>
    <xdr:to>
      <xdr:col>15</xdr:col>
      <xdr:colOff>28575</xdr:colOff>
      <xdr:row>6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9D3AC2C-3FA6-467A-B614-707C92222FC8}"/>
            </a:ext>
          </a:extLst>
        </xdr:cNvPr>
        <xdr:cNvCxnSpPr/>
      </xdr:nvCxnSpPr>
      <xdr:spPr>
        <a:xfrm flipV="1">
          <a:off x="4333875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38100</xdr:rowOff>
    </xdr:from>
    <xdr:to>
      <xdr:col>15</xdr:col>
      <xdr:colOff>28575</xdr:colOff>
      <xdr:row>10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5169588-0717-4BB3-A25D-F7B2320B1636}"/>
            </a:ext>
          </a:extLst>
        </xdr:cNvPr>
        <xdr:cNvCxnSpPr/>
      </xdr:nvCxnSpPr>
      <xdr:spPr>
        <a:xfrm flipV="1">
          <a:off x="8601075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38100</xdr:rowOff>
    </xdr:from>
    <xdr:to>
      <xdr:col>15</xdr:col>
      <xdr:colOff>28575</xdr:colOff>
      <xdr:row>10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DF04B84-3AE9-42B0-BBE4-9302841FA08A}"/>
            </a:ext>
          </a:extLst>
        </xdr:cNvPr>
        <xdr:cNvCxnSpPr/>
      </xdr:nvCxnSpPr>
      <xdr:spPr>
        <a:xfrm flipV="1">
          <a:off x="8601075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7</xdr:row>
      <xdr:rowOff>28575</xdr:rowOff>
    </xdr:from>
    <xdr:to>
      <xdr:col>15</xdr:col>
      <xdr:colOff>38100</xdr:colOff>
      <xdr:row>9</xdr:row>
      <xdr:rowOff>66675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17E0C47-3EE3-4658-9311-26D7AADBA690}"/>
            </a:ext>
          </a:extLst>
        </xdr:cNvPr>
        <xdr:cNvCxnSpPr/>
      </xdr:nvCxnSpPr>
      <xdr:spPr>
        <a:xfrm>
          <a:off x="8610600" y="136207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38100</xdr:rowOff>
    </xdr:from>
    <xdr:to>
      <xdr:col>6</xdr:col>
      <xdr:colOff>28575</xdr:colOff>
      <xdr:row>8</xdr:row>
      <xdr:rowOff>171450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340A074-4A10-4AA1-9354-FD6C136D23CD}"/>
            </a:ext>
          </a:extLst>
        </xdr:cNvPr>
        <xdr:cNvCxnSpPr/>
      </xdr:nvCxnSpPr>
      <xdr:spPr>
        <a:xfrm flipV="1">
          <a:off x="4333875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9</xdr:row>
      <xdr:rowOff>9525</xdr:rowOff>
    </xdr:from>
    <xdr:to>
      <xdr:col>6</xdr:col>
      <xdr:colOff>19050</xdr:colOff>
      <xdr:row>11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11DACE3-D469-4725-91D1-B9C1B5C1DCD3}"/>
            </a:ext>
          </a:extLst>
        </xdr:cNvPr>
        <xdr:cNvCxnSpPr/>
      </xdr:nvCxnSpPr>
      <xdr:spPr>
        <a:xfrm>
          <a:off x="4324350" y="172402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38100</xdr:rowOff>
    </xdr:from>
    <xdr:to>
      <xdr:col>11</xdr:col>
      <xdr:colOff>28575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844A9C6-B41E-45A9-A225-A00FD9C680CC}"/>
            </a:ext>
          </a:extLst>
        </xdr:cNvPr>
        <xdr:cNvCxnSpPr/>
      </xdr:nvCxnSpPr>
      <xdr:spPr>
        <a:xfrm flipV="1">
          <a:off x="7381875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9</xdr:row>
      <xdr:rowOff>9525</xdr:rowOff>
    </xdr:from>
    <xdr:to>
      <xdr:col>11</xdr:col>
      <xdr:colOff>19050</xdr:colOff>
      <xdr:row>11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016F4CE-1BBA-4B71-ADA8-BE5EC0E93FF2}"/>
            </a:ext>
          </a:extLst>
        </xdr:cNvPr>
        <xdr:cNvCxnSpPr/>
      </xdr:nvCxnSpPr>
      <xdr:spPr>
        <a:xfrm>
          <a:off x="7372350" y="172402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38100</xdr:rowOff>
    </xdr:from>
    <xdr:to>
      <xdr:col>13</xdr:col>
      <xdr:colOff>28575</xdr:colOff>
      <xdr:row>6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4B439A5-59B2-4FE2-975C-5417077DF1F0}"/>
            </a:ext>
          </a:extLst>
        </xdr:cNvPr>
        <xdr:cNvCxnSpPr/>
      </xdr:nvCxnSpPr>
      <xdr:spPr>
        <a:xfrm flipV="1">
          <a:off x="8601075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11</xdr:row>
      <xdr:rowOff>0</xdr:rowOff>
    </xdr:from>
    <xdr:to>
      <xdr:col>13</xdr:col>
      <xdr:colOff>0</xdr:colOff>
      <xdr:row>13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E5641A0-7F84-4068-8C4E-E339C2F9C3A3}"/>
            </a:ext>
          </a:extLst>
        </xdr:cNvPr>
        <xdr:cNvCxnSpPr/>
      </xdr:nvCxnSpPr>
      <xdr:spPr>
        <a:xfrm>
          <a:off x="8572500" y="2095500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38100</xdr:rowOff>
    </xdr:from>
    <xdr:to>
      <xdr:col>13</xdr:col>
      <xdr:colOff>28575</xdr:colOff>
      <xdr:row>6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6F38F5D-7715-48A1-8D5A-3C89D3CA9EDD}"/>
            </a:ext>
          </a:extLst>
        </xdr:cNvPr>
        <xdr:cNvCxnSpPr/>
      </xdr:nvCxnSpPr>
      <xdr:spPr>
        <a:xfrm flipV="1">
          <a:off x="8601075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38100</xdr:rowOff>
    </xdr:from>
    <xdr:to>
      <xdr:col>13</xdr:col>
      <xdr:colOff>28575</xdr:colOff>
      <xdr:row>10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95328FA-00DF-425C-945C-C2B7936356A1}"/>
            </a:ext>
          </a:extLst>
        </xdr:cNvPr>
        <xdr:cNvCxnSpPr/>
      </xdr:nvCxnSpPr>
      <xdr:spPr>
        <a:xfrm flipV="1">
          <a:off x="8601075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38100</xdr:rowOff>
    </xdr:from>
    <xdr:to>
      <xdr:col>13</xdr:col>
      <xdr:colOff>28575</xdr:colOff>
      <xdr:row>10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4ED14AE-6574-41E6-8EA5-559FB8EE15B1}"/>
            </a:ext>
          </a:extLst>
        </xdr:cNvPr>
        <xdr:cNvCxnSpPr/>
      </xdr:nvCxnSpPr>
      <xdr:spPr>
        <a:xfrm flipV="1">
          <a:off x="8601075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7</xdr:row>
      <xdr:rowOff>28575</xdr:rowOff>
    </xdr:from>
    <xdr:to>
      <xdr:col>13</xdr:col>
      <xdr:colOff>38100</xdr:colOff>
      <xdr:row>9</xdr:row>
      <xdr:rowOff>66675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09181C2-C7AC-4848-8790-BAD0AC142FD6}"/>
            </a:ext>
          </a:extLst>
        </xdr:cNvPr>
        <xdr:cNvCxnSpPr/>
      </xdr:nvCxnSpPr>
      <xdr:spPr>
        <a:xfrm>
          <a:off x="8610600" y="136207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38100</xdr:rowOff>
    </xdr:from>
    <xdr:to>
      <xdr:col>13</xdr:col>
      <xdr:colOff>28575</xdr:colOff>
      <xdr:row>6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E4D186F-49C9-47FC-BFED-B033A4C95B13}"/>
            </a:ext>
          </a:extLst>
        </xdr:cNvPr>
        <xdr:cNvCxnSpPr/>
      </xdr:nvCxnSpPr>
      <xdr:spPr>
        <a:xfrm flipV="1">
          <a:off x="3048000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38100</xdr:rowOff>
    </xdr:from>
    <xdr:to>
      <xdr:col>13</xdr:col>
      <xdr:colOff>28575</xdr:colOff>
      <xdr:row>10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3598B2-4CA9-4F90-B5CB-6E7D3A4D82AB}"/>
            </a:ext>
          </a:extLst>
        </xdr:cNvPr>
        <xdr:cNvCxnSpPr/>
      </xdr:nvCxnSpPr>
      <xdr:spPr>
        <a:xfrm flipV="1">
          <a:off x="3048000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38100</xdr:rowOff>
    </xdr:from>
    <xdr:to>
      <xdr:col>14</xdr:col>
      <xdr:colOff>28575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D35B8D0-AB19-4B2B-A24B-F0D1AD894DEB}"/>
            </a:ext>
          </a:extLst>
        </xdr:cNvPr>
        <xdr:cNvCxnSpPr/>
      </xdr:nvCxnSpPr>
      <xdr:spPr>
        <a:xfrm flipV="1">
          <a:off x="6248400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9</xdr:row>
      <xdr:rowOff>9525</xdr:rowOff>
    </xdr:from>
    <xdr:to>
      <xdr:col>14</xdr:col>
      <xdr:colOff>19050</xdr:colOff>
      <xdr:row>11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6A30255-A52E-4C99-A76F-DFE27438B736}"/>
            </a:ext>
          </a:extLst>
        </xdr:cNvPr>
        <xdr:cNvCxnSpPr/>
      </xdr:nvCxnSpPr>
      <xdr:spPr>
        <a:xfrm>
          <a:off x="6238875" y="172402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38100</xdr:rowOff>
    </xdr:from>
    <xdr:to>
      <xdr:col>16</xdr:col>
      <xdr:colOff>28575</xdr:colOff>
      <xdr:row>6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62C8925-88AF-49CD-B631-E665B18B14C9}"/>
            </a:ext>
          </a:extLst>
        </xdr:cNvPr>
        <xdr:cNvCxnSpPr/>
      </xdr:nvCxnSpPr>
      <xdr:spPr>
        <a:xfrm flipV="1">
          <a:off x="746760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11</xdr:row>
      <xdr:rowOff>0</xdr:rowOff>
    </xdr:from>
    <xdr:to>
      <xdr:col>16</xdr:col>
      <xdr:colOff>0</xdr:colOff>
      <xdr:row>13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F4FD8F9-3BCD-4A15-92C1-9114F2A89028}"/>
            </a:ext>
          </a:extLst>
        </xdr:cNvPr>
        <xdr:cNvCxnSpPr/>
      </xdr:nvCxnSpPr>
      <xdr:spPr>
        <a:xfrm>
          <a:off x="7439025" y="2095500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38100</xdr:rowOff>
    </xdr:from>
    <xdr:to>
      <xdr:col>16</xdr:col>
      <xdr:colOff>28575</xdr:colOff>
      <xdr:row>6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5FE76FD-F6C4-4D1E-B9FC-CCA845CC9F78}"/>
            </a:ext>
          </a:extLst>
        </xdr:cNvPr>
        <xdr:cNvCxnSpPr/>
      </xdr:nvCxnSpPr>
      <xdr:spPr>
        <a:xfrm flipV="1">
          <a:off x="746760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38100</xdr:rowOff>
    </xdr:from>
    <xdr:to>
      <xdr:col>16</xdr:col>
      <xdr:colOff>28575</xdr:colOff>
      <xdr:row>10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D8E235A-49CC-4857-8E8E-E20EE96B1471}"/>
            </a:ext>
          </a:extLst>
        </xdr:cNvPr>
        <xdr:cNvCxnSpPr/>
      </xdr:nvCxnSpPr>
      <xdr:spPr>
        <a:xfrm flipV="1">
          <a:off x="746760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38100</xdr:rowOff>
    </xdr:from>
    <xdr:to>
      <xdr:col>16</xdr:col>
      <xdr:colOff>28575</xdr:colOff>
      <xdr:row>10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092E655-5262-4EEB-A056-5D53C8623805}"/>
            </a:ext>
          </a:extLst>
        </xdr:cNvPr>
        <xdr:cNvCxnSpPr/>
      </xdr:nvCxnSpPr>
      <xdr:spPr>
        <a:xfrm flipV="1">
          <a:off x="746760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7</xdr:row>
      <xdr:rowOff>28575</xdr:rowOff>
    </xdr:from>
    <xdr:to>
      <xdr:col>16</xdr:col>
      <xdr:colOff>38100</xdr:colOff>
      <xdr:row>9</xdr:row>
      <xdr:rowOff>66675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50198B9-B161-4D5C-B7F5-ADEE4B79F9FB}"/>
            </a:ext>
          </a:extLst>
        </xdr:cNvPr>
        <xdr:cNvCxnSpPr/>
      </xdr:nvCxnSpPr>
      <xdr:spPr>
        <a:xfrm>
          <a:off x="7477125" y="136207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38100</xdr:rowOff>
    </xdr:from>
    <xdr:to>
      <xdr:col>16</xdr:col>
      <xdr:colOff>28575</xdr:colOff>
      <xdr:row>6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6809E5F-B6D9-4707-9E6D-00D0926ACB19}"/>
            </a:ext>
          </a:extLst>
        </xdr:cNvPr>
        <xdr:cNvCxnSpPr/>
      </xdr:nvCxnSpPr>
      <xdr:spPr>
        <a:xfrm flipV="1">
          <a:off x="746760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38100</xdr:rowOff>
    </xdr:from>
    <xdr:to>
      <xdr:col>16</xdr:col>
      <xdr:colOff>28575</xdr:colOff>
      <xdr:row>10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40DF8FC-664A-4DBF-AE21-8B2F3DC82986}"/>
            </a:ext>
          </a:extLst>
        </xdr:cNvPr>
        <xdr:cNvCxnSpPr/>
      </xdr:nvCxnSpPr>
      <xdr:spPr>
        <a:xfrm flipV="1">
          <a:off x="746760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12</xdr:row>
      <xdr:rowOff>123825</xdr:rowOff>
    </xdr:from>
    <xdr:to>
      <xdr:col>16</xdr:col>
      <xdr:colOff>219075</xdr:colOff>
      <xdr:row>23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7F8FE0A-AA17-3F4B-2240-2E4FA74C1B15}"/>
            </a:ext>
          </a:extLst>
        </xdr:cNvPr>
        <xdr:cNvCxnSpPr/>
      </xdr:nvCxnSpPr>
      <xdr:spPr>
        <a:xfrm flipH="1" flipV="1">
          <a:off x="5591175" y="2409825"/>
          <a:ext cx="87630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38100</xdr:rowOff>
    </xdr:from>
    <xdr:to>
      <xdr:col>7</xdr:col>
      <xdr:colOff>28575</xdr:colOff>
      <xdr:row>8</xdr:row>
      <xdr:rowOff>171450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A193332-6434-4B8F-9FD9-EFC31AA7491A}"/>
            </a:ext>
          </a:extLst>
        </xdr:cNvPr>
        <xdr:cNvCxnSpPr/>
      </xdr:nvCxnSpPr>
      <xdr:spPr>
        <a:xfrm flipV="1">
          <a:off x="9372600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9</xdr:row>
      <xdr:rowOff>9525</xdr:rowOff>
    </xdr:from>
    <xdr:to>
      <xdr:col>7</xdr:col>
      <xdr:colOff>19050</xdr:colOff>
      <xdr:row>11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8C03D4D-3933-414C-9D82-C98DE85F00BB}"/>
            </a:ext>
          </a:extLst>
        </xdr:cNvPr>
        <xdr:cNvCxnSpPr/>
      </xdr:nvCxnSpPr>
      <xdr:spPr>
        <a:xfrm>
          <a:off x="9363075" y="172402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38100</xdr:rowOff>
    </xdr:from>
    <xdr:to>
      <xdr:col>9</xdr:col>
      <xdr:colOff>28575</xdr:colOff>
      <xdr:row>6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96C5040-F8AC-4C6B-8B7F-5EE5B1387567}"/>
            </a:ext>
          </a:extLst>
        </xdr:cNvPr>
        <xdr:cNvCxnSpPr/>
      </xdr:nvCxnSpPr>
      <xdr:spPr>
        <a:xfrm flipV="1">
          <a:off x="1059180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11</xdr:row>
      <xdr:rowOff>0</xdr:rowOff>
    </xdr:from>
    <xdr:to>
      <xdr:col>9</xdr:col>
      <xdr:colOff>0</xdr:colOff>
      <xdr:row>13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AD5AA8F-10EF-4771-810C-FC1AE321C272}"/>
            </a:ext>
          </a:extLst>
        </xdr:cNvPr>
        <xdr:cNvCxnSpPr/>
      </xdr:nvCxnSpPr>
      <xdr:spPr>
        <a:xfrm>
          <a:off x="10563225" y="2095500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38100</xdr:rowOff>
    </xdr:from>
    <xdr:to>
      <xdr:col>9</xdr:col>
      <xdr:colOff>28575</xdr:colOff>
      <xdr:row>6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4ED19C9-EF48-4794-8D95-DB2960042E2E}"/>
            </a:ext>
          </a:extLst>
        </xdr:cNvPr>
        <xdr:cNvCxnSpPr/>
      </xdr:nvCxnSpPr>
      <xdr:spPr>
        <a:xfrm flipV="1">
          <a:off x="1059180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38100</xdr:rowOff>
    </xdr:from>
    <xdr:to>
      <xdr:col>9</xdr:col>
      <xdr:colOff>28575</xdr:colOff>
      <xdr:row>10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0D03491-76E8-470A-8D0A-D6DF8FDD6472}"/>
            </a:ext>
          </a:extLst>
        </xdr:cNvPr>
        <xdr:cNvCxnSpPr/>
      </xdr:nvCxnSpPr>
      <xdr:spPr>
        <a:xfrm flipV="1">
          <a:off x="1059180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38100</xdr:rowOff>
    </xdr:from>
    <xdr:to>
      <xdr:col>9</xdr:col>
      <xdr:colOff>28575</xdr:colOff>
      <xdr:row>10</xdr:row>
      <xdr:rowOff>171450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54480EF-67B0-4EDF-A7DC-D91F62EEF17A}"/>
            </a:ext>
          </a:extLst>
        </xdr:cNvPr>
        <xdr:cNvCxnSpPr/>
      </xdr:nvCxnSpPr>
      <xdr:spPr>
        <a:xfrm flipV="1">
          <a:off x="1059180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7</xdr:row>
      <xdr:rowOff>28575</xdr:rowOff>
    </xdr:from>
    <xdr:to>
      <xdr:col>9</xdr:col>
      <xdr:colOff>38100</xdr:colOff>
      <xdr:row>9</xdr:row>
      <xdr:rowOff>66675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4FED22D-B639-45BB-9B34-A1752EC10B91}"/>
            </a:ext>
          </a:extLst>
        </xdr:cNvPr>
        <xdr:cNvCxnSpPr/>
      </xdr:nvCxnSpPr>
      <xdr:spPr>
        <a:xfrm>
          <a:off x="10601325" y="136207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38100</xdr:rowOff>
    </xdr:from>
    <xdr:to>
      <xdr:col>9</xdr:col>
      <xdr:colOff>28575</xdr:colOff>
      <xdr:row>6</xdr:row>
      <xdr:rowOff>171450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C917FD3-1B15-468C-85A2-FB79ED08B6E9}"/>
            </a:ext>
          </a:extLst>
        </xdr:cNvPr>
        <xdr:cNvCxnSpPr/>
      </xdr:nvCxnSpPr>
      <xdr:spPr>
        <a:xfrm flipV="1">
          <a:off x="1059180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38100</xdr:rowOff>
    </xdr:from>
    <xdr:to>
      <xdr:col>9</xdr:col>
      <xdr:colOff>28575</xdr:colOff>
      <xdr:row>10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B2503CF-628C-408F-B8F5-1138CCD83E4F}"/>
            </a:ext>
          </a:extLst>
        </xdr:cNvPr>
        <xdr:cNvCxnSpPr/>
      </xdr:nvCxnSpPr>
      <xdr:spPr>
        <a:xfrm flipV="1">
          <a:off x="1059180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12</xdr:row>
      <xdr:rowOff>123825</xdr:rowOff>
    </xdr:from>
    <xdr:to>
      <xdr:col>9</xdr:col>
      <xdr:colOff>219075</xdr:colOff>
      <xdr:row>23</xdr:row>
      <xdr:rowOff>9525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B528DB1-228D-4F0B-BDAB-2ACF8D9438D2}"/>
            </a:ext>
          </a:extLst>
        </xdr:cNvPr>
        <xdr:cNvCxnSpPr/>
      </xdr:nvCxnSpPr>
      <xdr:spPr>
        <a:xfrm flipH="1" flipV="1">
          <a:off x="10544175" y="2409825"/>
          <a:ext cx="87630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38100</xdr:rowOff>
    </xdr:from>
    <xdr:to>
      <xdr:col>6</xdr:col>
      <xdr:colOff>28575</xdr:colOff>
      <xdr:row>8</xdr:row>
      <xdr:rowOff>171450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C256FF0-630B-4DA2-A874-EBD7CCDA197C}"/>
            </a:ext>
          </a:extLst>
        </xdr:cNvPr>
        <xdr:cNvCxnSpPr/>
      </xdr:nvCxnSpPr>
      <xdr:spPr>
        <a:xfrm flipV="1">
          <a:off x="3048000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9</xdr:row>
      <xdr:rowOff>9525</xdr:rowOff>
    </xdr:from>
    <xdr:to>
      <xdr:col>6</xdr:col>
      <xdr:colOff>19050</xdr:colOff>
      <xdr:row>11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29CA06-5E9F-4D6E-816D-80D6FFE11DA9}"/>
            </a:ext>
          </a:extLst>
        </xdr:cNvPr>
        <xdr:cNvCxnSpPr/>
      </xdr:nvCxnSpPr>
      <xdr:spPr>
        <a:xfrm>
          <a:off x="3038475" y="172402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</xdr:row>
      <xdr:rowOff>38100</xdr:rowOff>
    </xdr:from>
    <xdr:to>
      <xdr:col>12</xdr:col>
      <xdr:colOff>28575</xdr:colOff>
      <xdr:row>8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BF6CA63-ADC4-4A58-B8E9-FA110C555950}"/>
            </a:ext>
          </a:extLst>
        </xdr:cNvPr>
        <xdr:cNvCxnSpPr/>
      </xdr:nvCxnSpPr>
      <xdr:spPr>
        <a:xfrm flipV="1">
          <a:off x="6838950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9</xdr:row>
      <xdr:rowOff>9525</xdr:rowOff>
    </xdr:from>
    <xdr:to>
      <xdr:col>12</xdr:col>
      <xdr:colOff>19050</xdr:colOff>
      <xdr:row>11</xdr:row>
      <xdr:rowOff>47625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D7ED8C2-618F-409A-BF73-5E309C2BBFA4}"/>
            </a:ext>
          </a:extLst>
        </xdr:cNvPr>
        <xdr:cNvCxnSpPr/>
      </xdr:nvCxnSpPr>
      <xdr:spPr>
        <a:xfrm>
          <a:off x="6829425" y="172402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</xdr:row>
      <xdr:rowOff>38100</xdr:rowOff>
    </xdr:from>
    <xdr:to>
      <xdr:col>14</xdr:col>
      <xdr:colOff>28575</xdr:colOff>
      <xdr:row>6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25D1C37-767B-4859-B9C6-3106917475FE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11</xdr:row>
      <xdr:rowOff>0</xdr:rowOff>
    </xdr:from>
    <xdr:to>
      <xdr:col>14</xdr:col>
      <xdr:colOff>0</xdr:colOff>
      <xdr:row>13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B308DE2-C530-445F-B176-31F7E925B5E9}"/>
            </a:ext>
          </a:extLst>
        </xdr:cNvPr>
        <xdr:cNvCxnSpPr/>
      </xdr:nvCxnSpPr>
      <xdr:spPr>
        <a:xfrm>
          <a:off x="8029575" y="2095500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</xdr:row>
      <xdr:rowOff>38100</xdr:rowOff>
    </xdr:from>
    <xdr:to>
      <xdr:col>14</xdr:col>
      <xdr:colOff>28575</xdr:colOff>
      <xdr:row>6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69C7569-DE00-438B-BF88-3E97C7C19D0A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38100</xdr:rowOff>
    </xdr:from>
    <xdr:to>
      <xdr:col>14</xdr:col>
      <xdr:colOff>28575</xdr:colOff>
      <xdr:row>10</xdr:row>
      <xdr:rowOff>171450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0408F78-7848-479F-A63F-868FC6F90753}"/>
            </a:ext>
          </a:extLst>
        </xdr:cNvPr>
        <xdr:cNvCxnSpPr/>
      </xdr:nvCxnSpPr>
      <xdr:spPr>
        <a:xfrm flipV="1">
          <a:off x="805815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38100</xdr:rowOff>
    </xdr:from>
    <xdr:to>
      <xdr:col>14</xdr:col>
      <xdr:colOff>28575</xdr:colOff>
      <xdr:row>10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B5DDEED-5C7E-49E8-ADB7-8982D7113CE3}"/>
            </a:ext>
          </a:extLst>
        </xdr:cNvPr>
        <xdr:cNvCxnSpPr/>
      </xdr:nvCxnSpPr>
      <xdr:spPr>
        <a:xfrm flipV="1">
          <a:off x="805815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7</xdr:row>
      <xdr:rowOff>28575</xdr:rowOff>
    </xdr:from>
    <xdr:to>
      <xdr:col>14</xdr:col>
      <xdr:colOff>38100</xdr:colOff>
      <xdr:row>9</xdr:row>
      <xdr:rowOff>66675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B0DE838-5A68-4CEE-9AE7-0F47744FF326}"/>
            </a:ext>
          </a:extLst>
        </xdr:cNvPr>
        <xdr:cNvCxnSpPr/>
      </xdr:nvCxnSpPr>
      <xdr:spPr>
        <a:xfrm>
          <a:off x="8067675" y="136207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</xdr:row>
      <xdr:rowOff>38100</xdr:rowOff>
    </xdr:from>
    <xdr:to>
      <xdr:col>14</xdr:col>
      <xdr:colOff>28575</xdr:colOff>
      <xdr:row>6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E27EF84-29C0-44E3-A369-9A351A04D101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38100</xdr:rowOff>
    </xdr:from>
    <xdr:to>
      <xdr:col>14</xdr:col>
      <xdr:colOff>28575</xdr:colOff>
      <xdr:row>10</xdr:row>
      <xdr:rowOff>171450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5B4FEED-0EC0-4806-B6D1-318A3DF2E582}"/>
            </a:ext>
          </a:extLst>
        </xdr:cNvPr>
        <xdr:cNvCxnSpPr/>
      </xdr:nvCxnSpPr>
      <xdr:spPr>
        <a:xfrm flipV="1">
          <a:off x="8058150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</xdr:row>
      <xdr:rowOff>38100</xdr:rowOff>
    </xdr:from>
    <xdr:to>
      <xdr:col>16</xdr:col>
      <xdr:colOff>28575</xdr:colOff>
      <xdr:row>8</xdr:row>
      <xdr:rowOff>171450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BB393F0-9177-4E34-92CC-15377FB33564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</xdr:row>
      <xdr:rowOff>38100</xdr:rowOff>
    </xdr:from>
    <xdr:to>
      <xdr:col>16</xdr:col>
      <xdr:colOff>28575</xdr:colOff>
      <xdr:row>8</xdr:row>
      <xdr:rowOff>171450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950008F-4005-4C61-A380-29B92A4F8C90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</xdr:row>
      <xdr:rowOff>38100</xdr:rowOff>
    </xdr:from>
    <xdr:to>
      <xdr:col>16</xdr:col>
      <xdr:colOff>28575</xdr:colOff>
      <xdr:row>8</xdr:row>
      <xdr:rowOff>171450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6BA2689-B5D4-4CB4-A0A5-9D2ECE8D1B0D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38100</xdr:rowOff>
    </xdr:from>
    <xdr:to>
      <xdr:col>16</xdr:col>
      <xdr:colOff>28575</xdr:colOff>
      <xdr:row>12</xdr:row>
      <xdr:rowOff>171450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AD25E97-A379-4CA7-802B-BDC9C89BE07B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38100</xdr:rowOff>
    </xdr:from>
    <xdr:to>
      <xdr:col>16</xdr:col>
      <xdr:colOff>28575</xdr:colOff>
      <xdr:row>12</xdr:row>
      <xdr:rowOff>171450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C46A641-1B9F-4A3A-BEB5-7633D3158E9F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38100</xdr:rowOff>
    </xdr:from>
    <xdr:to>
      <xdr:col>16</xdr:col>
      <xdr:colOff>28575</xdr:colOff>
      <xdr:row>12</xdr:row>
      <xdr:rowOff>171450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5B9BFFC-2784-4EB5-B26F-A794BC0037B4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</xdr:row>
      <xdr:rowOff>38100</xdr:rowOff>
    </xdr:from>
    <xdr:to>
      <xdr:col>14</xdr:col>
      <xdr:colOff>28575</xdr:colOff>
      <xdr:row>6</xdr:row>
      <xdr:rowOff>171450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18F6F4E-2207-4F59-98F5-5EC17669404A}"/>
            </a:ext>
          </a:extLst>
        </xdr:cNvPr>
        <xdr:cNvCxnSpPr/>
      </xdr:nvCxnSpPr>
      <xdr:spPr>
        <a:xfrm flipV="1">
          <a:off x="11106150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38100</xdr:rowOff>
    </xdr:from>
    <xdr:to>
      <xdr:col>14</xdr:col>
      <xdr:colOff>28575</xdr:colOff>
      <xdr:row>10</xdr:row>
      <xdr:rowOff>171450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FD1951-AC61-46E6-807C-9409FE1BAA42}"/>
            </a:ext>
          </a:extLst>
        </xdr:cNvPr>
        <xdr:cNvCxnSpPr/>
      </xdr:nvCxnSpPr>
      <xdr:spPr>
        <a:xfrm flipV="1">
          <a:off x="11106150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</xdr:row>
      <xdr:rowOff>38100</xdr:rowOff>
    </xdr:from>
    <xdr:to>
      <xdr:col>16</xdr:col>
      <xdr:colOff>28575</xdr:colOff>
      <xdr:row>4</xdr:row>
      <xdr:rowOff>171450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F1852D6-7E27-4D83-BAB8-E98DEC09F847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</xdr:row>
      <xdr:rowOff>38100</xdr:rowOff>
    </xdr:from>
    <xdr:to>
      <xdr:col>16</xdr:col>
      <xdr:colOff>28575</xdr:colOff>
      <xdr:row>4</xdr:row>
      <xdr:rowOff>171450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5EADE83-3AE1-4597-8369-0199D5020B6A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</xdr:row>
      <xdr:rowOff>38100</xdr:rowOff>
    </xdr:from>
    <xdr:to>
      <xdr:col>16</xdr:col>
      <xdr:colOff>28575</xdr:colOff>
      <xdr:row>4</xdr:row>
      <xdr:rowOff>171450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A1F987A7-DAC8-4DF9-85F0-EE072476FA73}"/>
            </a:ext>
          </a:extLst>
        </xdr:cNvPr>
        <xdr:cNvCxnSpPr/>
      </xdr:nvCxnSpPr>
      <xdr:spPr>
        <a:xfrm flipV="1">
          <a:off x="8058150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EA5C-D3BC-4404-BD2E-9C8B6E25EF0C}">
  <dimension ref="A2:P16"/>
  <sheetViews>
    <sheetView zoomScale="140" zoomScaleNormal="140" workbookViewId="0">
      <selection activeCell="L4" sqref="L4"/>
    </sheetView>
  </sheetViews>
  <sheetFormatPr defaultRowHeight="15" x14ac:dyDescent="0.25"/>
  <cols>
    <col min="1" max="1" width="16" customWidth="1"/>
    <col min="2" max="2" width="10.140625" customWidth="1"/>
    <col min="9" max="9" width="15.140625" bestFit="1" customWidth="1"/>
    <col min="12" max="12" width="12.85546875" customWidth="1"/>
  </cols>
  <sheetData>
    <row r="2" spans="1:16" x14ac:dyDescent="0.25">
      <c r="D2" t="s">
        <v>22</v>
      </c>
      <c r="E2" t="s">
        <v>26</v>
      </c>
      <c r="L2" t="s">
        <v>24</v>
      </c>
      <c r="M2" t="s">
        <v>25</v>
      </c>
    </row>
    <row r="3" spans="1:16" x14ac:dyDescent="0.25">
      <c r="D3" t="s">
        <v>27</v>
      </c>
      <c r="L3" t="s">
        <v>27</v>
      </c>
    </row>
    <row r="5" spans="1:16" x14ac:dyDescent="0.25">
      <c r="A5" t="s">
        <v>3</v>
      </c>
      <c r="I5" t="s">
        <v>3</v>
      </c>
      <c r="P5" s="1">
        <f>N7*$J$7</f>
        <v>24.200000000000003</v>
      </c>
    </row>
    <row r="6" spans="1:16" x14ac:dyDescent="0.25">
      <c r="A6" s="3" t="s">
        <v>0</v>
      </c>
      <c r="B6" s="3">
        <v>20</v>
      </c>
      <c r="I6" s="3" t="s">
        <v>0</v>
      </c>
      <c r="J6" s="3">
        <v>20</v>
      </c>
      <c r="P6" s="2">
        <f>MAX(P5-$J$9,0)</f>
        <v>3.2000000000000028</v>
      </c>
    </row>
    <row r="7" spans="1:16" x14ac:dyDescent="0.25">
      <c r="A7" s="3" t="s">
        <v>1</v>
      </c>
      <c r="B7" s="4">
        <v>1.1000000000000001</v>
      </c>
      <c r="F7" s="1">
        <f>D9*$B$7</f>
        <v>22</v>
      </c>
      <c r="I7" s="3" t="s">
        <v>1</v>
      </c>
      <c r="J7" s="4">
        <v>1.1000000000000001</v>
      </c>
      <c r="N7" s="1">
        <f>L9*$J$7</f>
        <v>22</v>
      </c>
    </row>
    <row r="8" spans="1:16" x14ac:dyDescent="0.25">
      <c r="A8" s="3" t="s">
        <v>2</v>
      </c>
      <c r="B8" s="4">
        <v>0.9</v>
      </c>
      <c r="F8" s="2">
        <f>MAX(F7-$B$9,0)</f>
        <v>1</v>
      </c>
      <c r="I8" s="3" t="s">
        <v>2</v>
      </c>
      <c r="J8" s="4">
        <v>0.9</v>
      </c>
      <c r="N8" s="2">
        <f>$J$13*($J$14*P6+$J$15*P10)</f>
        <v>1.743282394011979</v>
      </c>
    </row>
    <row r="9" spans="1:16" x14ac:dyDescent="0.25">
      <c r="A9" s="3" t="s">
        <v>4</v>
      </c>
      <c r="B9" s="3">
        <v>21</v>
      </c>
      <c r="D9" s="1">
        <f>$B$6</f>
        <v>20</v>
      </c>
      <c r="I9" s="3" t="s">
        <v>4</v>
      </c>
      <c r="J9" s="3">
        <v>21</v>
      </c>
      <c r="L9" s="1">
        <f>$J$6</f>
        <v>20</v>
      </c>
      <c r="P9" s="1">
        <f>N11*$J$7</f>
        <v>19.8</v>
      </c>
    </row>
    <row r="10" spans="1:16" x14ac:dyDescent="0.25">
      <c r="A10" s="3" t="s">
        <v>5</v>
      </c>
      <c r="B10" s="4">
        <v>0.04</v>
      </c>
      <c r="D10" s="2">
        <f>$B$13*($B$14*F8+$B$15*F12)</f>
        <v>0.54477574812874296</v>
      </c>
      <c r="I10" s="3" t="s">
        <v>5</v>
      </c>
      <c r="J10" s="4">
        <v>0.04</v>
      </c>
      <c r="L10" s="2">
        <f>$J$13*($J$14*N8+$J$15*N12)</f>
        <v>0.94969797039754178</v>
      </c>
      <c r="P10" s="2">
        <f>MAX(P9-$J$9,0)</f>
        <v>0</v>
      </c>
    </row>
    <row r="11" spans="1:16" x14ac:dyDescent="0.25">
      <c r="A11" s="3" t="s">
        <v>7</v>
      </c>
      <c r="B11" s="9">
        <v>0.25</v>
      </c>
      <c r="F11" s="1">
        <f>D9*$B$8</f>
        <v>18</v>
      </c>
      <c r="I11" s="3" t="s">
        <v>7</v>
      </c>
      <c r="J11" s="9">
        <v>0.5</v>
      </c>
      <c r="N11" s="1">
        <f>L9*$J$8</f>
        <v>18</v>
      </c>
    </row>
    <row r="12" spans="1:16" x14ac:dyDescent="0.25">
      <c r="A12" s="5" t="s">
        <v>23</v>
      </c>
      <c r="B12" s="5">
        <f>B11/1</f>
        <v>0.25</v>
      </c>
      <c r="F12" s="2">
        <f>MAX(F11-$B$9,0)</f>
        <v>0</v>
      </c>
      <c r="I12" s="5" t="s">
        <v>23</v>
      </c>
      <c r="J12" s="5">
        <f>J11/2</f>
        <v>0.25</v>
      </c>
      <c r="N12" s="2">
        <f>$J$13*($J$14*P10+$J$15*P14)</f>
        <v>0</v>
      </c>
    </row>
    <row r="13" spans="1:16" x14ac:dyDescent="0.25">
      <c r="A13" s="5" t="s">
        <v>20</v>
      </c>
      <c r="B13" s="6">
        <f>EXP(-B10*B12)</f>
        <v>0.99004983374916811</v>
      </c>
      <c r="I13" s="5" t="s">
        <v>20</v>
      </c>
      <c r="J13" s="6">
        <f>EXP(-J10*J12)</f>
        <v>0.99004983374916811</v>
      </c>
      <c r="P13" s="1">
        <f>N11*$J$8</f>
        <v>16.2</v>
      </c>
    </row>
    <row r="14" spans="1:16" x14ac:dyDescent="0.25">
      <c r="A14" s="5" t="s">
        <v>6</v>
      </c>
      <c r="B14" s="6">
        <f>(EXP(B12*B10)-B8)/(B7-B8)</f>
        <v>0.55025083542083941</v>
      </c>
      <c r="I14" s="5" t="s">
        <v>6</v>
      </c>
      <c r="J14" s="6">
        <f>(EXP(J12*J10)-J8)/(J7-J8)</f>
        <v>0.55025083542083941</v>
      </c>
      <c r="P14" s="2">
        <f>MAX(P13-$J$9,0)</f>
        <v>0</v>
      </c>
    </row>
    <row r="15" spans="1:16" x14ac:dyDescent="0.25">
      <c r="A15" s="5" t="s">
        <v>9</v>
      </c>
      <c r="B15" s="6">
        <f>1-B14</f>
        <v>0.44974916457916059</v>
      </c>
      <c r="I15" s="5" t="s">
        <v>9</v>
      </c>
      <c r="J15" s="6">
        <f>1-J14</f>
        <v>0.44974916457916059</v>
      </c>
    </row>
    <row r="16" spans="1:16" x14ac:dyDescent="0.25">
      <c r="L16" t="s">
        <v>10</v>
      </c>
      <c r="N16" t="s">
        <v>11</v>
      </c>
      <c r="P16" t="s">
        <v>12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42F4-11C5-4145-9855-AD9A8BAD77C0}">
  <dimension ref="A2:N16"/>
  <sheetViews>
    <sheetView zoomScale="110" zoomScaleNormal="110" workbookViewId="0">
      <selection activeCell="L12" sqref="L12"/>
    </sheetView>
  </sheetViews>
  <sheetFormatPr defaultRowHeight="15" x14ac:dyDescent="0.25"/>
  <cols>
    <col min="1" max="1" width="11.42578125" bestFit="1" customWidth="1"/>
    <col min="3" max="3" width="27.85546875" bestFit="1" customWidth="1"/>
  </cols>
  <sheetData>
    <row r="2" spans="1:14" x14ac:dyDescent="0.25">
      <c r="E2" t="s">
        <v>14</v>
      </c>
      <c r="J2" t="s">
        <v>15</v>
      </c>
    </row>
    <row r="3" spans="1:14" x14ac:dyDescent="0.25">
      <c r="E3" t="s">
        <v>29</v>
      </c>
      <c r="J3" t="s">
        <v>30</v>
      </c>
    </row>
    <row r="5" spans="1:14" x14ac:dyDescent="0.25">
      <c r="A5" t="s">
        <v>3</v>
      </c>
      <c r="N5" s="1">
        <f>L7*$B$7</f>
        <v>24.200000000000003</v>
      </c>
    </row>
    <row r="6" spans="1:14" x14ac:dyDescent="0.25">
      <c r="A6" s="3" t="s">
        <v>0</v>
      </c>
      <c r="B6" s="3">
        <v>20</v>
      </c>
      <c r="N6" s="2">
        <f>MAX($B$9-N5,0)</f>
        <v>0</v>
      </c>
    </row>
    <row r="7" spans="1:14" x14ac:dyDescent="0.25">
      <c r="A7" s="3" t="s">
        <v>1</v>
      </c>
      <c r="B7" s="4">
        <v>1.1000000000000001</v>
      </c>
      <c r="G7" s="1">
        <f>E9*$B$7</f>
        <v>22</v>
      </c>
      <c r="L7" s="1">
        <f>J9*$B$7</f>
        <v>22</v>
      </c>
    </row>
    <row r="8" spans="1:14" x14ac:dyDescent="0.25">
      <c r="A8" s="3" t="s">
        <v>2</v>
      </c>
      <c r="B8" s="4">
        <v>0.9</v>
      </c>
      <c r="G8" s="2">
        <f>MAX($B$9-G7,0)</f>
        <v>0</v>
      </c>
      <c r="L8" s="2">
        <f>$B$12*($B$13*N6+$B$14*N10)</f>
        <v>8.9054817124084709E-2</v>
      </c>
    </row>
    <row r="9" spans="1:14" x14ac:dyDescent="0.25">
      <c r="A9" s="3" t="s">
        <v>4</v>
      </c>
      <c r="B9" s="3">
        <v>20</v>
      </c>
      <c r="E9" s="1">
        <f>$B$6</f>
        <v>20</v>
      </c>
      <c r="J9" s="1">
        <f>$B$6</f>
        <v>20</v>
      </c>
      <c r="N9" s="1">
        <f>L11*$B$7</f>
        <v>19.8</v>
      </c>
    </row>
    <row r="10" spans="1:14" x14ac:dyDescent="0.25">
      <c r="A10" s="3" t="s">
        <v>5</v>
      </c>
      <c r="B10" s="4">
        <v>0.04</v>
      </c>
      <c r="E10" s="2">
        <f>$B$12*($B$13*G8+$B$14*G12)</f>
        <v>0.89054817124085039</v>
      </c>
      <c r="J10" s="2">
        <f>$B$12*($B$13*L8+$B$14*L12)</f>
        <v>0.85045205228188536</v>
      </c>
      <c r="N10" s="7">
        <f>MAX($B$9-N9,0)</f>
        <v>0.19999999999999929</v>
      </c>
    </row>
    <row r="11" spans="1:14" x14ac:dyDescent="0.25">
      <c r="A11" s="5" t="s">
        <v>23</v>
      </c>
      <c r="B11" s="5">
        <f>3/12</f>
        <v>0.25</v>
      </c>
      <c r="C11" t="s">
        <v>31</v>
      </c>
      <c r="G11" s="1">
        <f>E9*$B$8</f>
        <v>18</v>
      </c>
      <c r="L11" s="1">
        <f>J9*$B$8</f>
        <v>18</v>
      </c>
    </row>
    <row r="12" spans="1:14" x14ac:dyDescent="0.25">
      <c r="A12" s="5" t="s">
        <v>8</v>
      </c>
      <c r="B12" s="6">
        <f>EXP(-B10*B11)</f>
        <v>0.99004983374916811</v>
      </c>
      <c r="G12" s="2">
        <f>MAX($B$9-G11,0)</f>
        <v>2</v>
      </c>
      <c r="L12" s="2">
        <f>$B$12*($B$13*N10+$B$14*N14)</f>
        <v>1.8009966749833644</v>
      </c>
    </row>
    <row r="13" spans="1:14" x14ac:dyDescent="0.25">
      <c r="A13" s="5" t="s">
        <v>6</v>
      </c>
      <c r="B13" s="6">
        <f>(EXP(B11*B10)-B8)/(B7-B8)</f>
        <v>0.55025083542083941</v>
      </c>
      <c r="N13" s="1">
        <f>L11*$B$8</f>
        <v>16.2</v>
      </c>
    </row>
    <row r="14" spans="1:14" x14ac:dyDescent="0.25">
      <c r="A14" s="5" t="s">
        <v>9</v>
      </c>
      <c r="B14" s="6">
        <f>1-B13</f>
        <v>0.44974916457916059</v>
      </c>
      <c r="N14" s="2">
        <f>MAX($B$9-N13,0)</f>
        <v>3.8000000000000007</v>
      </c>
    </row>
    <row r="16" spans="1:14" x14ac:dyDescent="0.25">
      <c r="J16" t="s">
        <v>10</v>
      </c>
      <c r="L16" t="s">
        <v>11</v>
      </c>
      <c r="N16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1429-45ED-4A92-91EB-76143F4B734A}">
  <dimension ref="A1:Q24"/>
  <sheetViews>
    <sheetView tabSelected="1" workbookViewId="0">
      <selection activeCell="M2" sqref="M2"/>
    </sheetView>
  </sheetViews>
  <sheetFormatPr defaultRowHeight="15" x14ac:dyDescent="0.25"/>
  <cols>
    <col min="1" max="1" width="12.5703125" bestFit="1" customWidth="1"/>
  </cols>
  <sheetData>
    <row r="1" spans="1:17" x14ac:dyDescent="0.25">
      <c r="A1" s="13" t="s">
        <v>33</v>
      </c>
      <c r="F1" t="s">
        <v>38</v>
      </c>
      <c r="M1" t="s">
        <v>39</v>
      </c>
    </row>
    <row r="2" spans="1:17" x14ac:dyDescent="0.25">
      <c r="A2" s="13" t="s">
        <v>34</v>
      </c>
      <c r="F2" t="s">
        <v>15</v>
      </c>
      <c r="M2" t="s">
        <v>15</v>
      </c>
    </row>
    <row r="3" spans="1:17" x14ac:dyDescent="0.25">
      <c r="F3" s="13" t="s">
        <v>35</v>
      </c>
      <c r="M3" s="13" t="s">
        <v>36</v>
      </c>
    </row>
    <row r="5" spans="1:17" x14ac:dyDescent="0.25">
      <c r="A5" t="s">
        <v>3</v>
      </c>
      <c r="J5" s="1">
        <f>H7*$B$7</f>
        <v>72</v>
      </c>
      <c r="Q5" s="1">
        <f>O7*$B$7</f>
        <v>72</v>
      </c>
    </row>
    <row r="6" spans="1:17" x14ac:dyDescent="0.25">
      <c r="A6" s="3" t="s">
        <v>0</v>
      </c>
      <c r="B6" s="3">
        <v>50</v>
      </c>
      <c r="J6" s="2">
        <f>MAX($B$9-J5,0)</f>
        <v>0</v>
      </c>
      <c r="Q6" s="2">
        <f>MAX($B$9-Q5,0)</f>
        <v>0</v>
      </c>
    </row>
    <row r="7" spans="1:17" x14ac:dyDescent="0.25">
      <c r="A7" s="3" t="s">
        <v>1</v>
      </c>
      <c r="B7" s="4">
        <v>1.2</v>
      </c>
      <c r="H7" s="1">
        <f>F9*$B$7</f>
        <v>60</v>
      </c>
      <c r="O7" s="1">
        <f>M9*$B$7</f>
        <v>60</v>
      </c>
    </row>
    <row r="8" spans="1:17" x14ac:dyDescent="0.25">
      <c r="A8" s="3" t="s">
        <v>2</v>
      </c>
      <c r="B8" s="4">
        <v>0.8</v>
      </c>
      <c r="H8" s="2">
        <f>$B$13*($B$14*J6+$B$15*J10)</f>
        <v>1.4147530940085673</v>
      </c>
      <c r="O8" s="2">
        <f>MAX(B9-O7,$B$13*($B$14*Q6+$B$15*Q10),0)</f>
        <v>1.4147530940085673</v>
      </c>
    </row>
    <row r="9" spans="1:17" x14ac:dyDescent="0.25">
      <c r="A9" s="3" t="s">
        <v>4</v>
      </c>
      <c r="B9" s="3">
        <v>52</v>
      </c>
      <c r="F9" s="1">
        <f>$B$6</f>
        <v>50</v>
      </c>
      <c r="J9" s="1">
        <f>H11*$B$7</f>
        <v>48</v>
      </c>
      <c r="M9" s="1">
        <f>$B$6</f>
        <v>50</v>
      </c>
      <c r="Q9" s="1">
        <f>O11*$B$7</f>
        <v>48</v>
      </c>
    </row>
    <row r="10" spans="1:17" x14ac:dyDescent="0.25">
      <c r="A10" s="3" t="s">
        <v>5</v>
      </c>
      <c r="B10" s="4">
        <v>0.05</v>
      </c>
      <c r="F10" s="2">
        <f>$B$13*($B$14*H8+$B$15*H12)</f>
        <v>4.1926542806038585</v>
      </c>
      <c r="J10" s="7">
        <f>MAX($B$9-J9,0)</f>
        <v>4</v>
      </c>
      <c r="M10" s="2">
        <f>$B$13*($B$14*O8+$B$15*O12)</f>
        <v>5.0896324741983729</v>
      </c>
      <c r="Q10" s="7">
        <f>MAX($B$9-Q9,0)</f>
        <v>4</v>
      </c>
    </row>
    <row r="11" spans="1:17" x14ac:dyDescent="0.25">
      <c r="A11" s="3" t="s">
        <v>28</v>
      </c>
      <c r="B11" s="10">
        <v>2</v>
      </c>
      <c r="H11" s="1">
        <f>F9*$B$8</f>
        <v>40</v>
      </c>
      <c r="O11" s="1">
        <f>M9*$B$8</f>
        <v>40</v>
      </c>
    </row>
    <row r="12" spans="1:17" x14ac:dyDescent="0.25">
      <c r="A12" s="5" t="s">
        <v>23</v>
      </c>
      <c r="B12" s="11">
        <f>B11/2</f>
        <v>1</v>
      </c>
      <c r="C12" t="s">
        <v>31</v>
      </c>
      <c r="H12" s="2">
        <f>$B$13*($B$14*J10+$B$15*J14)</f>
        <v>9.4639300740371262</v>
      </c>
      <c r="O12" s="2">
        <f>MAX(B9-O11,$B$13*($B$14*Q10+$B$15*Q14),0)</f>
        <v>12</v>
      </c>
    </row>
    <row r="13" spans="1:17" x14ac:dyDescent="0.25">
      <c r="A13" s="5" t="s">
        <v>8</v>
      </c>
      <c r="B13" s="6">
        <f>EXP(-B10*B12)</f>
        <v>0.95122942450071402</v>
      </c>
      <c r="J13" s="1">
        <f>H11*$B$8</f>
        <v>32</v>
      </c>
      <c r="Q13" s="1">
        <f>O11*$B$8</f>
        <v>32</v>
      </c>
    </row>
    <row r="14" spans="1:17" x14ac:dyDescent="0.25">
      <c r="A14" s="5" t="s">
        <v>6</v>
      </c>
      <c r="B14" s="6">
        <f>(EXP(B12*B10)-B8)/(B7-B8)</f>
        <v>0.62817774094006029</v>
      </c>
      <c r="J14" s="2">
        <f>MAX($B$9-J13,0)</f>
        <v>20</v>
      </c>
      <c r="Q14" s="2">
        <f>MAX($B$9-Q13,0)</f>
        <v>20</v>
      </c>
    </row>
    <row r="15" spans="1:17" x14ac:dyDescent="0.25">
      <c r="A15" s="5" t="s">
        <v>9</v>
      </c>
      <c r="B15" s="6">
        <f>1-B14</f>
        <v>0.37182225905993971</v>
      </c>
    </row>
    <row r="16" spans="1:17" x14ac:dyDescent="0.25">
      <c r="F16" t="s">
        <v>10</v>
      </c>
      <c r="H16" t="s">
        <v>11</v>
      </c>
      <c r="J16" t="s">
        <v>12</v>
      </c>
      <c r="M16" t="s">
        <v>10</v>
      </c>
      <c r="O16" t="s">
        <v>11</v>
      </c>
      <c r="Q16" t="s">
        <v>12</v>
      </c>
    </row>
    <row r="24" spans="10:17" x14ac:dyDescent="0.25">
      <c r="J24" s="12" t="s">
        <v>37</v>
      </c>
      <c r="Q24" s="12" t="s">
        <v>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4319-33EC-453C-AABF-2740DA395CC0}">
  <dimension ref="A2:Q19"/>
  <sheetViews>
    <sheetView workbookViewId="0">
      <selection activeCell="B15" sqref="B15"/>
    </sheetView>
  </sheetViews>
  <sheetFormatPr defaultRowHeight="15" x14ac:dyDescent="0.25"/>
  <cols>
    <col min="1" max="1" width="15.42578125" customWidth="1"/>
    <col min="2" max="2" width="14" customWidth="1"/>
  </cols>
  <sheetData>
    <row r="2" spans="1:17" x14ac:dyDescent="0.25">
      <c r="E2" t="s">
        <v>14</v>
      </c>
      <c r="K2" t="s">
        <v>18</v>
      </c>
    </row>
    <row r="3" spans="1:17" x14ac:dyDescent="0.25">
      <c r="E3" t="s">
        <v>13</v>
      </c>
      <c r="K3" t="s">
        <v>13</v>
      </c>
      <c r="Q3" s="1">
        <f>O5*B8</f>
        <v>48.61767775019522</v>
      </c>
    </row>
    <row r="4" spans="1:17" x14ac:dyDescent="0.25">
      <c r="Q4" s="2">
        <f>MAX($B$10-Q3,0)</f>
        <v>0</v>
      </c>
    </row>
    <row r="5" spans="1:17" x14ac:dyDescent="0.25">
      <c r="A5" t="s">
        <v>3</v>
      </c>
      <c r="O5" s="1">
        <f>M7*$B$8</f>
        <v>41.845623034856089</v>
      </c>
      <c r="Q5" s="2"/>
    </row>
    <row r="6" spans="1:17" x14ac:dyDescent="0.25">
      <c r="A6" s="3" t="s">
        <v>0</v>
      </c>
      <c r="B6" s="3">
        <v>31</v>
      </c>
      <c r="O6" s="2">
        <f>$B$15*($B$16*Q4+$B$17*Q8)</f>
        <v>0</v>
      </c>
    </row>
    <row r="7" spans="1:17" x14ac:dyDescent="0.25">
      <c r="A7" s="3" t="s">
        <v>16</v>
      </c>
      <c r="B7" s="3">
        <v>0.3</v>
      </c>
      <c r="G7" s="1">
        <f>E9*$B$8</f>
        <v>36.016861524576775</v>
      </c>
      <c r="M7" s="1">
        <f>K9*$B$8</f>
        <v>36.016861524576775</v>
      </c>
      <c r="Q7" s="1">
        <f>O9*B8</f>
        <v>36.016861524576775</v>
      </c>
    </row>
    <row r="8" spans="1:17" x14ac:dyDescent="0.25">
      <c r="A8" s="3" t="s">
        <v>1</v>
      </c>
      <c r="B8" s="4">
        <f>EXP(B7*SQRT(B14))</f>
        <v>1.1618342427282831</v>
      </c>
      <c r="G8" s="2">
        <f>MAX($B$10-G7,0)</f>
        <v>0</v>
      </c>
      <c r="M8" s="2">
        <f>$B$15*($B$16*O6+$B$17*O10)</f>
        <v>0.93469406019505796</v>
      </c>
      <c r="Q8" s="2">
        <f>MAX($B$10-Q7,0)</f>
        <v>0</v>
      </c>
    </row>
    <row r="9" spans="1:17" x14ac:dyDescent="0.25">
      <c r="A9" s="3" t="s">
        <v>2</v>
      </c>
      <c r="B9" s="4">
        <f>1/B8</f>
        <v>0.86070797642505781</v>
      </c>
      <c r="E9" s="1">
        <f>$B$6</f>
        <v>31</v>
      </c>
      <c r="K9" s="1">
        <f>$B$6</f>
        <v>31</v>
      </c>
      <c r="O9" s="1">
        <f>M11*$B$8</f>
        <v>31</v>
      </c>
    </row>
    <row r="10" spans="1:17" x14ac:dyDescent="0.25">
      <c r="A10" s="3" t="s">
        <v>4</v>
      </c>
      <c r="B10" s="3">
        <v>30</v>
      </c>
      <c r="E10" s="2">
        <f>$B$15*($B$16*G8+$B$17*G12)</f>
        <v>1.7610690443348449</v>
      </c>
      <c r="K10" s="2">
        <f>$B$15*($B$16*M8+$B$17*M12)</f>
        <v>2.8356351571052616</v>
      </c>
      <c r="O10" s="2">
        <f>$B$15*($B$16*Q8+$B$17*Q12)</f>
        <v>1.7610690443348449</v>
      </c>
    </row>
    <row r="11" spans="1:17" x14ac:dyDescent="0.25">
      <c r="A11" s="3" t="s">
        <v>5</v>
      </c>
      <c r="B11" s="4">
        <v>0.05</v>
      </c>
      <c r="G11" s="1">
        <f>E9*$B$9</f>
        <v>26.681947269176792</v>
      </c>
      <c r="M11" s="1">
        <f>K9*$B$9</f>
        <v>26.681947269176792</v>
      </c>
      <c r="Q11" s="1">
        <f>O13*B8</f>
        <v>26.681947269176792</v>
      </c>
    </row>
    <row r="12" spans="1:17" x14ac:dyDescent="0.25">
      <c r="A12" s="3" t="s">
        <v>21</v>
      </c>
      <c r="B12" s="4">
        <v>0.05</v>
      </c>
      <c r="G12" s="2">
        <f>MAX($B$10-G11,0)</f>
        <v>3.318052730823208</v>
      </c>
      <c r="M12" s="2">
        <f>$B$15*($B$16*O10+$B$17*O14)</f>
        <v>4.5381578668656433</v>
      </c>
      <c r="Q12" s="2">
        <f>MAX($B$10-Q11,0)</f>
        <v>3.318052730823208</v>
      </c>
    </row>
    <row r="13" spans="1:17" x14ac:dyDescent="0.25">
      <c r="A13" s="3" t="s">
        <v>7</v>
      </c>
      <c r="B13" s="3">
        <f>9/12</f>
        <v>0.75</v>
      </c>
      <c r="O13" s="1">
        <f>M11*$B$9</f>
        <v>22.965364841133255</v>
      </c>
    </row>
    <row r="14" spans="1:17" x14ac:dyDescent="0.25">
      <c r="A14" s="5" t="s">
        <v>17</v>
      </c>
      <c r="B14" s="6">
        <f>B13/3</f>
        <v>0.25</v>
      </c>
      <c r="O14" s="2">
        <f>MAX($B$15*($B$16*Q12+$B$17*Q16),B10-O13)</f>
        <v>7.0346351588667453</v>
      </c>
    </row>
    <row r="15" spans="1:17" x14ac:dyDescent="0.25">
      <c r="A15" s="5" t="s">
        <v>20</v>
      </c>
      <c r="B15" s="8">
        <f>EXP(-B11*B14)</f>
        <v>0.98757780049388144</v>
      </c>
      <c r="Q15" s="1">
        <f>O13*B9</f>
        <v>19.766472700274974</v>
      </c>
    </row>
    <row r="16" spans="1:17" x14ac:dyDescent="0.25">
      <c r="A16" s="5" t="s">
        <v>6</v>
      </c>
      <c r="B16" s="6">
        <f>(EXP((B11-B12)*B14)-B9)/(B8-B9)</f>
        <v>0.46257015465625057</v>
      </c>
      <c r="K16" t="s">
        <v>10</v>
      </c>
      <c r="M16" t="s">
        <v>11</v>
      </c>
      <c r="O16" t="s">
        <v>12</v>
      </c>
      <c r="Q16" s="2">
        <f>MAX($B$10-Q15,0)</f>
        <v>10.233527299725026</v>
      </c>
    </row>
    <row r="17" spans="1:17" x14ac:dyDescent="0.25">
      <c r="A17" s="5" t="s">
        <v>9</v>
      </c>
      <c r="B17" s="6">
        <f>1-B16</f>
        <v>0.53742984534374938</v>
      </c>
    </row>
    <row r="19" spans="1:17" x14ac:dyDescent="0.25">
      <c r="Q19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Call</vt:lpstr>
      <vt:lpstr>Put</vt:lpstr>
      <vt:lpstr>American Put</vt:lpstr>
      <vt:lpstr>future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Pang</dc:creator>
  <cp:lastModifiedBy>Alex Pang</cp:lastModifiedBy>
  <dcterms:created xsi:type="dcterms:W3CDTF">2021-03-06T23:33:32Z</dcterms:created>
  <dcterms:modified xsi:type="dcterms:W3CDTF">2023-11-14T04:41:47Z</dcterms:modified>
</cp:coreProperties>
</file>