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d.docs.live.net/be491248f9b2b3e1/Documents/"/>
    </mc:Choice>
  </mc:AlternateContent>
  <xr:revisionPtr revIDLastSave="0" documentId="8_{CFEFFA74-F0D2-485F-A050-DE13078E9ECE}" xr6:coauthVersionLast="47" xr6:coauthVersionMax="47" xr10:uidLastSave="{00000000-0000-0000-0000-000000000000}"/>
  <bookViews>
    <workbookView xWindow="-120" yWindow="-120" windowWidth="29040" windowHeight="15840" xr2:uid="{1EAE5835-E10E-41B5-BD13-4FB90B30B8CB}"/>
  </bookViews>
  <sheets>
    <sheet name="Cover" sheetId="1" r:id="rId1"/>
    <sheet name="Company summary" sheetId="2" r:id="rId2"/>
    <sheet name="BSorig" sheetId="3" r:id="rId3"/>
    <sheet name="ISorig" sheetId="4" r:id="rId4"/>
    <sheet name="CFstm" sheetId="5" r:id="rId5"/>
    <sheet name="BSmod" sheetId="6" r:id="rId6"/>
    <sheet name="ISmod" sheetId="7" r:id="rId7"/>
    <sheet name="IS&amp;BS pro forma" sheetId="8" r:id="rId8"/>
    <sheet name="Support tab" sheetId="9" r:id="rId9"/>
    <sheet name="Fin ratio" sheetId="10" r:id="rId10"/>
    <sheet name="Revised IS&amp;BS pro forma" sheetId="15" r:id="rId11"/>
    <sheet name="Valuation" sheetId="11" r:id="rId12"/>
    <sheet name="Risk Analysis" sheetId="12" r:id="rId13"/>
  </sheets>
  <externalReferences>
    <externalReference r:id="rId14"/>
    <externalReference r:id="rId15"/>
  </externalReferenc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0" i="11" l="1"/>
  <c r="C40" i="11"/>
  <c r="X10" i="11"/>
  <c r="G48" i="11"/>
  <c r="F30" i="11"/>
  <c r="AG8" i="12"/>
  <c r="AC8" i="12"/>
  <c r="AC10" i="12"/>
  <c r="H13" i="11"/>
  <c r="I13" i="11"/>
  <c r="J13" i="11"/>
  <c r="K13" i="11"/>
  <c r="L13" i="11"/>
  <c r="AG9" i="12"/>
  <c r="AE9" i="12"/>
  <c r="I77" i="11"/>
  <c r="I73" i="11"/>
  <c r="K77" i="11"/>
  <c r="K73" i="11"/>
  <c r="H77" i="11"/>
  <c r="H73" i="11"/>
  <c r="J77" i="11"/>
  <c r="J73" i="11"/>
  <c r="D13" i="11"/>
  <c r="D14" i="11"/>
  <c r="E13" i="11"/>
  <c r="E14" i="11"/>
  <c r="F13" i="11"/>
  <c r="F14" i="11"/>
  <c r="G13" i="11"/>
  <c r="C13" i="11"/>
  <c r="C14" i="11"/>
  <c r="E285" i="11"/>
  <c r="P69" i="15"/>
  <c r="M69" i="15"/>
  <c r="J69" i="15"/>
  <c r="G69" i="15"/>
  <c r="D69" i="15"/>
  <c r="P68" i="15"/>
  <c r="M68" i="15"/>
  <c r="J68" i="15"/>
  <c r="G68" i="15"/>
  <c r="D68" i="15"/>
  <c r="P67" i="15"/>
  <c r="M67" i="15"/>
  <c r="J67" i="15"/>
  <c r="G67" i="15"/>
  <c r="D67" i="15"/>
  <c r="P66" i="15"/>
  <c r="M66" i="15"/>
  <c r="J66" i="15"/>
  <c r="G66" i="15"/>
  <c r="D66" i="15"/>
  <c r="X65" i="15"/>
  <c r="W65" i="15"/>
  <c r="V65" i="15"/>
  <c r="U65" i="15"/>
  <c r="T65" i="15"/>
  <c r="P65" i="15"/>
  <c r="M65" i="15"/>
  <c r="J65" i="15"/>
  <c r="G65" i="15"/>
  <c r="D65" i="15"/>
  <c r="X64" i="15"/>
  <c r="W64" i="15"/>
  <c r="V64" i="15"/>
  <c r="U64" i="15"/>
  <c r="T64" i="15"/>
  <c r="P64" i="15"/>
  <c r="M64" i="15"/>
  <c r="J64" i="15"/>
  <c r="G64" i="15"/>
  <c r="D64" i="15"/>
  <c r="P61" i="15"/>
  <c r="S61" i="15"/>
  <c r="M61" i="15"/>
  <c r="J61" i="15"/>
  <c r="G61" i="15"/>
  <c r="D61" i="15"/>
  <c r="X60" i="15"/>
  <c r="W60" i="15"/>
  <c r="V60" i="15"/>
  <c r="U60" i="15"/>
  <c r="T60" i="15"/>
  <c r="P60" i="15"/>
  <c r="M60" i="15"/>
  <c r="J60" i="15"/>
  <c r="G60" i="15"/>
  <c r="D60" i="15"/>
  <c r="S60" i="15"/>
  <c r="P58" i="15"/>
  <c r="M58" i="15"/>
  <c r="J58" i="15"/>
  <c r="S58" i="15"/>
  <c r="G58" i="15"/>
  <c r="D58" i="15"/>
  <c r="P57" i="15"/>
  <c r="M57" i="15"/>
  <c r="J57" i="15"/>
  <c r="G57" i="15"/>
  <c r="D57" i="15"/>
  <c r="P56" i="15"/>
  <c r="M56" i="15"/>
  <c r="J56" i="15"/>
  <c r="G56" i="15"/>
  <c r="D56" i="15"/>
  <c r="P55" i="15"/>
  <c r="S55" i="15"/>
  <c r="M55" i="15"/>
  <c r="J55" i="15"/>
  <c r="G55" i="15"/>
  <c r="D55" i="15"/>
  <c r="P54" i="15"/>
  <c r="M54" i="15"/>
  <c r="J54" i="15"/>
  <c r="G54" i="15"/>
  <c r="D54" i="15"/>
  <c r="P53" i="15"/>
  <c r="M53" i="15"/>
  <c r="S53" i="15"/>
  <c r="J53" i="15"/>
  <c r="G53" i="15"/>
  <c r="D53" i="15"/>
  <c r="P52" i="15"/>
  <c r="M52" i="15"/>
  <c r="J52" i="15"/>
  <c r="S52" i="15"/>
  <c r="G52" i="15"/>
  <c r="D52" i="15"/>
  <c r="P51" i="15"/>
  <c r="M51" i="15"/>
  <c r="S51" i="15"/>
  <c r="J51" i="15"/>
  <c r="G51" i="15"/>
  <c r="D51" i="15"/>
  <c r="P50" i="15"/>
  <c r="M50" i="15"/>
  <c r="J50" i="15"/>
  <c r="G50" i="15"/>
  <c r="D50" i="15"/>
  <c r="P48" i="15"/>
  <c r="M48" i="15"/>
  <c r="J48" i="15"/>
  <c r="G48" i="15"/>
  <c r="D48" i="15"/>
  <c r="P47" i="15"/>
  <c r="M47" i="15"/>
  <c r="S47" i="15"/>
  <c r="J47" i="15"/>
  <c r="G47" i="15"/>
  <c r="D47" i="15"/>
  <c r="P46" i="15"/>
  <c r="S46" i="15"/>
  <c r="M46" i="15"/>
  <c r="J46" i="15"/>
  <c r="G46" i="15"/>
  <c r="D46" i="15"/>
  <c r="S45" i="15"/>
  <c r="X45" i="15"/>
  <c r="P45" i="15"/>
  <c r="M45" i="15"/>
  <c r="J45" i="15"/>
  <c r="G45" i="15"/>
  <c r="D45" i="15"/>
  <c r="X44" i="15"/>
  <c r="W44" i="15"/>
  <c r="V44" i="15"/>
  <c r="U44" i="15"/>
  <c r="T44" i="15"/>
  <c r="S44" i="15"/>
  <c r="P44" i="15"/>
  <c r="M44" i="15"/>
  <c r="J44" i="15"/>
  <c r="G44" i="15"/>
  <c r="D44" i="15"/>
  <c r="P43" i="15"/>
  <c r="M43" i="15"/>
  <c r="J43" i="15"/>
  <c r="S43" i="15"/>
  <c r="G43" i="15"/>
  <c r="D43" i="15"/>
  <c r="P42" i="15"/>
  <c r="M42" i="15"/>
  <c r="J42" i="15"/>
  <c r="G42" i="15"/>
  <c r="D42" i="15"/>
  <c r="D41" i="15"/>
  <c r="P40" i="15"/>
  <c r="S40" i="15"/>
  <c r="M40" i="15"/>
  <c r="J40" i="15"/>
  <c r="G40" i="15"/>
  <c r="D40" i="15"/>
  <c r="P39" i="15"/>
  <c r="M39" i="15"/>
  <c r="J39" i="15"/>
  <c r="G39" i="15"/>
  <c r="D39" i="15"/>
  <c r="S38" i="15"/>
  <c r="P38" i="15"/>
  <c r="M38" i="15"/>
  <c r="J38" i="15"/>
  <c r="G38" i="15"/>
  <c r="D38" i="15"/>
  <c r="P37" i="15"/>
  <c r="M37" i="15"/>
  <c r="J37" i="15"/>
  <c r="G37" i="15"/>
  <c r="D37" i="15"/>
  <c r="P36" i="15"/>
  <c r="M36" i="15"/>
  <c r="J36" i="15"/>
  <c r="S36" i="15"/>
  <c r="G36" i="15"/>
  <c r="D36" i="15"/>
  <c r="P35" i="15"/>
  <c r="M35" i="15"/>
  <c r="J35" i="15"/>
  <c r="S35" i="15"/>
  <c r="G35" i="15"/>
  <c r="D35" i="15"/>
  <c r="P34" i="15"/>
  <c r="M34" i="15"/>
  <c r="J34" i="15"/>
  <c r="G34" i="15"/>
  <c r="D34" i="15"/>
  <c r="P24" i="15"/>
  <c r="M24" i="15"/>
  <c r="J24" i="15"/>
  <c r="G24" i="15"/>
  <c r="D24" i="15"/>
  <c r="S23" i="15"/>
  <c r="P23" i="15"/>
  <c r="M23" i="15"/>
  <c r="J23" i="15"/>
  <c r="G23" i="15"/>
  <c r="D23" i="15"/>
  <c r="P22" i="15"/>
  <c r="M22" i="15"/>
  <c r="J22" i="15"/>
  <c r="G22" i="15"/>
  <c r="D22" i="15"/>
  <c r="P21" i="15"/>
  <c r="M21" i="15"/>
  <c r="J21" i="15"/>
  <c r="G21" i="15"/>
  <c r="D21" i="15"/>
  <c r="X20" i="15"/>
  <c r="W20" i="15"/>
  <c r="V20" i="15"/>
  <c r="U20" i="15"/>
  <c r="T20" i="15"/>
  <c r="P20" i="15"/>
  <c r="M20" i="15"/>
  <c r="J20" i="15"/>
  <c r="G20" i="15"/>
  <c r="D20" i="15"/>
  <c r="P19" i="15"/>
  <c r="M19" i="15"/>
  <c r="J19" i="15"/>
  <c r="G19" i="15"/>
  <c r="D19" i="15"/>
  <c r="P18" i="15"/>
  <c r="M18" i="15"/>
  <c r="J18" i="15"/>
  <c r="G18" i="15"/>
  <c r="D18" i="15"/>
  <c r="P17" i="15"/>
  <c r="M17" i="15"/>
  <c r="J17" i="15"/>
  <c r="G17" i="15"/>
  <c r="D17" i="15"/>
  <c r="P16" i="15"/>
  <c r="M16" i="15"/>
  <c r="J16" i="15"/>
  <c r="G16" i="15"/>
  <c r="D16" i="15"/>
  <c r="P15" i="15"/>
  <c r="M15" i="15"/>
  <c r="J15" i="15"/>
  <c r="S15" i="15"/>
  <c r="G15" i="15"/>
  <c r="D15" i="15"/>
  <c r="P14" i="15"/>
  <c r="M14" i="15"/>
  <c r="J14" i="15"/>
  <c r="G14" i="15"/>
  <c r="D14" i="15"/>
  <c r="P13" i="15"/>
  <c r="M13" i="15"/>
  <c r="J13" i="15"/>
  <c r="G13" i="15"/>
  <c r="D13" i="15"/>
  <c r="P12" i="15"/>
  <c r="M12" i="15"/>
  <c r="J12" i="15"/>
  <c r="G12" i="15"/>
  <c r="D12" i="15"/>
  <c r="P11" i="15"/>
  <c r="M11" i="15"/>
  <c r="J11" i="15"/>
  <c r="G11" i="15"/>
  <c r="D11" i="15"/>
  <c r="P10" i="15"/>
  <c r="M10" i="15"/>
  <c r="J10" i="15"/>
  <c r="S10" i="15"/>
  <c r="G10" i="15"/>
  <c r="D10" i="15"/>
  <c r="T9" i="15"/>
  <c r="P9" i="15"/>
  <c r="N9" i="15"/>
  <c r="M9" i="15"/>
  <c r="K9" i="15"/>
  <c r="J9" i="15"/>
  <c r="H9" i="15"/>
  <c r="G9" i="15"/>
  <c r="E9" i="15"/>
  <c r="D9" i="15"/>
  <c r="U60" i="8"/>
  <c r="V60" i="8"/>
  <c r="W60" i="8"/>
  <c r="X60" i="8"/>
  <c r="T60" i="8"/>
  <c r="G14" i="11"/>
  <c r="T43" i="15"/>
  <c r="T35" i="15"/>
  <c r="T51" i="15"/>
  <c r="T56" i="15"/>
  <c r="U51" i="15"/>
  <c r="U46" i="15"/>
  <c r="T46" i="15"/>
  <c r="T55" i="15"/>
  <c r="U40" i="15"/>
  <c r="T40" i="15"/>
  <c r="U53" i="15"/>
  <c r="T53" i="15"/>
  <c r="T15" i="15"/>
  <c r="T23" i="15"/>
  <c r="T10" i="15"/>
  <c r="T12" i="15"/>
  <c r="T50" i="15"/>
  <c r="T37" i="15"/>
  <c r="T61" i="15"/>
  <c r="U9" i="15"/>
  <c r="U47" i="15"/>
  <c r="T47" i="15"/>
  <c r="T13" i="15"/>
  <c r="T18" i="15"/>
  <c r="T38" i="15"/>
  <c r="T52" i="15"/>
  <c r="U58" i="15"/>
  <c r="T58" i="15"/>
  <c r="U61" i="15"/>
  <c r="T36" i="15"/>
  <c r="V45" i="15"/>
  <c r="T45" i="15"/>
  <c r="U45" i="15"/>
  <c r="W45" i="15"/>
  <c r="I80" i="11"/>
  <c r="J80" i="11"/>
  <c r="K80" i="11"/>
  <c r="K79" i="11"/>
  <c r="I79" i="11"/>
  <c r="J79" i="11"/>
  <c r="H80" i="11"/>
  <c r="H79" i="11"/>
  <c r="Y8" i="11"/>
  <c r="C26" i="11"/>
  <c r="C35" i="11"/>
  <c r="T41" i="15"/>
  <c r="T42" i="15"/>
  <c r="T71" i="15"/>
  <c r="U41" i="15"/>
  <c r="U42" i="15"/>
  <c r="U10" i="15"/>
  <c r="U12" i="15"/>
  <c r="U50" i="15"/>
  <c r="U37" i="15"/>
  <c r="V9" i="15"/>
  <c r="U13" i="15"/>
  <c r="U35" i="15"/>
  <c r="U23" i="15"/>
  <c r="U36" i="15"/>
  <c r="U38" i="15"/>
  <c r="U15" i="15"/>
  <c r="U43" i="15"/>
  <c r="U52" i="15"/>
  <c r="U56" i="15"/>
  <c r="U55" i="15"/>
  <c r="I78" i="11"/>
  <c r="I81" i="11"/>
  <c r="I82" i="11"/>
  <c r="F142" i="11"/>
  <c r="J78" i="11"/>
  <c r="J81" i="11"/>
  <c r="J82" i="11"/>
  <c r="F89" i="11"/>
  <c r="H78" i="11"/>
  <c r="H81" i="11"/>
  <c r="H82" i="11"/>
  <c r="F107" i="11"/>
  <c r="I72" i="11"/>
  <c r="J72" i="11"/>
  <c r="K72" i="11"/>
  <c r="H72" i="11"/>
  <c r="U71" i="15"/>
  <c r="U18" i="15"/>
  <c r="V10" i="15"/>
  <c r="V12" i="15"/>
  <c r="V50" i="15"/>
  <c r="V37" i="15"/>
  <c r="V13" i="15"/>
  <c r="V36" i="15"/>
  <c r="W9" i="15"/>
  <c r="V43" i="15"/>
  <c r="V52" i="15"/>
  <c r="V15" i="15"/>
  <c r="V55" i="15"/>
  <c r="V38" i="15"/>
  <c r="V35" i="15"/>
  <c r="V23" i="15"/>
  <c r="V40" i="15"/>
  <c r="V51" i="15"/>
  <c r="V56" i="15"/>
  <c r="V58" i="15"/>
  <c r="V46" i="15"/>
  <c r="V47" i="15"/>
  <c r="V53" i="15"/>
  <c r="V61" i="15"/>
  <c r="D20" i="10"/>
  <c r="E20" i="10"/>
  <c r="F20" i="10"/>
  <c r="G20" i="10"/>
  <c r="C20" i="10"/>
  <c r="G15" i="11"/>
  <c r="G45" i="11"/>
  <c r="C15" i="11"/>
  <c r="G38" i="11"/>
  <c r="C251" i="11"/>
  <c r="V41" i="15"/>
  <c r="V42" i="15"/>
  <c r="V71" i="15"/>
  <c r="W10" i="15"/>
  <c r="W12" i="15"/>
  <c r="W50" i="15"/>
  <c r="W37" i="15"/>
  <c r="W13" i="15"/>
  <c r="W18" i="15"/>
  <c r="X9" i="15"/>
  <c r="W36" i="15"/>
  <c r="W52" i="15"/>
  <c r="W61" i="15"/>
  <c r="W43" i="15"/>
  <c r="W55" i="15"/>
  <c r="W23" i="15"/>
  <c r="W35" i="15"/>
  <c r="W58" i="15"/>
  <c r="W46" i="15"/>
  <c r="W38" i="15"/>
  <c r="W47" i="15"/>
  <c r="W40" i="15"/>
  <c r="W51" i="15"/>
  <c r="W15" i="15"/>
  <c r="W53" i="15"/>
  <c r="V18" i="15"/>
  <c r="G51" i="11"/>
  <c r="G53" i="11"/>
  <c r="K78" i="11"/>
  <c r="K81" i="11"/>
  <c r="K82" i="11"/>
  <c r="F124" i="11"/>
  <c r="W41" i="15"/>
  <c r="W42" i="15"/>
  <c r="W71" i="15"/>
  <c r="X50" i="15"/>
  <c r="X37" i="15"/>
  <c r="X36" i="15"/>
  <c r="X10" i="15"/>
  <c r="X12" i="15"/>
  <c r="X13" i="15"/>
  <c r="X18" i="15"/>
  <c r="X43" i="15"/>
  <c r="X55" i="15"/>
  <c r="X38" i="15"/>
  <c r="X35" i="15"/>
  <c r="X23" i="15"/>
  <c r="X40" i="15"/>
  <c r="X58" i="15"/>
  <c r="X47" i="15"/>
  <c r="X53" i="15"/>
  <c r="X61" i="15"/>
  <c r="X15" i="15"/>
  <c r="X51" i="15"/>
  <c r="X56" i="15"/>
  <c r="X46" i="15"/>
  <c r="X52" i="15"/>
  <c r="W56" i="15"/>
  <c r="T4" i="11"/>
  <c r="R4" i="11"/>
  <c r="C44" i="11"/>
  <c r="C45" i="11"/>
  <c r="C32" i="11"/>
  <c r="R5" i="11"/>
  <c r="R6" i="11"/>
  <c r="R7" i="11"/>
  <c r="R8" i="11"/>
  <c r="R9" i="11"/>
  <c r="R10" i="11"/>
  <c r="R11" i="11"/>
  <c r="R12" i="11"/>
  <c r="R13" i="11"/>
  <c r="R14" i="11"/>
  <c r="R15" i="11"/>
  <c r="R16" i="11"/>
  <c r="R17" i="11"/>
  <c r="R18" i="11"/>
  <c r="R19" i="11"/>
  <c r="R20" i="11"/>
  <c r="R21" i="11"/>
  <c r="R22" i="11"/>
  <c r="R23" i="11"/>
  <c r="R24" i="11"/>
  <c r="R25" i="11"/>
  <c r="R26" i="11"/>
  <c r="R27" i="11"/>
  <c r="R28" i="11"/>
  <c r="R29" i="11"/>
  <c r="R30" i="11"/>
  <c r="R31" i="11"/>
  <c r="R32" i="11"/>
  <c r="R33" i="11"/>
  <c r="R34" i="11"/>
  <c r="R35" i="11"/>
  <c r="R36" i="11"/>
  <c r="R37" i="11"/>
  <c r="R38" i="11"/>
  <c r="R39" i="11"/>
  <c r="R40" i="11"/>
  <c r="R41" i="11"/>
  <c r="R42" i="11"/>
  <c r="R43" i="11"/>
  <c r="R44" i="11"/>
  <c r="R45" i="11"/>
  <c r="R46" i="11"/>
  <c r="R47" i="11"/>
  <c r="R48" i="11"/>
  <c r="R49" i="11"/>
  <c r="R50" i="11"/>
  <c r="R51" i="11"/>
  <c r="R52" i="11"/>
  <c r="R53" i="11"/>
  <c r="R54" i="11"/>
  <c r="R55" i="11"/>
  <c r="R56" i="11"/>
  <c r="R57" i="11"/>
  <c r="R58" i="11"/>
  <c r="R59" i="11"/>
  <c r="R60" i="11"/>
  <c r="R61" i="11"/>
  <c r="R62" i="11"/>
  <c r="R63" i="11"/>
  <c r="T5" i="11"/>
  <c r="T6" i="11"/>
  <c r="T7" i="11"/>
  <c r="T8" i="11"/>
  <c r="T9" i="11"/>
  <c r="T10" i="11"/>
  <c r="T11" i="11"/>
  <c r="T12" i="11"/>
  <c r="T13" i="11"/>
  <c r="T14" i="11"/>
  <c r="T15" i="11"/>
  <c r="T16" i="11"/>
  <c r="T17" i="11"/>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T63" i="11"/>
  <c r="I8" i="11"/>
  <c r="J8" i="11"/>
  <c r="K8" i="11"/>
  <c r="L8" i="11"/>
  <c r="H8" i="11"/>
  <c r="I7" i="11"/>
  <c r="J7" i="11"/>
  <c r="K7" i="11"/>
  <c r="L7" i="11"/>
  <c r="H7" i="11"/>
  <c r="I4" i="11"/>
  <c r="J4" i="11"/>
  <c r="K4" i="11"/>
  <c r="L4" i="11"/>
  <c r="H4" i="11"/>
  <c r="J18" i="11"/>
  <c r="K18" i="11"/>
  <c r="L18" i="11"/>
  <c r="I18" i="11"/>
  <c r="H18" i="11"/>
  <c r="E17" i="11"/>
  <c r="F17" i="11"/>
  <c r="G17" i="11"/>
  <c r="D17" i="11"/>
  <c r="I15" i="11"/>
  <c r="J15" i="11"/>
  <c r="K15" i="11"/>
  <c r="L15" i="11"/>
  <c r="H15" i="11"/>
  <c r="G16" i="11"/>
  <c r="F16" i="11"/>
  <c r="E16" i="11"/>
  <c r="D16" i="11"/>
  <c r="G18" i="11"/>
  <c r="F18" i="11"/>
  <c r="E18" i="11"/>
  <c r="D18" i="11"/>
  <c r="D15" i="11"/>
  <c r="E15" i="11"/>
  <c r="F15" i="11"/>
  <c r="D9" i="11"/>
  <c r="E9" i="11"/>
  <c r="F9" i="11"/>
  <c r="G9" i="11"/>
  <c r="C9" i="11"/>
  <c r="D8" i="11"/>
  <c r="E8" i="11"/>
  <c r="F8" i="11"/>
  <c r="G8" i="11"/>
  <c r="C8" i="11"/>
  <c r="D7" i="11"/>
  <c r="E7" i="11"/>
  <c r="F7" i="11"/>
  <c r="G7" i="11"/>
  <c r="C7" i="11"/>
  <c r="D6" i="11"/>
  <c r="E6" i="11"/>
  <c r="F6" i="11"/>
  <c r="G6" i="11"/>
  <c r="G55" i="11"/>
  <c r="C6" i="11"/>
  <c r="G3" i="11"/>
  <c r="G5" i="11"/>
  <c r="G19" i="11"/>
  <c r="F3" i="11"/>
  <c r="F5" i="11"/>
  <c r="F19" i="11"/>
  <c r="E3" i="11"/>
  <c r="E5" i="11"/>
  <c r="E19" i="11"/>
  <c r="D3" i="11"/>
  <c r="D5" i="11"/>
  <c r="D19" i="11"/>
  <c r="C3" i="11"/>
  <c r="C5" i="11"/>
  <c r="X41" i="15"/>
  <c r="X42" i="15"/>
  <c r="X71" i="15"/>
  <c r="D20" i="11"/>
  <c r="Y13" i="11"/>
  <c r="X15" i="11"/>
  <c r="G56" i="11"/>
  <c r="G40" i="11"/>
  <c r="G20" i="11"/>
  <c r="C46" i="11"/>
  <c r="F11" i="11"/>
  <c r="G10" i="11"/>
  <c r="E11" i="11"/>
  <c r="D10" i="11"/>
  <c r="F10" i="11"/>
  <c r="E10" i="11"/>
  <c r="F20" i="11"/>
  <c r="C10" i="11"/>
  <c r="C39" i="11"/>
  <c r="E20" i="11"/>
  <c r="C33" i="11"/>
  <c r="C41" i="11"/>
  <c r="D11" i="11"/>
  <c r="G11" i="11"/>
  <c r="F80" i="9"/>
  <c r="T20" i="8"/>
  <c r="I92" i="9"/>
  <c r="I90" i="9"/>
  <c r="D19" i="10"/>
  <c r="E19" i="10"/>
  <c r="F19" i="10"/>
  <c r="G19" i="10"/>
  <c r="C19" i="10"/>
  <c r="E18" i="10"/>
  <c r="F18" i="10"/>
  <c r="G18" i="10"/>
  <c r="D18" i="10"/>
  <c r="J17" i="10"/>
  <c r="K17" i="10"/>
  <c r="L17" i="10"/>
  <c r="I17" i="10"/>
  <c r="H17" i="10"/>
  <c r="E17" i="10"/>
  <c r="F17" i="10"/>
  <c r="G17" i="10"/>
  <c r="D17" i="10"/>
  <c r="E16" i="10"/>
  <c r="F16" i="10"/>
  <c r="G16" i="10"/>
  <c r="D16" i="10"/>
  <c r="D15" i="10"/>
  <c r="E15" i="10"/>
  <c r="F15" i="10"/>
  <c r="G15" i="10"/>
  <c r="C15" i="10"/>
  <c r="D14" i="10"/>
  <c r="E14" i="10"/>
  <c r="F14" i="10"/>
  <c r="G14" i="10"/>
  <c r="C14" i="10"/>
  <c r="D13" i="10"/>
  <c r="E13" i="10"/>
  <c r="F13" i="10"/>
  <c r="G13" i="10"/>
  <c r="C13" i="10"/>
  <c r="D12" i="10"/>
  <c r="E12" i="10"/>
  <c r="F12" i="10"/>
  <c r="G12" i="10"/>
  <c r="C12" i="10"/>
  <c r="D11" i="10"/>
  <c r="E11" i="10"/>
  <c r="F11" i="10"/>
  <c r="G11" i="10"/>
  <c r="C11" i="10"/>
  <c r="D10" i="10"/>
  <c r="E10" i="10"/>
  <c r="F10" i="10"/>
  <c r="G10" i="10"/>
  <c r="C10" i="10"/>
  <c r="D9" i="10"/>
  <c r="E9" i="10"/>
  <c r="F9" i="10"/>
  <c r="G9" i="10"/>
  <c r="C9" i="10"/>
  <c r="D8" i="10"/>
  <c r="E8" i="10"/>
  <c r="F8" i="10"/>
  <c r="G8" i="10"/>
  <c r="C8" i="10"/>
  <c r="D7" i="10"/>
  <c r="E7" i="10"/>
  <c r="F7" i="10"/>
  <c r="G7" i="10"/>
  <c r="C7" i="10"/>
  <c r="D6" i="10"/>
  <c r="E6" i="10"/>
  <c r="F6" i="10"/>
  <c r="G6" i="10"/>
  <c r="C6" i="10"/>
  <c r="D5" i="10"/>
  <c r="E5" i="10"/>
  <c r="F5" i="10"/>
  <c r="G5" i="10"/>
  <c r="C5" i="10"/>
  <c r="D4" i="10"/>
  <c r="E4" i="10"/>
  <c r="F4" i="10"/>
  <c r="G4" i="10"/>
  <c r="C4" i="10"/>
  <c r="D3" i="10"/>
  <c r="E3" i="10"/>
  <c r="F3" i="10"/>
  <c r="G3" i="10"/>
  <c r="C3" i="10"/>
  <c r="G80" i="9"/>
  <c r="U20" i="8"/>
  <c r="H80" i="9"/>
  <c r="V20" i="8"/>
  <c r="I80" i="9"/>
  <c r="W20" i="8"/>
  <c r="J80" i="9"/>
  <c r="X20" i="8"/>
  <c r="F74" i="9"/>
  <c r="G73" i="9"/>
  <c r="H73" i="9"/>
  <c r="I73" i="9"/>
  <c r="I74" i="9"/>
  <c r="J73" i="9"/>
  <c r="J74" i="9"/>
  <c r="F73" i="9"/>
  <c r="G72" i="9"/>
  <c r="H72" i="9"/>
  <c r="I72" i="9"/>
  <c r="J72" i="9"/>
  <c r="F72" i="9"/>
  <c r="G71" i="9"/>
  <c r="H71" i="9"/>
  <c r="I71" i="9"/>
  <c r="J71" i="9"/>
  <c r="F71" i="9"/>
  <c r="F70" i="9"/>
  <c r="H70" i="9"/>
  <c r="H74" i="9"/>
  <c r="F69" i="9"/>
  <c r="U65" i="8"/>
  <c r="V65" i="8"/>
  <c r="W65" i="8"/>
  <c r="X65" i="8"/>
  <c r="T65" i="8"/>
  <c r="J55" i="9"/>
  <c r="J54" i="9"/>
  <c r="K55" i="9"/>
  <c r="K54" i="9"/>
  <c r="L55" i="9"/>
  <c r="L54" i="9"/>
  <c r="M55" i="9"/>
  <c r="M54" i="9"/>
  <c r="I54" i="9"/>
  <c r="U64" i="8"/>
  <c r="V64" i="8"/>
  <c r="W64" i="8"/>
  <c r="X64" i="8"/>
  <c r="T64" i="8"/>
  <c r="I41" i="9"/>
  <c r="J42" i="9"/>
  <c r="J41" i="9"/>
  <c r="K42" i="9"/>
  <c r="K41" i="9"/>
  <c r="L42" i="9"/>
  <c r="L41" i="9"/>
  <c r="I42" i="9"/>
  <c r="H41" i="9"/>
  <c r="D41" i="8"/>
  <c r="P40" i="8"/>
  <c r="M40" i="8"/>
  <c r="S40" i="8"/>
  <c r="J40" i="8"/>
  <c r="G40" i="8"/>
  <c r="D40" i="8"/>
  <c r="C48" i="6"/>
  <c r="C9" i="6"/>
  <c r="C11" i="6"/>
  <c r="D48" i="6"/>
  <c r="D9" i="6"/>
  <c r="D11" i="6"/>
  <c r="E48" i="6"/>
  <c r="E9" i="6"/>
  <c r="E11" i="6"/>
  <c r="F48" i="6"/>
  <c r="F9" i="6"/>
  <c r="F11" i="6"/>
  <c r="B48" i="6"/>
  <c r="B9" i="6"/>
  <c r="B11" i="6"/>
  <c r="U50" i="8"/>
  <c r="V50" i="8"/>
  <c r="W50" i="8"/>
  <c r="W37" i="8"/>
  <c r="X37" i="8"/>
  <c r="T37" i="8"/>
  <c r="S45" i="8"/>
  <c r="U45" i="8"/>
  <c r="S44" i="8"/>
  <c r="U44" i="8"/>
  <c r="T9" i="8"/>
  <c r="U9" i="8"/>
  <c r="V9" i="8"/>
  <c r="W9" i="8"/>
  <c r="X9" i="8"/>
  <c r="X50" i="8"/>
  <c r="P35" i="8"/>
  <c r="P36" i="8"/>
  <c r="P37" i="8"/>
  <c r="P38" i="8"/>
  <c r="P39" i="8"/>
  <c r="P42" i="8"/>
  <c r="P43" i="8"/>
  <c r="P44" i="8"/>
  <c r="P45" i="8"/>
  <c r="P46" i="8"/>
  <c r="P47" i="8"/>
  <c r="P48" i="8"/>
  <c r="P50" i="8"/>
  <c r="P51" i="8"/>
  <c r="P52" i="8"/>
  <c r="P53" i="8"/>
  <c r="P54" i="8"/>
  <c r="P55" i="8"/>
  <c r="P56" i="8"/>
  <c r="P57" i="8"/>
  <c r="P58" i="8"/>
  <c r="P60" i="8"/>
  <c r="P61" i="8"/>
  <c r="S61" i="8"/>
  <c r="P64" i="8"/>
  <c r="P65" i="8"/>
  <c r="P66" i="8"/>
  <c r="P67" i="8"/>
  <c r="P68" i="8"/>
  <c r="P69" i="8"/>
  <c r="P34" i="8"/>
  <c r="M50" i="8"/>
  <c r="M51" i="8"/>
  <c r="M52" i="8"/>
  <c r="M53" i="8"/>
  <c r="M54" i="8"/>
  <c r="M55" i="8"/>
  <c r="M56" i="8"/>
  <c r="M57" i="8"/>
  <c r="M58" i="8"/>
  <c r="M60" i="8"/>
  <c r="M61" i="8"/>
  <c r="M64" i="8"/>
  <c r="M65" i="8"/>
  <c r="M66" i="8"/>
  <c r="M67" i="8"/>
  <c r="M68" i="8"/>
  <c r="M69" i="8"/>
  <c r="M35" i="8"/>
  <c r="M36" i="8"/>
  <c r="M37" i="8"/>
  <c r="M38" i="8"/>
  <c r="M39" i="8"/>
  <c r="M42" i="8"/>
  <c r="M43" i="8"/>
  <c r="M44" i="8"/>
  <c r="M45" i="8"/>
  <c r="M46" i="8"/>
  <c r="M47" i="8"/>
  <c r="S47" i="8"/>
  <c r="U47" i="8"/>
  <c r="M48" i="8"/>
  <c r="M34" i="8"/>
  <c r="J35" i="8"/>
  <c r="J36" i="8"/>
  <c r="J37" i="8"/>
  <c r="J38" i="8"/>
  <c r="J39" i="8"/>
  <c r="J42" i="8"/>
  <c r="J43" i="8"/>
  <c r="J44" i="8"/>
  <c r="J45" i="8"/>
  <c r="J46" i="8"/>
  <c r="J47" i="8"/>
  <c r="J48" i="8"/>
  <c r="J50" i="8"/>
  <c r="J51" i="8"/>
  <c r="J52" i="8"/>
  <c r="S52" i="8"/>
  <c r="J53" i="8"/>
  <c r="S53" i="8"/>
  <c r="J54" i="8"/>
  <c r="J55" i="8"/>
  <c r="J56" i="8"/>
  <c r="J57" i="8"/>
  <c r="J58" i="8"/>
  <c r="J60" i="8"/>
  <c r="J61" i="8"/>
  <c r="J64" i="8"/>
  <c r="J65" i="8"/>
  <c r="J66" i="8"/>
  <c r="J67" i="8"/>
  <c r="J68" i="8"/>
  <c r="J69" i="8"/>
  <c r="J34" i="8"/>
  <c r="G35" i="8"/>
  <c r="G36" i="8"/>
  <c r="G37" i="8"/>
  <c r="G38" i="8"/>
  <c r="G39" i="8"/>
  <c r="G42" i="8"/>
  <c r="G43" i="8"/>
  <c r="G44" i="8"/>
  <c r="G45" i="8"/>
  <c r="G46" i="8"/>
  <c r="G47" i="8"/>
  <c r="G48" i="8"/>
  <c r="G50" i="8"/>
  <c r="G51" i="8"/>
  <c r="G52" i="8"/>
  <c r="G53" i="8"/>
  <c r="G54" i="8"/>
  <c r="G55" i="8"/>
  <c r="G56" i="8"/>
  <c r="G57" i="8"/>
  <c r="G58" i="8"/>
  <c r="G60" i="8"/>
  <c r="G61" i="8"/>
  <c r="G64" i="8"/>
  <c r="G65" i="8"/>
  <c r="G66" i="8"/>
  <c r="G67" i="8"/>
  <c r="G68" i="8"/>
  <c r="G69" i="8"/>
  <c r="G34" i="8"/>
  <c r="D35" i="8"/>
  <c r="D36" i="8"/>
  <c r="D37" i="8"/>
  <c r="D38" i="8"/>
  <c r="D39" i="8"/>
  <c r="D42" i="8"/>
  <c r="D43" i="8"/>
  <c r="D44" i="8"/>
  <c r="D45" i="8"/>
  <c r="D46" i="8"/>
  <c r="D47" i="8"/>
  <c r="D48" i="8"/>
  <c r="D50" i="8"/>
  <c r="D51" i="8"/>
  <c r="D52" i="8"/>
  <c r="D53" i="8"/>
  <c r="D54" i="8"/>
  <c r="D55" i="8"/>
  <c r="D56" i="8"/>
  <c r="D57" i="8"/>
  <c r="D58" i="8"/>
  <c r="D60" i="8"/>
  <c r="D61" i="8"/>
  <c r="D64" i="8"/>
  <c r="D65" i="8"/>
  <c r="D66" i="8"/>
  <c r="D67" i="8"/>
  <c r="D68" i="8"/>
  <c r="D69" i="8"/>
  <c r="D34" i="8"/>
  <c r="D11" i="8"/>
  <c r="P10" i="8"/>
  <c r="P11" i="8"/>
  <c r="P12" i="8"/>
  <c r="P13" i="8"/>
  <c r="P14" i="8"/>
  <c r="P15" i="8"/>
  <c r="P16" i="8"/>
  <c r="P17" i="8"/>
  <c r="P18" i="8"/>
  <c r="P19" i="8"/>
  <c r="P20" i="8"/>
  <c r="P21" i="8"/>
  <c r="P22" i="8"/>
  <c r="P23" i="8"/>
  <c r="P24" i="8"/>
  <c r="P9" i="8"/>
  <c r="M10" i="8"/>
  <c r="M11" i="8"/>
  <c r="M12" i="8"/>
  <c r="M13" i="8"/>
  <c r="M14" i="8"/>
  <c r="M15" i="8"/>
  <c r="M16" i="8"/>
  <c r="M17" i="8"/>
  <c r="M18" i="8"/>
  <c r="M19" i="8"/>
  <c r="M20" i="8"/>
  <c r="M21" i="8"/>
  <c r="M22" i="8"/>
  <c r="M23" i="8"/>
  <c r="M24" i="8"/>
  <c r="M9" i="8"/>
  <c r="J10" i="8"/>
  <c r="J11" i="8"/>
  <c r="J12" i="8"/>
  <c r="J13" i="8"/>
  <c r="J14" i="8"/>
  <c r="J15" i="8"/>
  <c r="S15" i="8"/>
  <c r="J16" i="8"/>
  <c r="J17" i="8"/>
  <c r="J18" i="8"/>
  <c r="J19" i="8"/>
  <c r="J20" i="8"/>
  <c r="J21" i="8"/>
  <c r="J22" i="8"/>
  <c r="J23" i="8"/>
  <c r="J24" i="8"/>
  <c r="J9" i="8"/>
  <c r="G10" i="8"/>
  <c r="G11" i="8"/>
  <c r="G12" i="8"/>
  <c r="G13" i="8"/>
  <c r="G14" i="8"/>
  <c r="G15" i="8"/>
  <c r="G16" i="8"/>
  <c r="G17" i="8"/>
  <c r="G18" i="8"/>
  <c r="G19" i="8"/>
  <c r="G20" i="8"/>
  <c r="G21" i="8"/>
  <c r="G22" i="8"/>
  <c r="G23" i="8"/>
  <c r="G24" i="8"/>
  <c r="G9" i="8"/>
  <c r="D10" i="8"/>
  <c r="D12" i="8"/>
  <c r="D13" i="8"/>
  <c r="D14" i="8"/>
  <c r="D15" i="8"/>
  <c r="D16" i="8"/>
  <c r="D17" i="8"/>
  <c r="D18" i="8"/>
  <c r="D19" i="8"/>
  <c r="D20" i="8"/>
  <c r="D21" i="8"/>
  <c r="D22" i="8"/>
  <c r="D23" i="8"/>
  <c r="D24" i="8"/>
  <c r="D9" i="8"/>
  <c r="N9" i="8"/>
  <c r="K9" i="8"/>
  <c r="H9" i="8"/>
  <c r="E9" i="8"/>
  <c r="C33" i="6"/>
  <c r="D33" i="6"/>
  <c r="E33" i="6"/>
  <c r="F33" i="6"/>
  <c r="B33" i="6"/>
  <c r="C56" i="6"/>
  <c r="D56" i="6"/>
  <c r="E56" i="6"/>
  <c r="F56" i="6"/>
  <c r="B56" i="6"/>
  <c r="C16" i="6"/>
  <c r="D16" i="6"/>
  <c r="E16" i="6"/>
  <c r="F16" i="6"/>
  <c r="B16" i="6"/>
  <c r="C52" i="6"/>
  <c r="D52" i="6"/>
  <c r="E52" i="6"/>
  <c r="F52" i="6"/>
  <c r="B52" i="6"/>
  <c r="C3" i="6"/>
  <c r="D3" i="6"/>
  <c r="E3" i="6"/>
  <c r="F3" i="6"/>
  <c r="B3" i="6"/>
  <c r="C44" i="6"/>
  <c r="D44" i="6"/>
  <c r="E44" i="6"/>
  <c r="F44" i="6"/>
  <c r="B44" i="6"/>
  <c r="Y17" i="11"/>
  <c r="X17" i="11"/>
  <c r="T15" i="8"/>
  <c r="V15" i="8"/>
  <c r="W15" i="8"/>
  <c r="U15" i="8"/>
  <c r="X15" i="8"/>
  <c r="X40" i="8"/>
  <c r="V40" i="8"/>
  <c r="W40" i="8"/>
  <c r="T40" i="8"/>
  <c r="U40" i="8"/>
  <c r="X44" i="8"/>
  <c r="T44" i="8"/>
  <c r="S10" i="8"/>
  <c r="W10" i="8"/>
  <c r="W12" i="8"/>
  <c r="S38" i="8"/>
  <c r="T38" i="8"/>
  <c r="T45" i="8"/>
  <c r="W44" i="8"/>
  <c r="S60" i="8"/>
  <c r="S51" i="8"/>
  <c r="X51" i="8"/>
  <c r="S23" i="8"/>
  <c r="X23" i="8"/>
  <c r="S58" i="8"/>
  <c r="T58" i="8"/>
  <c r="G70" i="9"/>
  <c r="G74" i="9"/>
  <c r="U52" i="8"/>
  <c r="X52" i="8"/>
  <c r="T52" i="8"/>
  <c r="V37" i="8"/>
  <c r="U37" i="8"/>
  <c r="V44" i="8"/>
  <c r="X45" i="8"/>
  <c r="W45" i="8"/>
  <c r="S46" i="8"/>
  <c r="V46" i="8"/>
  <c r="V45" i="8"/>
  <c r="S43" i="8"/>
  <c r="S55" i="8"/>
  <c r="S36" i="8"/>
  <c r="W36" i="8"/>
  <c r="K12" i="10"/>
  <c r="T50" i="8"/>
  <c r="S35" i="8"/>
  <c r="U35" i="8"/>
  <c r="I10" i="10"/>
  <c r="U43" i="8"/>
  <c r="V43" i="8"/>
  <c r="W43" i="8"/>
  <c r="X43" i="8"/>
  <c r="T43" i="8"/>
  <c r="U55" i="8"/>
  <c r="W55" i="8"/>
  <c r="T55" i="8"/>
  <c r="V55" i="8"/>
  <c r="X55" i="8"/>
  <c r="U53" i="8"/>
  <c r="V53" i="8"/>
  <c r="W53" i="8"/>
  <c r="X53" i="8"/>
  <c r="T53" i="8"/>
  <c r="V61" i="8"/>
  <c r="X61" i="8"/>
  <c r="T61" i="8"/>
  <c r="U61" i="8"/>
  <c r="W61" i="8"/>
  <c r="W35" i="8"/>
  <c r="K10" i="10"/>
  <c r="W52" i="8"/>
  <c r="T10" i="8"/>
  <c r="V52" i="8"/>
  <c r="W38" i="8"/>
  <c r="T47" i="8"/>
  <c r="X47" i="8"/>
  <c r="W47" i="8"/>
  <c r="V47" i="8"/>
  <c r="W13" i="8"/>
  <c r="K4" i="10"/>
  <c r="K14" i="10"/>
  <c r="X58" i="8"/>
  <c r="U58" i="8"/>
  <c r="T35" i="8"/>
  <c r="H10" i="10"/>
  <c r="T41" i="8"/>
  <c r="T42" i="8"/>
  <c r="X35" i="8"/>
  <c r="L10" i="10"/>
  <c r="W51" i="8"/>
  <c r="K11" i="10"/>
  <c r="U10" i="8"/>
  <c r="U12" i="8"/>
  <c r="T56" i="8"/>
  <c r="U23" i="8"/>
  <c r="V35" i="8"/>
  <c r="J10" i="10"/>
  <c r="W23" i="8"/>
  <c r="T12" i="8"/>
  <c r="T51" i="8"/>
  <c r="H11" i="10"/>
  <c r="V41" i="8"/>
  <c r="V42" i="8"/>
  <c r="X36" i="8"/>
  <c r="X10" i="8"/>
  <c r="X12" i="8"/>
  <c r="V36" i="8"/>
  <c r="U38" i="8"/>
  <c r="U36" i="8"/>
  <c r="V58" i="8"/>
  <c r="W56" i="8"/>
  <c r="L17" i="11"/>
  <c r="V38" i="8"/>
  <c r="U51" i="8"/>
  <c r="I11" i="10"/>
  <c r="W41" i="8"/>
  <c r="W42" i="8"/>
  <c r="V51" i="8"/>
  <c r="V10" i="8"/>
  <c r="V12" i="8"/>
  <c r="T36" i="8"/>
  <c r="H12" i="10"/>
  <c r="V23" i="8"/>
  <c r="W58" i="8"/>
  <c r="T23" i="8"/>
  <c r="U41" i="8"/>
  <c r="U42" i="8"/>
  <c r="X38" i="8"/>
  <c r="X41" i="8"/>
  <c r="X42" i="8"/>
  <c r="X46" i="8"/>
  <c r="W46" i="8"/>
  <c r="U46" i="8"/>
  <c r="T46" i="8"/>
  <c r="X56" i="8"/>
  <c r="X71" i="8"/>
  <c r="W18" i="8"/>
  <c r="H17" i="11"/>
  <c r="K5" i="10"/>
  <c r="T71" i="8"/>
  <c r="W71" i="8"/>
  <c r="U56" i="8"/>
  <c r="U13" i="8"/>
  <c r="I14" i="10"/>
  <c r="I12" i="10"/>
  <c r="V13" i="8"/>
  <c r="J14" i="10"/>
  <c r="X13" i="8"/>
  <c r="L14" i="10"/>
  <c r="J11" i="10"/>
  <c r="V71" i="8"/>
  <c r="U71" i="8"/>
  <c r="J12" i="10"/>
  <c r="L12" i="10"/>
  <c r="V56" i="8"/>
  <c r="K17" i="11"/>
  <c r="T13" i="8"/>
  <c r="H14" i="10"/>
  <c r="L11" i="10"/>
  <c r="J17" i="11"/>
  <c r="I17" i="11"/>
  <c r="H4" i="10"/>
  <c r="T18" i="8"/>
  <c r="L4" i="10"/>
  <c r="X18" i="8"/>
  <c r="J4" i="10"/>
  <c r="V18" i="8"/>
  <c r="I4" i="10"/>
  <c r="U18" i="8"/>
  <c r="I5" i="10"/>
  <c r="J5" i="10"/>
  <c r="H5" i="10"/>
  <c r="L5" i="10"/>
  <c r="X4" i="11" a="1"/>
  <c r="X4" i="11"/>
  <c r="C49" i="11"/>
  <c r="Y10" i="11"/>
  <c r="C52" i="11"/>
  <c r="C53" i="11"/>
  <c r="C38" i="11"/>
  <c r="C47" i="11"/>
  <c r="C55" i="11"/>
  <c r="H3" i="10"/>
  <c r="I3" i="10"/>
  <c r="J3" i="10"/>
  <c r="K3" i="10"/>
  <c r="L3" i="10"/>
  <c r="H6" i="10"/>
  <c r="I6" i="10"/>
  <c r="J6" i="10"/>
  <c r="K6" i="10"/>
  <c r="L6" i="10"/>
  <c r="H7" i="10"/>
  <c r="I7" i="10"/>
  <c r="J7" i="10"/>
  <c r="K7" i="10"/>
  <c r="L7" i="10"/>
  <c r="H8" i="10"/>
  <c r="I8" i="10"/>
  <c r="J8" i="10"/>
  <c r="K8" i="10"/>
  <c r="L8" i="10"/>
  <c r="H9" i="10"/>
  <c r="I9" i="10"/>
  <c r="J9" i="10"/>
  <c r="K9" i="10"/>
  <c r="L9" i="10"/>
  <c r="H13" i="10"/>
  <c r="I13" i="10"/>
  <c r="J13" i="10"/>
  <c r="K13" i="10"/>
  <c r="L13" i="10"/>
  <c r="H15" i="10"/>
  <c r="I15" i="10"/>
  <c r="J15" i="10"/>
  <c r="K15" i="10"/>
  <c r="L15" i="10"/>
  <c r="H16" i="10"/>
  <c r="I16" i="10"/>
  <c r="J16" i="10"/>
  <c r="K16" i="10"/>
  <c r="L16" i="10"/>
  <c r="H18" i="10"/>
  <c r="I18" i="10"/>
  <c r="J18" i="10"/>
  <c r="K18" i="10"/>
  <c r="L18" i="10"/>
  <c r="H19" i="10"/>
  <c r="I19" i="10"/>
  <c r="J19" i="10"/>
  <c r="K19" i="10"/>
  <c r="L19" i="10"/>
  <c r="H20" i="10"/>
  <c r="I20" i="10"/>
  <c r="J20" i="10"/>
  <c r="K20" i="10"/>
  <c r="L20" i="10"/>
  <c r="T19" i="8"/>
  <c r="U19" i="8"/>
  <c r="V19" i="8"/>
  <c r="W19" i="8"/>
  <c r="X19" i="8"/>
  <c r="T21" i="8"/>
  <c r="U21" i="8"/>
  <c r="V21" i="8"/>
  <c r="W21" i="8"/>
  <c r="X21" i="8"/>
  <c r="T22" i="8"/>
  <c r="U22" i="8"/>
  <c r="V22" i="8"/>
  <c r="W22" i="8"/>
  <c r="X22" i="8"/>
  <c r="T24" i="8"/>
  <c r="U24" i="8"/>
  <c r="V24" i="8"/>
  <c r="W24" i="8"/>
  <c r="X24" i="8"/>
  <c r="T26" i="8"/>
  <c r="U26" i="8"/>
  <c r="V26" i="8"/>
  <c r="W26" i="8"/>
  <c r="X26" i="8"/>
  <c r="T27" i="8"/>
  <c r="U27" i="8"/>
  <c r="V27" i="8"/>
  <c r="W27" i="8"/>
  <c r="X27" i="8"/>
  <c r="T34" i="8"/>
  <c r="U34" i="8"/>
  <c r="V34" i="8"/>
  <c r="W34" i="8"/>
  <c r="X34" i="8"/>
  <c r="T39" i="8"/>
  <c r="U39" i="8"/>
  <c r="V39" i="8"/>
  <c r="W39" i="8"/>
  <c r="X39" i="8"/>
  <c r="T48" i="8"/>
  <c r="U48" i="8"/>
  <c r="V48" i="8"/>
  <c r="W48" i="8"/>
  <c r="X48" i="8"/>
  <c r="T57" i="8"/>
  <c r="U57" i="8"/>
  <c r="V57" i="8"/>
  <c r="W57" i="8"/>
  <c r="X57" i="8"/>
  <c r="T59" i="8"/>
  <c r="U59" i="8"/>
  <c r="V59" i="8"/>
  <c r="W59" i="8"/>
  <c r="X59" i="8"/>
  <c r="T66" i="8"/>
  <c r="U66" i="8"/>
  <c r="V66" i="8"/>
  <c r="W66" i="8"/>
  <c r="X66" i="8"/>
  <c r="T68" i="8"/>
  <c r="U68" i="8"/>
  <c r="V68" i="8"/>
  <c r="W68" i="8"/>
  <c r="X68" i="8"/>
  <c r="T69" i="8"/>
  <c r="U69" i="8"/>
  <c r="V69" i="8"/>
  <c r="W69" i="8"/>
  <c r="X69" i="8"/>
  <c r="T72" i="8"/>
  <c r="U72" i="8"/>
  <c r="V72" i="8"/>
  <c r="W72" i="8"/>
  <c r="X72" i="8"/>
  <c r="T73" i="8"/>
  <c r="U73" i="8"/>
  <c r="V73" i="8"/>
  <c r="W73" i="8"/>
  <c r="X73" i="8"/>
  <c r="T75" i="8"/>
  <c r="U75" i="8"/>
  <c r="V75" i="8"/>
  <c r="W75" i="8"/>
  <c r="X75" i="8"/>
  <c r="T19" i="15"/>
  <c r="U19" i="15"/>
  <c r="V19" i="15"/>
  <c r="W19" i="15"/>
  <c r="X19" i="15"/>
  <c r="T21" i="15"/>
  <c r="U21" i="15"/>
  <c r="V21" i="15"/>
  <c r="W21" i="15"/>
  <c r="X21" i="15"/>
  <c r="T22" i="15"/>
  <c r="U22" i="15"/>
  <c r="V22" i="15"/>
  <c r="W22" i="15"/>
  <c r="X22" i="15"/>
  <c r="T24" i="15"/>
  <c r="U24" i="15"/>
  <c r="V24" i="15"/>
  <c r="W24" i="15"/>
  <c r="X24" i="15"/>
  <c r="T26" i="15"/>
  <c r="U26" i="15"/>
  <c r="V26" i="15"/>
  <c r="W26" i="15"/>
  <c r="X26" i="15"/>
  <c r="T27" i="15"/>
  <c r="U27" i="15"/>
  <c r="V27" i="15"/>
  <c r="W27" i="15"/>
  <c r="X27" i="15"/>
  <c r="T34" i="15"/>
  <c r="U34" i="15"/>
  <c r="V34" i="15"/>
  <c r="W34" i="15"/>
  <c r="X34" i="15"/>
  <c r="T39" i="15"/>
  <c r="U39" i="15"/>
  <c r="V39" i="15"/>
  <c r="W39" i="15"/>
  <c r="X39" i="15"/>
  <c r="T48" i="15"/>
  <c r="U48" i="15"/>
  <c r="V48" i="15"/>
  <c r="W48" i="15"/>
  <c r="X48" i="15"/>
  <c r="T57" i="15"/>
  <c r="U57" i="15"/>
  <c r="V57" i="15"/>
  <c r="W57" i="15"/>
  <c r="X57" i="15"/>
  <c r="T59" i="15"/>
  <c r="U59" i="15"/>
  <c r="V59" i="15"/>
  <c r="W59" i="15"/>
  <c r="X59" i="15"/>
  <c r="T66" i="15"/>
  <c r="U66" i="15"/>
  <c r="V66" i="15"/>
  <c r="W66" i="15"/>
  <c r="X66" i="15"/>
  <c r="T68" i="15"/>
  <c r="U68" i="15"/>
  <c r="V68" i="15"/>
  <c r="W68" i="15"/>
  <c r="X68" i="15"/>
  <c r="T69" i="15"/>
  <c r="U69" i="15"/>
  <c r="V69" i="15"/>
  <c r="W69" i="15"/>
  <c r="X69" i="15"/>
  <c r="T72" i="15"/>
  <c r="U72" i="15"/>
  <c r="V72" i="15"/>
  <c r="W72" i="15"/>
  <c r="X72" i="15"/>
  <c r="T73" i="15"/>
  <c r="U73" i="15"/>
  <c r="V73" i="15"/>
  <c r="W73" i="15"/>
  <c r="X73" i="15"/>
  <c r="T75" i="15"/>
  <c r="U75" i="15"/>
  <c r="V75" i="15"/>
  <c r="W75" i="15"/>
  <c r="X75" i="15"/>
  <c r="J90" i="9"/>
  <c r="K90" i="9"/>
  <c r="L90" i="9"/>
  <c r="M90" i="9"/>
  <c r="I91" i="9"/>
  <c r="J91" i="9"/>
  <c r="K91" i="9"/>
  <c r="L91" i="9"/>
  <c r="M91" i="9"/>
  <c r="I93" i="9"/>
  <c r="J93" i="9"/>
  <c r="K93" i="9"/>
  <c r="L93" i="9"/>
  <c r="M93" i="9"/>
  <c r="H3" i="11"/>
  <c r="I3" i="11"/>
  <c r="J3" i="11"/>
  <c r="K3" i="11"/>
  <c r="L3" i="11"/>
  <c r="H5" i="11"/>
  <c r="I5" i="11"/>
  <c r="J5" i="11"/>
  <c r="K5" i="11"/>
  <c r="L5" i="11"/>
  <c r="H6" i="11"/>
  <c r="I6" i="11"/>
  <c r="J6" i="11"/>
  <c r="K6" i="11"/>
  <c r="L6" i="11"/>
  <c r="H9" i="11"/>
  <c r="I9" i="11"/>
  <c r="J9" i="11"/>
  <c r="K9" i="11"/>
  <c r="L9" i="11"/>
  <c r="H10" i="11"/>
  <c r="I10" i="11"/>
  <c r="J10" i="11"/>
  <c r="K10" i="11"/>
  <c r="L10" i="11"/>
  <c r="H11" i="11"/>
  <c r="I11" i="11"/>
  <c r="J11" i="11"/>
  <c r="K11" i="11"/>
  <c r="L11" i="11"/>
  <c r="H14" i="11"/>
  <c r="I14" i="11"/>
  <c r="J14" i="11"/>
  <c r="K14" i="11"/>
  <c r="L14" i="11"/>
  <c r="H16" i="11"/>
  <c r="I16" i="11"/>
  <c r="J16" i="11"/>
  <c r="K16" i="11"/>
  <c r="L16" i="11"/>
  <c r="H19" i="11"/>
  <c r="I19" i="11"/>
  <c r="J19" i="11"/>
  <c r="K19" i="11"/>
  <c r="L19" i="11"/>
  <c r="H20" i="11"/>
  <c r="I20" i="11"/>
  <c r="J20" i="11"/>
  <c r="K20" i="11"/>
  <c r="L20" i="11"/>
  <c r="H34" i="11"/>
  <c r="I34" i="11"/>
  <c r="J34" i="11"/>
  <c r="K34" i="11"/>
  <c r="L34" i="11"/>
  <c r="L35" i="11"/>
  <c r="H36" i="11"/>
  <c r="I36" i="11"/>
  <c r="J36" i="11"/>
  <c r="K36" i="11"/>
  <c r="L36" i="11"/>
  <c r="G37" i="11"/>
  <c r="G39" i="11"/>
  <c r="G41" i="11"/>
  <c r="G42" i="11"/>
  <c r="G46" i="11"/>
  <c r="H51" i="11"/>
  <c r="I51" i="11"/>
  <c r="J51" i="11"/>
  <c r="K51" i="11"/>
  <c r="L51" i="11"/>
  <c r="L52" i="11"/>
  <c r="H53" i="11"/>
  <c r="I53" i="11"/>
  <c r="J53" i="11"/>
  <c r="K53" i="11"/>
  <c r="L53" i="11"/>
  <c r="G54" i="11"/>
  <c r="G57" i="11"/>
  <c r="G58" i="11"/>
  <c r="F160" i="11"/>
  <c r="F178" i="11"/>
  <c r="F196" i="11"/>
  <c r="D251" i="11"/>
  <c r="E251" i="11"/>
  <c r="F251" i="11"/>
  <c r="G251" i="11"/>
  <c r="H251" i="11"/>
  <c r="D252" i="11"/>
  <c r="E252" i="11"/>
  <c r="F252" i="11"/>
  <c r="G252" i="11"/>
  <c r="H252" i="11"/>
  <c r="C25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<sst xmlns="http://schemas.openxmlformats.org/spreadsheetml/2006/main" count="1062" uniqueCount="499">
  <si>
    <t>Zihang Zhao</t>
    <phoneticPr fontId="2" type="noConversion"/>
  </si>
  <si>
    <t>Consolidated Balance Sheet - USD ($) 
In Millions</t>
    <phoneticPr fontId="2" type="noConversion"/>
  </si>
  <si>
    <t>December. 29, 2018</t>
    <phoneticPr fontId="2" type="noConversion"/>
  </si>
  <si>
    <t>December.28, 2019</t>
    <phoneticPr fontId="2" type="noConversion"/>
  </si>
  <si>
    <t>December. 26, 2020</t>
    <phoneticPr fontId="2" type="noConversion"/>
  </si>
  <si>
    <t>December. 25, 2021</t>
    <phoneticPr fontId="2" type="noConversion"/>
  </si>
  <si>
    <t>December. 31, 2022</t>
    <phoneticPr fontId="2" type="noConversion"/>
  </si>
  <si>
    <t>Current assets:</t>
    <phoneticPr fontId="2" type="noConversion"/>
  </si>
  <si>
    <t>Cash and cash equivalents</t>
    <phoneticPr fontId="2" type="noConversion"/>
  </si>
  <si>
    <t>Accounts receivable, net</t>
    <phoneticPr fontId="2" type="noConversion"/>
  </si>
  <si>
    <t>Inventories, net</t>
    <phoneticPr fontId="2" type="noConversion"/>
  </si>
  <si>
    <t>Prepayment and receivables - related parties</t>
    <phoneticPr fontId="2" type="noConversion"/>
  </si>
  <si>
    <t>Prepaid expenses and other current assets</t>
    <phoneticPr fontId="2" type="noConversion"/>
  </si>
  <si>
    <t>Total current assets</t>
    <phoneticPr fontId="2" type="noConversion"/>
  </si>
  <si>
    <t>Property and equipment, net</t>
    <phoneticPr fontId="2" type="noConversion"/>
  </si>
  <si>
    <t>Operating lease right-of-use assets</t>
    <phoneticPr fontId="2" type="noConversion"/>
  </si>
  <si>
    <t>Goodwill</t>
    <phoneticPr fontId="2" type="noConversion"/>
  </si>
  <si>
    <t>Investment: equity method</t>
    <phoneticPr fontId="2" type="noConversion"/>
  </si>
  <si>
    <t>Total assets</t>
    <phoneticPr fontId="2" type="noConversion"/>
  </si>
  <si>
    <t>Current liabilities:</t>
    <phoneticPr fontId="2" type="noConversion"/>
  </si>
  <si>
    <t>Short-term debt, net</t>
    <phoneticPr fontId="2" type="noConversion"/>
  </si>
  <si>
    <t>Accounts payable</t>
    <phoneticPr fontId="2" type="noConversion"/>
  </si>
  <si>
    <t>Payables to related parties</t>
    <phoneticPr fontId="2" type="noConversion"/>
  </si>
  <si>
    <t>Accrued liabilities</t>
    <phoneticPr fontId="2" type="noConversion"/>
  </si>
  <si>
    <t>Other current liabilities</t>
    <phoneticPr fontId="2" type="noConversion"/>
  </si>
  <si>
    <t>Total current liabilities</t>
    <phoneticPr fontId="2" type="noConversion"/>
  </si>
  <si>
    <t>Long-term operating lease liabilities</t>
    <phoneticPr fontId="2" type="noConversion"/>
  </si>
  <si>
    <t>Other long-term liabilities</t>
    <phoneticPr fontId="2" type="noConversion"/>
  </si>
  <si>
    <t>Stockholders' equity</t>
    <phoneticPr fontId="2" type="noConversion"/>
  </si>
  <si>
    <t>Capital stock:</t>
    <phoneticPr fontId="2" type="noConversion"/>
  </si>
  <si>
    <t>Common stock</t>
    <phoneticPr fontId="2" type="noConversion"/>
  </si>
  <si>
    <t>Additional paid-in capital</t>
    <phoneticPr fontId="2" type="noConversion"/>
  </si>
  <si>
    <t>Treasury stock, at cost</t>
    <phoneticPr fontId="2" type="noConversion"/>
  </si>
  <si>
    <t>Accumulated deficit</t>
    <phoneticPr fontId="2" type="noConversion"/>
  </si>
  <si>
    <t>Accumulated other comprehensive income (loss)</t>
    <phoneticPr fontId="2" type="noConversion"/>
  </si>
  <si>
    <t>Total stockholder's equity</t>
    <phoneticPr fontId="2" type="noConversion"/>
  </si>
  <si>
    <t>Total liabilities and stockholder's equity</t>
    <phoneticPr fontId="2" type="noConversion"/>
  </si>
  <si>
    <t>Deferred tax assets</t>
    <phoneticPr fontId="2" type="noConversion"/>
  </si>
  <si>
    <t>Other non-current assets</t>
    <phoneticPr fontId="2" type="noConversion"/>
  </si>
  <si>
    <t>Current portion of long-term debt, net</t>
    <phoneticPr fontId="2" type="noConversion"/>
  </si>
  <si>
    <t>Long-term debt, net of current portion</t>
    <phoneticPr fontId="2" type="noConversion"/>
  </si>
  <si>
    <t>Short-term investments</t>
    <phoneticPr fontId="2" type="noConversion"/>
  </si>
  <si>
    <t>Acquisition-related intangibles</t>
    <phoneticPr fontId="2" type="noConversion"/>
  </si>
  <si>
    <t>Deferred tax liabilities</t>
    <phoneticPr fontId="2" type="noConversion"/>
  </si>
  <si>
    <t>Source: AMD annual 10-k documents</t>
    <phoneticPr fontId="2" type="noConversion"/>
  </si>
  <si>
    <t>Consolidated Statements of Operations - USD ($)
In millions, except per share amount</t>
    <phoneticPr fontId="2" type="noConversion"/>
  </si>
  <si>
    <t>December. 28, 2019</t>
    <phoneticPr fontId="2" type="noConversion"/>
  </si>
  <si>
    <t>Cost of sales</t>
    <phoneticPr fontId="2" type="noConversion"/>
  </si>
  <si>
    <t>Net revenue</t>
    <phoneticPr fontId="2" type="noConversion"/>
  </si>
  <si>
    <t>Gross profit</t>
    <phoneticPr fontId="2" type="noConversion"/>
  </si>
  <si>
    <t>Research and Development</t>
    <phoneticPr fontId="2" type="noConversion"/>
  </si>
  <si>
    <t>Marketing, general and administrative</t>
    <phoneticPr fontId="2" type="noConversion"/>
  </si>
  <si>
    <t>Licensing gain</t>
    <phoneticPr fontId="2" type="noConversion"/>
  </si>
  <si>
    <t>Operating income</t>
    <phoneticPr fontId="2" type="noConversion"/>
  </si>
  <si>
    <t>Interest expense</t>
    <phoneticPr fontId="2" type="noConversion"/>
  </si>
  <si>
    <t>Other expense, net</t>
    <phoneticPr fontId="2" type="noConversion"/>
  </si>
  <si>
    <t>Income (loss) before income taxes and equity loss</t>
    <phoneticPr fontId="2" type="noConversion"/>
  </si>
  <si>
    <t>Provision for (benefit from) income taxes</t>
    <phoneticPr fontId="2" type="noConversion"/>
  </si>
  <si>
    <t>Equity loss in investee</t>
    <phoneticPr fontId="2" type="noConversion"/>
  </si>
  <si>
    <t>Net income (loss)</t>
    <phoneticPr fontId="2" type="noConversion"/>
  </si>
  <si>
    <t>Earning (loss) per share</t>
    <phoneticPr fontId="2" type="noConversion"/>
  </si>
  <si>
    <t>Basic</t>
    <phoneticPr fontId="2" type="noConversion"/>
  </si>
  <si>
    <t>Diluted</t>
    <phoneticPr fontId="2" type="noConversion"/>
  </si>
  <si>
    <t>Shares used in per share calculation</t>
    <phoneticPr fontId="2" type="noConversion"/>
  </si>
  <si>
    <t>Amortization of acquisition-related intangibles</t>
    <phoneticPr fontId="2" type="noConversion"/>
  </si>
  <si>
    <t>Total cost of sales</t>
    <phoneticPr fontId="2" type="noConversion"/>
  </si>
  <si>
    <t>Sources: AMD annual 10-k documents</t>
    <phoneticPr fontId="2" type="noConversion"/>
  </si>
  <si>
    <t>Consolidated Statements of Cash Flows - USD ($)
In Millions</t>
    <phoneticPr fontId="2" type="noConversion"/>
  </si>
  <si>
    <t>Cash flows from operating activities:</t>
    <phoneticPr fontId="2" type="noConversion"/>
  </si>
  <si>
    <t>Adjustments to reconcile net income (loss) to net cash provided by operating activities:</t>
    <phoneticPr fontId="2" type="noConversion"/>
  </si>
  <si>
    <t>Depreciation and amortization</t>
    <phoneticPr fontId="2" type="noConversion"/>
  </si>
  <si>
    <t>Stock-based compensation</t>
    <phoneticPr fontId="2" type="noConversion"/>
  </si>
  <si>
    <t>Amortization of debt discount and issuance costs</t>
    <phoneticPr fontId="2" type="noConversion"/>
  </si>
  <si>
    <t>Amortization of operating lease right-of-use assets</t>
    <phoneticPr fontId="2" type="noConversion"/>
  </si>
  <si>
    <t>Loss on debt redemption, repurchase and conversion</t>
    <phoneticPr fontId="2" type="noConversion"/>
  </si>
  <si>
    <t>Loss on sale/disposal of property and equipment</t>
    <phoneticPr fontId="2" type="noConversion"/>
  </si>
  <si>
    <t>Impairment of technology licenses</t>
    <phoneticPr fontId="2" type="noConversion"/>
  </si>
  <si>
    <t>Deferred income taxes</t>
    <phoneticPr fontId="2" type="noConversion"/>
  </si>
  <si>
    <t>Other</t>
    <phoneticPr fontId="2" type="noConversion"/>
  </si>
  <si>
    <t xml:space="preserve">Accounts receivable </t>
    <phoneticPr fontId="2" type="noConversion"/>
  </si>
  <si>
    <t>Inventories</t>
    <phoneticPr fontId="2" type="noConversion"/>
  </si>
  <si>
    <t>Prepaid expenses and other assets</t>
    <phoneticPr fontId="2" type="noConversion"/>
  </si>
  <si>
    <t>Net cash provided by operating activities</t>
    <phoneticPr fontId="2" type="noConversion"/>
  </si>
  <si>
    <t>Cash flows from investing activities:</t>
    <phoneticPr fontId="2" type="noConversion"/>
  </si>
  <si>
    <t>Purchases of available-for-sale debt securities</t>
    <phoneticPr fontId="2" type="noConversion"/>
  </si>
  <si>
    <t>Purchases of property and equipment</t>
    <phoneticPr fontId="2" type="noConversion"/>
  </si>
  <si>
    <t>Proceeds from maturity of available-for-sale debt securities</t>
    <phoneticPr fontId="2" type="noConversion"/>
  </si>
  <si>
    <t>Collection of deferred proceeds on sale of receivables</t>
    <phoneticPr fontId="2" type="noConversion"/>
  </si>
  <si>
    <t>Net cash used in investing activities</t>
    <phoneticPr fontId="2" type="noConversion"/>
  </si>
  <si>
    <t>Cash flows from financing activities:</t>
    <phoneticPr fontId="2" type="noConversion"/>
  </si>
  <si>
    <t>Proceeds from warrant exercised by related party</t>
  </si>
  <si>
    <t>Net cash provided by (used in) financing activities</t>
  </si>
  <si>
    <t>Net increase (decrease) in cash and cash equivalents, and restricted cash</t>
  </si>
  <si>
    <t>Cash, cash equivalents, and restricted cash at beginning of year</t>
  </si>
  <si>
    <t>Cash, cash equivalents, and restricted cash at end of year</t>
  </si>
  <si>
    <t>Changes in operating assets and liabilities:</t>
    <phoneticPr fontId="2" type="noConversion"/>
  </si>
  <si>
    <t>Accrued liabilities and other</t>
    <phoneticPr fontId="2" type="noConversion"/>
  </si>
  <si>
    <t>Proceeds from short-term borrowing</t>
    <phoneticPr fontId="2" type="noConversion"/>
  </si>
  <si>
    <t>Repayments and extinguishment of dbet</t>
    <phoneticPr fontId="2" type="noConversion"/>
  </si>
  <si>
    <t>Proceeds from sales of common stock through employee equity plans</t>
  </si>
  <si>
    <t>Common stock repurchases for tax withholding on employee equity plans</t>
  </si>
  <si>
    <t>Gain on equity investments, net</t>
    <phoneticPr fontId="2" type="noConversion"/>
  </si>
  <si>
    <t>Repurchases of common stock</t>
    <phoneticPr fontId="2" type="noConversion"/>
  </si>
  <si>
    <t>Amortization of inventory fair value adjustment</t>
  </si>
  <si>
    <t>Cash received from acquisition of Xilinx</t>
    <phoneticPr fontId="2" type="noConversion"/>
  </si>
  <si>
    <t xml:space="preserve">Acquisition of Pensando, net of cash acquired </t>
    <phoneticPr fontId="2" type="noConversion"/>
  </si>
  <si>
    <t>Cash and cash equivalents (1)</t>
    <phoneticPr fontId="2" type="noConversion"/>
  </si>
  <si>
    <t>Foot Note</t>
    <phoneticPr fontId="2" type="noConversion"/>
  </si>
  <si>
    <t>Item Consolidated</t>
    <phoneticPr fontId="2" type="noConversion"/>
  </si>
  <si>
    <t>Sources: AMD annual 10k documents</t>
    <phoneticPr fontId="2" type="noConversion"/>
  </si>
  <si>
    <t>Footnotes:</t>
    <phoneticPr fontId="2" type="noConversion"/>
  </si>
  <si>
    <t>The statements of operations do not need to be modified or consolidated</t>
    <phoneticPr fontId="2" type="noConversion"/>
  </si>
  <si>
    <t>The reason for such consolidation is that cash, cash equivalents, and short-term investments have similar nature</t>
    <phoneticPr fontId="2" type="noConversion"/>
  </si>
  <si>
    <t>Additional paid-in capital (3)</t>
    <phoneticPr fontId="2" type="noConversion"/>
  </si>
  <si>
    <t>The reason for such consolidation is that common stock and additional paid-in capital (APIC) have similar nature</t>
    <phoneticPr fontId="2" type="noConversion"/>
  </si>
  <si>
    <t>Pro forma modeling</t>
    <phoneticPr fontId="2" type="noConversion"/>
  </si>
  <si>
    <t>AMD</t>
    <phoneticPr fontId="2" type="noConversion"/>
  </si>
  <si>
    <t>Hypothetical Five-year Forcast</t>
    <phoneticPr fontId="2" type="noConversion"/>
  </si>
  <si>
    <t>Fiscal Year Ended December</t>
    <phoneticPr fontId="2" type="noConversion"/>
  </si>
  <si>
    <t>% of revenue</t>
    <phoneticPr fontId="2" type="noConversion"/>
  </si>
  <si>
    <t>growth</t>
    <phoneticPr fontId="2" type="noConversion"/>
  </si>
  <si>
    <t>Assumptions</t>
    <phoneticPr fontId="2" type="noConversion"/>
  </si>
  <si>
    <t>2023-2027</t>
    <phoneticPr fontId="2" type="noConversion"/>
  </si>
  <si>
    <t>Forecast</t>
    <phoneticPr fontId="2" type="noConversion"/>
  </si>
  <si>
    <t>Growth</t>
    <phoneticPr fontId="2" type="noConversion"/>
  </si>
  <si>
    <t>Interest rate</t>
    <phoneticPr fontId="2" type="noConversion"/>
  </si>
  <si>
    <t>Expected Value</t>
    <phoneticPr fontId="2" type="noConversion"/>
  </si>
  <si>
    <t>Expected value</t>
    <phoneticPr fontId="2" type="noConversion"/>
  </si>
  <si>
    <t>%of revenue</t>
    <phoneticPr fontId="2" type="noConversion"/>
  </si>
  <si>
    <t>Plug</t>
    <phoneticPr fontId="2" type="noConversion"/>
  </si>
  <si>
    <t>Tax rate</t>
    <phoneticPr fontId="2" type="noConversion"/>
  </si>
  <si>
    <t>Trial assets</t>
    <phoneticPr fontId="2" type="noConversion"/>
  </si>
  <si>
    <t>Trial liabs. &amp; equity</t>
    <phoneticPr fontId="2" type="noConversion"/>
  </si>
  <si>
    <t>Trial plug</t>
    <phoneticPr fontId="2" type="noConversion"/>
  </si>
  <si>
    <t xml:space="preserve">Expected Value </t>
    <phoneticPr fontId="2" type="noConversion"/>
  </si>
  <si>
    <t>Depreciation (2)</t>
    <phoneticPr fontId="2" type="noConversion"/>
  </si>
  <si>
    <t>Property and equipment (2)</t>
    <phoneticPr fontId="2" type="noConversion"/>
  </si>
  <si>
    <t>Other non-current assets (3)</t>
    <phoneticPr fontId="2" type="noConversion"/>
  </si>
  <si>
    <t>Additional paid-in capital(4)</t>
    <phoneticPr fontId="2" type="noConversion"/>
  </si>
  <si>
    <t>Property and equipment</t>
    <phoneticPr fontId="2" type="noConversion"/>
  </si>
  <si>
    <t>Depreciation</t>
    <phoneticPr fontId="2" type="noConversion"/>
  </si>
  <si>
    <t>Net Property and equipment</t>
    <phoneticPr fontId="2" type="noConversion"/>
  </si>
  <si>
    <t>Net property and equipment (2)</t>
    <phoneticPr fontId="2" type="noConversion"/>
  </si>
  <si>
    <t>Additional paid-in capital (4)</t>
    <phoneticPr fontId="2" type="noConversion"/>
  </si>
  <si>
    <t>Net property and equipment</t>
    <phoneticPr fontId="2" type="noConversion"/>
  </si>
  <si>
    <t>Depreciation rate</t>
    <phoneticPr fontId="2" type="noConversion"/>
  </si>
  <si>
    <t>See support tab (1)</t>
    <phoneticPr fontId="2" type="noConversion"/>
  </si>
  <si>
    <t>Average of last three years</t>
    <phoneticPr fontId="2" type="noConversion"/>
  </si>
  <si>
    <t>See support tab (2)</t>
    <phoneticPr fontId="2" type="noConversion"/>
  </si>
  <si>
    <t>See support tab (3)</t>
    <phoneticPr fontId="2" type="noConversion"/>
  </si>
  <si>
    <t>See support tab (4)</t>
    <phoneticPr fontId="2" type="noConversion"/>
  </si>
  <si>
    <t>Uncertain announcing of licensing deal, assume no licensing deal.</t>
    <phoneticPr fontId="2" type="noConversion"/>
  </si>
  <si>
    <t>See support tab (5)</t>
    <phoneticPr fontId="2" type="noConversion"/>
  </si>
  <si>
    <t>See support tab (6)</t>
    <phoneticPr fontId="2" type="noConversion"/>
  </si>
  <si>
    <t>AMD 10k announces tax rate of 14%, tax benefit and refund is uncertain</t>
    <phoneticPr fontId="2" type="noConversion"/>
  </si>
  <si>
    <t>Calculated by net income / Basic shares</t>
    <phoneticPr fontId="2" type="noConversion"/>
  </si>
  <si>
    <t>Calculated by net income / Diluted shares</t>
    <phoneticPr fontId="2" type="noConversion"/>
  </si>
  <si>
    <t>Do not expect AMD to issue significantly large amount of new shares in the future, expect minor changes in the share amount.</t>
    <phoneticPr fontId="2" type="noConversion"/>
  </si>
  <si>
    <t>See support tab (7)</t>
    <phoneticPr fontId="2" type="noConversion"/>
  </si>
  <si>
    <t>See support tab (8)</t>
    <phoneticPr fontId="2" type="noConversion"/>
  </si>
  <si>
    <t>Goodwill increased due to acquisiton, amount will remain the same</t>
    <phoneticPr fontId="2" type="noConversion"/>
  </si>
  <si>
    <t>Intangibles increased due to acquisition, amount will remain the same</t>
    <phoneticPr fontId="2" type="noConversion"/>
  </si>
  <si>
    <t>See support tab (9)</t>
    <phoneticPr fontId="2" type="noConversion"/>
  </si>
  <si>
    <t>Average of last two years instead of three years, a surge is observed in 2021</t>
    <phoneticPr fontId="2" type="noConversion"/>
  </si>
  <si>
    <t>See support tab (10)</t>
    <phoneticPr fontId="2" type="noConversion"/>
  </si>
  <si>
    <t>See support tab (11)</t>
    <phoneticPr fontId="2" type="noConversion"/>
  </si>
  <si>
    <t>See support tab (12)</t>
    <phoneticPr fontId="2" type="noConversion"/>
  </si>
  <si>
    <t>See support tab (13)</t>
    <phoneticPr fontId="2" type="noConversion"/>
  </si>
  <si>
    <t>Last year amount plus this year's net income</t>
    <phoneticPr fontId="2" type="noConversion"/>
  </si>
  <si>
    <t>See support tab (14)</t>
    <phoneticPr fontId="2" type="noConversion"/>
  </si>
  <si>
    <t>Footnote</t>
    <phoneticPr fontId="2" type="noConversion"/>
  </si>
  <si>
    <t>We believe the amortization of acquisition related intangibles cost as a one time cost, and we record the value as zero in the future.</t>
    <phoneticPr fontId="2" type="noConversion"/>
  </si>
  <si>
    <t>We expect the research and development cost will not vary too much in the near future as the value of 5005 million in 2022 is already significantly high. The reason is that we do not expect AMD to quickly develop a new type of CPU or data center as it just released its latest version of these products, and we also do not expect AMD to fully step into the AI sector. As a result, we believe a development cost of 5200 million is reasonable for AMD to make improvements on its current products</t>
    <phoneticPr fontId="2" type="noConversion"/>
  </si>
  <si>
    <t>The depreciation rate is calculated based on past numbers. AMD's 10k form announces straight line depreciation method, the past depreciation rate is roughtly 22% to 24%, we use the average depreciation rate of 23% in our forecast.</t>
    <phoneticPr fontId="2" type="noConversion"/>
  </si>
  <si>
    <t>We set deferred tax asset to revenue rate as the average of 2018, 2019 and 2022. We observe significant rise in such rate in 2020 and 2021, which is mainly caused by the sales in foreign market. As the covid has ended, we expect such rate to be back to normal.</t>
    <phoneticPr fontId="2" type="noConversion"/>
  </si>
  <si>
    <t>As AMD do not have short-term debt in the past 4 years, we expect it to not have short-term debt in the near future. Moreover, given its sufficient cash flow, it does not need to do short-term borrowings</t>
    <phoneticPr fontId="2" type="noConversion"/>
  </si>
  <si>
    <t>The surge in the deferred tax liabilities in 2022 is caused by the acquisition event. As we do not expect such event to happen in the near future, we use the normal rate, which is the average of 2018 to 2021 as our input.</t>
    <phoneticPr fontId="2" type="noConversion"/>
  </si>
  <si>
    <t>Balance, beginning of the period</t>
  </si>
  <si>
    <t>Balance, beginning of the period</t>
    <phoneticPr fontId="2" type="noConversion"/>
  </si>
  <si>
    <t>Common stock issued under employee equity plans</t>
    <phoneticPr fontId="2" type="noConversion"/>
  </si>
  <si>
    <t>Stock based compensation</t>
    <phoneticPr fontId="2" type="noConversion"/>
  </si>
  <si>
    <t>Issuance of common stock warrants</t>
    <phoneticPr fontId="2" type="noConversion"/>
  </si>
  <si>
    <t xml:space="preserve">common stock  </t>
    <phoneticPr fontId="2" type="noConversion"/>
  </si>
  <si>
    <t>The calculation is based on the AMD 10k document. In our calculation, we set stock based compensation, common stock, and issuance of common stock warrants to constant. The numbers might fluctuate in reality, but we expect the difference will be extremely small. With the acquisition of Xilinx, we expect the common stock issued under employee equity plans will increase in the future; hence we have a 15 million increase every year.</t>
    <phoneticPr fontId="2" type="noConversion"/>
  </si>
  <si>
    <t>Treasury stock</t>
    <phoneticPr fontId="2" type="noConversion"/>
  </si>
  <si>
    <t>The calculation is based on the AMD 10k document. Moreover, AMD announced additional 4 billion repurchase program in 2022, the total repurchase amount became 8 billion after 2021. Based on the historical record, AMD has repurchased roughly 5.4 billion in the past, we distributed the remaining amount evenly in the next five years. We set the common stock repurchased for tax withholding on employee equity plans slightly higher than 2022, and we set it to be constant as we believe the difference in reality will be small.</t>
    <phoneticPr fontId="2" type="noConversion"/>
  </si>
  <si>
    <t>The shareholder's equity is calculated by APIC plus treasury stock (at cost) plus accumulated deficit plus accumulated other comprehensive income (loss).</t>
    <phoneticPr fontId="2" type="noConversion"/>
  </si>
  <si>
    <t>The interest expense is calculated based on 10k document debt obligations. Detailed calculation is at the bottom of the tab.</t>
    <phoneticPr fontId="2" type="noConversion"/>
  </si>
  <si>
    <t>Debt</t>
    <phoneticPr fontId="2" type="noConversion"/>
  </si>
  <si>
    <t>Other expense or other income is mainly due to the short term investment return. The loss occurred in 2021 and 2022 is mainly caused by the interest hike. We expect the inflation to be controlled and the interest rate will be decreased, hence we believe there will be an income for AMD, we set the rate similar to 2020, which is a period prior to covid strikes. Detailed calculation is at the bottom of the page.</t>
    <phoneticPr fontId="2" type="noConversion"/>
  </si>
  <si>
    <t>Detailed Calculation</t>
    <phoneticPr fontId="2" type="noConversion"/>
  </si>
  <si>
    <t>Interest income</t>
    <phoneticPr fontId="2" type="noConversion"/>
  </si>
  <si>
    <t>Gain on equity investment, net</t>
    <phoneticPr fontId="2" type="noConversion"/>
  </si>
  <si>
    <t>Other income</t>
    <phoneticPr fontId="2" type="noConversion"/>
  </si>
  <si>
    <t>Based on the 10k document, the interest income for AMD in 2022 is 65 million, we expect the value to be same in the future. Moreover, as AMD will adjust the its investment portfolio and we expect the market condition will be better in the future, we believe the gain on equity investment will be positive and we set the amount conservatively to be 50 million. There might be difference in reality, we expect the difference to be immaterial.</t>
    <phoneticPr fontId="2" type="noConversion"/>
  </si>
  <si>
    <t>The reason for such consolidation is that investment of equity method is imaterial in the sense of pro forma.</t>
    <phoneticPr fontId="2" type="noConversion"/>
  </si>
  <si>
    <t>Original property and equipment, net is expanded into property and equipment and depreciation. The value of depreciation is obtained from 10k document.</t>
    <phoneticPr fontId="2" type="noConversion"/>
  </si>
  <si>
    <t>Financial Ratios</t>
    <phoneticPr fontId="2" type="noConversion"/>
  </si>
  <si>
    <t>EPS</t>
    <phoneticPr fontId="2" type="noConversion"/>
  </si>
  <si>
    <t>Gross Profit Margin</t>
    <phoneticPr fontId="2" type="noConversion"/>
  </si>
  <si>
    <t>Operating Margin</t>
    <phoneticPr fontId="2" type="noConversion"/>
  </si>
  <si>
    <t>EBIT margin</t>
    <phoneticPr fontId="2" type="noConversion"/>
  </si>
  <si>
    <t>Net Profit Margin</t>
    <phoneticPr fontId="2" type="noConversion"/>
  </si>
  <si>
    <t>Current Ratio</t>
    <phoneticPr fontId="2" type="noConversion"/>
  </si>
  <si>
    <t>Quick Ratio</t>
    <phoneticPr fontId="2" type="noConversion"/>
  </si>
  <si>
    <t>Accounts receivable days</t>
    <phoneticPr fontId="2" type="noConversion"/>
  </si>
  <si>
    <t>Accounts payable days</t>
    <phoneticPr fontId="2" type="noConversion"/>
  </si>
  <si>
    <t>Inventory days</t>
    <phoneticPr fontId="2" type="noConversion"/>
  </si>
  <si>
    <t>Return on Equity</t>
    <phoneticPr fontId="2" type="noConversion"/>
  </si>
  <si>
    <t>Inventory turnover</t>
    <phoneticPr fontId="2" type="noConversion"/>
  </si>
  <si>
    <t>Asset turnover</t>
    <phoneticPr fontId="2" type="noConversion"/>
  </si>
  <si>
    <t>EPS growth rate</t>
    <phoneticPr fontId="2" type="noConversion"/>
  </si>
  <si>
    <t>Sales growth rate</t>
    <phoneticPr fontId="2" type="noConversion"/>
  </si>
  <si>
    <t>Net income growth rate</t>
    <phoneticPr fontId="2" type="noConversion"/>
  </si>
  <si>
    <t>Debt to equity ratio</t>
    <phoneticPr fontId="2" type="noConversion"/>
  </si>
  <si>
    <t>Source: AMD annual 10k documents</t>
    <phoneticPr fontId="2" type="noConversion"/>
  </si>
  <si>
    <t>Company Name</t>
    <phoneticPr fontId="2" type="noConversion"/>
  </si>
  <si>
    <t>Advanced Micro Devices. Inc</t>
    <phoneticPr fontId="2" type="noConversion"/>
  </si>
  <si>
    <t>Company Description</t>
    <phoneticPr fontId="2" type="noConversion"/>
  </si>
  <si>
    <t>Advanced Micro Devices. Inc, also known as AMD, is a global leading semiconductor company. The company has mainly four operating segments: Data Center, Client, Gaming, and Embedded. The major products of the company include central processing units (CPU), graphic processing units (GPU), data processing units (DPU), accelerated processing units (APU), field programmable gate arrays (FPGAs) and system-on-a-chip(SoC) products. Founded on May 1st, 1969, AMD devoted into the development of semiconductors and computer-related units. Through the past 50 years, AMD developed astonishing products and became the global leading company in the semiconductor sector.</t>
    <phoneticPr fontId="2" type="noConversion"/>
  </si>
  <si>
    <t>Major Operating Segment</t>
    <phoneticPr fontId="2" type="noConversion"/>
  </si>
  <si>
    <t>Data Center: CPU, GPU, DPU, FPGAs, SoC
Client: CPU, GPU, APU, PC, Notebook
Gaming: GPU, Ryzen CPU, Semi-custom SoC product
Embedded: Embedded CPU and GPU, FPGAs, SoC</t>
    <phoneticPr fontId="2" type="noConversion"/>
  </si>
  <si>
    <t>Major Competitors</t>
    <phoneticPr fontId="2" type="noConversion"/>
  </si>
  <si>
    <t>Ticker</t>
    <phoneticPr fontId="2" type="noConversion"/>
  </si>
  <si>
    <t>AMD (NASDAQ)</t>
    <phoneticPr fontId="2" type="noConversion"/>
  </si>
  <si>
    <t>Primary Sector and Industry</t>
    <phoneticPr fontId="2" type="noConversion"/>
  </si>
  <si>
    <t>Intel Corp: INTC
NVIDIA: NVDA
Qualcomm: QCOM
Analog Devices: ADI</t>
    <phoneticPr fontId="2" type="noConversion"/>
  </si>
  <si>
    <t>Merge &amp; Acquisitions</t>
    <phoneticPr fontId="2" type="noConversion"/>
  </si>
  <si>
    <t>Xilinx: 2022, 49 billion USD
Pensando: 2022, 1.9 billion USD</t>
    <phoneticPr fontId="2" type="noConversion"/>
  </si>
  <si>
    <t>Technology, Semiconductor</t>
    <phoneticPr fontId="2" type="noConversion"/>
  </si>
  <si>
    <t>Ownership and Management Team</t>
    <phoneticPr fontId="2" type="noConversion"/>
  </si>
  <si>
    <t>Chairman of the Board, CEO: Lisa Su
President: Victor Peng
CFO: Jean Hu
CTO: Mark Papermaster
General Manager: Forrest Norrod</t>
    <phoneticPr fontId="2" type="noConversion"/>
  </si>
  <si>
    <t>Consolidated Statements of Operations - USD ($) - Million</t>
    <phoneticPr fontId="2" type="noConversion"/>
  </si>
  <si>
    <t>Consolidated Balance Sheet- USD ($) - Million</t>
    <phoneticPr fontId="2" type="noConversion"/>
  </si>
  <si>
    <t>Overdraft (OD)</t>
    <phoneticPr fontId="2" type="noConversion"/>
  </si>
  <si>
    <t>Overdraft</t>
    <phoneticPr fontId="2" type="noConversion"/>
  </si>
  <si>
    <t>We added an overdraft account in our balance sheet as the plug. Based on our analysis of the company, it is unlikely for the firm to borrow either long-term debt or short-term debt given its excess cash flows. Hence, we use a new account as AFN that is previously 0 to forecast the future.</t>
    <phoneticPr fontId="2" type="noConversion"/>
  </si>
  <si>
    <t>Long-term debt, net</t>
    <phoneticPr fontId="2" type="noConversion"/>
  </si>
  <si>
    <t>Min Cash Balance</t>
    <phoneticPr fontId="2" type="noConversion"/>
  </si>
  <si>
    <t>Plug (Overdraft)</t>
    <phoneticPr fontId="2" type="noConversion"/>
  </si>
  <si>
    <t>See support tab: Debt (1)</t>
    <phoneticPr fontId="2" type="noConversion"/>
  </si>
  <si>
    <t>See support tab: Debt (2)</t>
    <phoneticPr fontId="2" type="noConversion"/>
  </si>
  <si>
    <t>Based on AMD 2022 10k document of debt due</t>
    <phoneticPr fontId="2" type="noConversion"/>
  </si>
  <si>
    <t>Debt detail</t>
    <phoneticPr fontId="2" type="noConversion"/>
  </si>
  <si>
    <t>Debt (1)</t>
    <phoneticPr fontId="2" type="noConversion"/>
  </si>
  <si>
    <t>Due</t>
    <phoneticPr fontId="2" type="noConversion"/>
  </si>
  <si>
    <t>Beg Balance</t>
    <phoneticPr fontId="2" type="noConversion"/>
  </si>
  <si>
    <t>Interest payment</t>
    <phoneticPr fontId="2" type="noConversion"/>
  </si>
  <si>
    <t>Current port. of debt</t>
    <phoneticPr fontId="2" type="noConversion"/>
  </si>
  <si>
    <t xml:space="preserve">End. Balance </t>
    <phoneticPr fontId="2" type="noConversion"/>
  </si>
  <si>
    <t>Debt (2)</t>
    <phoneticPr fontId="2" type="noConversion"/>
  </si>
  <si>
    <r>
      <t xml:space="preserve">Based on our analysis of the firm's financial positions, we indicate that AMD has excess in cash and is unlikely to borrow either long-term debt or short-term debt in the future. Especially for short-term debt, as the cash grows rapidly and it does not have any short-term debt in the past, we expect AMD to maintain such conditions. For long-term debt, AMD borrows 2.5 billion USD in 2022 mainly due to acquisition of Xilinx; as we do not expect such acquisition event will happen in the near future, we do not expect AMD to borrow more long-term debt. Hence, we add a new account that is previous zero from 2018 to 2022 as its additional financing needs in the next five years. As described in the IS&amp;BS pro forma tab, such AFN is the </t>
    </r>
    <r>
      <rPr>
        <b/>
        <sz val="11"/>
        <color theme="1"/>
        <rFont val="Calibri"/>
        <family val="2"/>
      </rPr>
      <t>OVERDRAFT</t>
    </r>
    <r>
      <rPr>
        <sz val="11"/>
        <color theme="1"/>
        <rFont val="Calibri"/>
        <family val="2"/>
      </rPr>
      <t>.</t>
    </r>
    <phoneticPr fontId="2" type="noConversion"/>
  </si>
  <si>
    <t>Long-term Debt</t>
    <phoneticPr fontId="2" type="noConversion"/>
  </si>
  <si>
    <t>All debt information is provided in AMD 2022 10k document. In 2024 and 2026, there will be a current portion of debt listed in the balance sheet, otherwise, the total long-term debt is calculated as above.</t>
    <phoneticPr fontId="2" type="noConversion"/>
  </si>
  <si>
    <t>The interest expense is calculated based on 2022 10k document, if there is OD in the future, we use the weighted average of interest rate of 4.16% (calculated based on the latest issued debt that has rate of 3.924% and 4.393%).</t>
    <phoneticPr fontId="2" type="noConversion"/>
  </si>
  <si>
    <t>Total Interest expense</t>
    <phoneticPr fontId="2" type="noConversion"/>
  </si>
  <si>
    <t>Calculation based on 2018 to 2022 based on AMD annual 10k documents</t>
    <phoneticPr fontId="2" type="noConversion"/>
  </si>
  <si>
    <t>We expect the ratio to be the same as last year give a current acquisition event</t>
    <phoneticPr fontId="2" type="noConversion"/>
  </si>
  <si>
    <t>Based on AMD's 2018 to 2022 10k form, it announced the cash and cash equivalents held by the company is sufficient to fund operations. Hence, we can conclude that the minimum cash balance for AMD could be around 1100 million USD. However, given the fact that AMD grew rapidly in the past, we give a premium to the minimum cash balance, we set it at 1500 million USD.</t>
    <phoneticPr fontId="2" type="noConversion"/>
  </si>
  <si>
    <t>AMD's high growth from 2020 to 2022 was mainly due to the switch from in person working to remote working, the high growth in 2022 was mainly due to the acquisition of Xilinx. Based on our research, the PC market weakens in 2022 and the sales of the data center segment will not surge unless there is breaking technology. As a result, we do not expect AMD to maintain such high growth rate. However, as AI becomes the trend in technology sector, we give a premium to AMD as it is the leading company in such sector. With the decrease of demand in the PC sector, the slightly increase in the demand of the x86 data center service, and the trend of AI, we give AMD an annual growth rate of 15%. The rate is higher than 2019 as new technology has been developed and implemented, but lower than 2020 to 2022 as we do not expect a surge in the sales of CPU and GPUs and we do not expect a new merge and acquisition event.</t>
    <phoneticPr fontId="2" type="noConversion"/>
  </si>
  <si>
    <t>The amortization of acquisition related intangibles is caused by the acquisition of Xilinx, we expect such account to remain on the balance sheet for multiple years.</t>
    <phoneticPr fontId="2" type="noConversion"/>
  </si>
  <si>
    <t>Net interest</t>
    <phoneticPr fontId="2" type="noConversion"/>
  </si>
  <si>
    <t>Cash and Cash equivalents</t>
    <phoneticPr fontId="2" type="noConversion"/>
  </si>
  <si>
    <t>Long-term debt</t>
    <phoneticPr fontId="2" type="noConversion"/>
  </si>
  <si>
    <t>Net debt</t>
    <phoneticPr fontId="2" type="noConversion"/>
  </si>
  <si>
    <t>Cost of debt</t>
    <phoneticPr fontId="2" type="noConversion"/>
  </si>
  <si>
    <t>Free Cash Flow</t>
    <phoneticPr fontId="2" type="noConversion"/>
  </si>
  <si>
    <t>Profit After Tax</t>
    <phoneticPr fontId="2" type="noConversion"/>
  </si>
  <si>
    <t>- Change in current assets</t>
    <phoneticPr fontId="2" type="noConversion"/>
  </si>
  <si>
    <t>+ Change in current liabilities</t>
    <phoneticPr fontId="2" type="noConversion"/>
  </si>
  <si>
    <t>- CAPEX</t>
    <phoneticPr fontId="2" type="noConversion"/>
  </si>
  <si>
    <t>+ (1-tax) * Net interest</t>
    <phoneticPr fontId="2" type="noConversion"/>
  </si>
  <si>
    <t>FCF</t>
    <phoneticPr fontId="2" type="noConversion"/>
  </si>
  <si>
    <t>Estimating Beta</t>
    <phoneticPr fontId="2" type="noConversion"/>
  </si>
  <si>
    <t>RF</t>
    <phoneticPr fontId="2" type="noConversion"/>
  </si>
  <si>
    <t>AMD Beta</t>
    <phoneticPr fontId="2" type="noConversion"/>
  </si>
  <si>
    <t>AMD Alpha</t>
    <phoneticPr fontId="2" type="noConversion"/>
  </si>
  <si>
    <t>Market Return</t>
    <phoneticPr fontId="2" type="noConversion"/>
  </si>
  <si>
    <t>Cost of Equity</t>
    <phoneticPr fontId="2" type="noConversion"/>
  </si>
  <si>
    <t>Tax adjusted rE</t>
    <phoneticPr fontId="2" type="noConversion"/>
  </si>
  <si>
    <t>Price AMD</t>
    <phoneticPr fontId="2" type="noConversion"/>
  </si>
  <si>
    <t>Price SP500</t>
    <phoneticPr fontId="2" type="noConversion"/>
  </si>
  <si>
    <t>Industry Beta (unlever)</t>
    <phoneticPr fontId="2" type="noConversion"/>
  </si>
  <si>
    <t>AMD D/E</t>
    <phoneticPr fontId="2" type="noConversion"/>
  </si>
  <si>
    <t>AMD levered beta</t>
    <phoneticPr fontId="2" type="noConversion"/>
  </si>
  <si>
    <t>Return (%)</t>
    <phoneticPr fontId="2" type="noConversion"/>
  </si>
  <si>
    <t>Return SP500 (%)</t>
    <phoneticPr fontId="2" type="noConversion"/>
  </si>
  <si>
    <t>WACC Computation</t>
    <phoneticPr fontId="2" type="noConversion"/>
  </si>
  <si>
    <t>Shares outstanding (Million)</t>
    <phoneticPr fontId="2" type="noConversion"/>
  </si>
  <si>
    <t>Expected market return</t>
    <phoneticPr fontId="2" type="noConversion"/>
  </si>
  <si>
    <t>Risk free rate</t>
    <phoneticPr fontId="2" type="noConversion"/>
  </si>
  <si>
    <t>Equity Value</t>
    <phoneticPr fontId="2" type="noConversion"/>
  </si>
  <si>
    <t>Equity Value (Million)</t>
    <phoneticPr fontId="2" type="noConversion"/>
  </si>
  <si>
    <t>Equity Beta CAPM</t>
    <phoneticPr fontId="2" type="noConversion"/>
  </si>
  <si>
    <t>Equity Beta (Industry)</t>
    <phoneticPr fontId="2" type="noConversion"/>
  </si>
  <si>
    <t>Equity Weight</t>
    <phoneticPr fontId="2" type="noConversion"/>
  </si>
  <si>
    <t>Debt Weight</t>
    <phoneticPr fontId="2" type="noConversion"/>
  </si>
  <si>
    <t>Total Gross Debt (Million)</t>
    <phoneticPr fontId="2" type="noConversion"/>
  </si>
  <si>
    <t>WACC, Gordon Equity Payouts</t>
    <phoneticPr fontId="2" type="noConversion"/>
  </si>
  <si>
    <t>Current Equity Payout (2022)</t>
    <phoneticPr fontId="2" type="noConversion"/>
  </si>
  <si>
    <t>Average Annual Growth</t>
    <phoneticPr fontId="2" type="noConversion"/>
  </si>
  <si>
    <t>Cost of equity</t>
    <phoneticPr fontId="2" type="noConversion"/>
  </si>
  <si>
    <t>WACC</t>
    <phoneticPr fontId="2" type="noConversion"/>
  </si>
  <si>
    <t>WACC CAPM (Linear Regression)</t>
    <phoneticPr fontId="2" type="noConversion"/>
  </si>
  <si>
    <t>WACC CAPM (Linear Regression) Tax Adjusted</t>
    <phoneticPr fontId="2" type="noConversion"/>
  </si>
  <si>
    <t>Estimated WACC</t>
    <phoneticPr fontId="2" type="noConversion"/>
  </si>
  <si>
    <t>Simplified DCF</t>
    <phoneticPr fontId="2" type="noConversion"/>
  </si>
  <si>
    <t>Terminal Value</t>
    <phoneticPr fontId="2" type="noConversion"/>
  </si>
  <si>
    <t>Total</t>
    <phoneticPr fontId="2" type="noConversion"/>
  </si>
  <si>
    <t>Enterprise Value</t>
    <phoneticPr fontId="2" type="noConversion"/>
  </si>
  <si>
    <t>Share Value</t>
    <phoneticPr fontId="2" type="noConversion"/>
  </si>
  <si>
    <t>Full Pro forma model</t>
    <phoneticPr fontId="2" type="noConversion"/>
  </si>
  <si>
    <t>FCF 2022</t>
    <phoneticPr fontId="2" type="noConversion"/>
  </si>
  <si>
    <t>Asset value year 2022</t>
    <phoneticPr fontId="2" type="noConversion"/>
  </si>
  <si>
    <t>Year 2022 Cash</t>
    <phoneticPr fontId="2" type="noConversion"/>
  </si>
  <si>
    <t>Year 2022 Debt</t>
    <phoneticPr fontId="2" type="noConversion"/>
  </si>
  <si>
    <t>Long-term growth rate</t>
    <phoneticPr fontId="2" type="noConversion"/>
  </si>
  <si>
    <t>Enterprise value</t>
    <phoneticPr fontId="2" type="noConversion"/>
  </si>
  <si>
    <t>Year 2022 cash</t>
    <phoneticPr fontId="2" type="noConversion"/>
  </si>
  <si>
    <t>Year 2022 debt</t>
    <phoneticPr fontId="2" type="noConversion"/>
  </si>
  <si>
    <t>Finra Bond Yield</t>
    <phoneticPr fontId="2" type="noConversion"/>
  </si>
  <si>
    <t>AMD5426831</t>
  </si>
  <si>
    <t>AMD5426832</t>
  </si>
  <si>
    <t>AMD4155878</t>
  </si>
  <si>
    <t>Symbol</t>
    <phoneticPr fontId="2" type="noConversion"/>
  </si>
  <si>
    <t>Maturity</t>
    <phoneticPr fontId="2" type="noConversion"/>
  </si>
  <si>
    <t>Yield</t>
    <phoneticPr fontId="2" type="noConversion"/>
  </si>
  <si>
    <t>Average cost of debt</t>
    <phoneticPr fontId="2" type="noConversion"/>
  </si>
  <si>
    <t>06/01/2032</t>
  </si>
  <si>
    <t>06/01/2052</t>
  </si>
  <si>
    <t>07/01/2024</t>
  </si>
  <si>
    <t xml:space="preserve"> </t>
    <phoneticPr fontId="2" type="noConversion"/>
  </si>
  <si>
    <t>+ D&amp;A</t>
    <phoneticPr fontId="2" type="noConversion"/>
  </si>
  <si>
    <t>ROIC</t>
    <phoneticPr fontId="2" type="noConversion"/>
  </si>
  <si>
    <t>Net Interest, Cost of debt, FFCF from IS and BS</t>
    <phoneticPr fontId="2" type="noConversion"/>
  </si>
  <si>
    <t>Cost of debt (2)</t>
    <phoneticPr fontId="2" type="noConversion"/>
  </si>
  <si>
    <t>2022 (1)</t>
    <phoneticPr fontId="2" type="noConversion"/>
  </si>
  <si>
    <t>Growth rate (3)</t>
    <phoneticPr fontId="2" type="noConversion"/>
  </si>
  <si>
    <t>Short-term growth rate (4)</t>
    <phoneticPr fontId="2" type="noConversion"/>
  </si>
  <si>
    <t>Risk-free rate (6)</t>
    <phoneticPr fontId="2" type="noConversion"/>
  </si>
  <si>
    <t>Multiples Valuation Model</t>
    <phoneticPr fontId="2" type="noConversion"/>
  </si>
  <si>
    <t>Name</t>
    <phoneticPr fontId="2" type="noConversion"/>
  </si>
  <si>
    <t>EV/Revenue</t>
    <phoneticPr fontId="2" type="noConversion"/>
  </si>
  <si>
    <t>EV/EBITDA</t>
    <phoneticPr fontId="2" type="noConversion"/>
  </si>
  <si>
    <t>EV/EBIT</t>
    <phoneticPr fontId="2" type="noConversion"/>
  </si>
  <si>
    <t>NVDIA Corp</t>
    <phoneticPr fontId="2" type="noConversion"/>
  </si>
  <si>
    <t>Texes Instrument Inc.</t>
    <phoneticPr fontId="2" type="noConversion"/>
  </si>
  <si>
    <t>Analog Devices Inc.</t>
    <phoneticPr fontId="2" type="noConversion"/>
  </si>
  <si>
    <t>Intel Corp</t>
    <phoneticPr fontId="2" type="noConversion"/>
  </si>
  <si>
    <t>Qualcomm Inc.</t>
    <phoneticPr fontId="2" type="noConversion"/>
  </si>
  <si>
    <t>Broadcom Inc.</t>
    <phoneticPr fontId="2" type="noConversion"/>
  </si>
  <si>
    <t>NVDA</t>
    <phoneticPr fontId="2" type="noConversion"/>
  </si>
  <si>
    <t>TXN</t>
    <phoneticPr fontId="2" type="noConversion"/>
  </si>
  <si>
    <t>ADI</t>
    <phoneticPr fontId="2" type="noConversion"/>
  </si>
  <si>
    <t>INTC</t>
    <phoneticPr fontId="2" type="noConversion"/>
  </si>
  <si>
    <t>QCOM</t>
    <phoneticPr fontId="2" type="noConversion"/>
  </si>
  <si>
    <t>AVGO</t>
    <phoneticPr fontId="2" type="noConversion"/>
  </si>
  <si>
    <t>MU</t>
    <phoneticPr fontId="2" type="noConversion"/>
  </si>
  <si>
    <t>NXPI</t>
    <phoneticPr fontId="2" type="noConversion"/>
  </si>
  <si>
    <t>Micron Technology Inc.</t>
    <phoneticPr fontId="2" type="noConversion"/>
  </si>
  <si>
    <t>NXP Semiconductors NV</t>
    <phoneticPr fontId="2" type="noConversion"/>
  </si>
  <si>
    <t>EV/FCF</t>
    <phoneticPr fontId="2" type="noConversion"/>
  </si>
  <si>
    <t>Average</t>
    <phoneticPr fontId="2" type="noConversion"/>
  </si>
  <si>
    <t>Median</t>
    <phoneticPr fontId="2" type="noConversion"/>
  </si>
  <si>
    <t>Sales</t>
    <phoneticPr fontId="2" type="noConversion"/>
  </si>
  <si>
    <t>EBIT</t>
    <phoneticPr fontId="2" type="noConversion"/>
  </si>
  <si>
    <t>Indicator</t>
    <phoneticPr fontId="2" type="noConversion"/>
  </si>
  <si>
    <t>Add Cash</t>
    <phoneticPr fontId="2" type="noConversion"/>
  </si>
  <si>
    <t>Subtract debt</t>
    <phoneticPr fontId="2" type="noConversion"/>
  </si>
  <si>
    <t>Estimated Enterprise Value</t>
    <phoneticPr fontId="2" type="noConversion"/>
  </si>
  <si>
    <t>Value per share</t>
    <phoneticPr fontId="2" type="noConversion"/>
  </si>
  <si>
    <t>Market Premium (5)</t>
    <phoneticPr fontId="2" type="noConversion"/>
  </si>
  <si>
    <t>EBITDA</t>
    <phoneticPr fontId="2" type="noConversion"/>
  </si>
  <si>
    <t>Comparables of Peer Firms</t>
    <phoneticPr fontId="2" type="noConversion"/>
  </si>
  <si>
    <t xml:space="preserve"> AMD Company Data  ($ Million)</t>
    <phoneticPr fontId="2" type="noConversion"/>
  </si>
  <si>
    <t>EV/Sales</t>
    <phoneticPr fontId="2" type="noConversion"/>
  </si>
  <si>
    <t>Multiples Model Sensitivity Analysis</t>
    <phoneticPr fontId="2" type="noConversion"/>
  </si>
  <si>
    <t>Simplified DCF Sensitivity Analysis</t>
    <phoneticPr fontId="2" type="noConversion"/>
  </si>
  <si>
    <t>Long-term Growth rate</t>
    <phoneticPr fontId="2" type="noConversion"/>
  </si>
  <si>
    <t>Short-term Growth rate</t>
    <phoneticPr fontId="2" type="noConversion"/>
  </si>
  <si>
    <t>Full Pro Forma Sensitivity Analysis</t>
    <phoneticPr fontId="2" type="noConversion"/>
  </si>
  <si>
    <t>The data table shows how the change of sales and EV/Sales will affect the estimated stock price of AMD. The result roughly reflects the value of AMD.</t>
  </si>
  <si>
    <t>The data table shows how the change of EBITDA and EV/EBITDA wil affect the estimated stock price of AMD. For AMD as a leading company, we believe a premium of 18x EV/EBITDA will be suitable.</t>
    <phoneticPr fontId="2" type="noConversion"/>
  </si>
  <si>
    <t>The data table analyzes how the change of short-term growth rate and WACC will affect AMD's stock price. If STG remains the same, when WACC becomes smaller, the stock price is higher. If WACC remains the same, when STG becomes larger, the stock price is higher.</t>
    <phoneticPr fontId="2" type="noConversion"/>
  </si>
  <si>
    <t>The data table analyzes how the change of WACC and long-term growth rate will affect the stock price of AMD. The conditional requirement is that the WACC needs to be larger than the LTG. If LTG remains the same, the lower the WACC, the higher the stock price. If WACC remains the same, the larger the LTG, the higher the stock price.</t>
    <phoneticPr fontId="2" type="noConversion"/>
  </si>
  <si>
    <t>The data table analyzes how the change of WACC and long-term growth rate will change the stock price of AMD estimated under Full Pro Forma model. The conditional requirement is that the WACC needs to be larger than the LTG. If LTG remains the same, the lower the WACC, the higher the stock price. If WACC remains the same, the larger the LTG, the higher the stock price.</t>
    <phoneticPr fontId="2" type="noConversion"/>
  </si>
  <si>
    <t>Footnote (1)</t>
    <phoneticPr fontId="2" type="noConversion"/>
  </si>
  <si>
    <t>For AMD, 2022 is an abnormal year, if the FCF is calculated based on IS and BS, we can visualize a large amount of acquisition related amortization that never occurred in previous years. Based on our analysis and according to US GAAP, acquisition related amortization should not be amortized. Hence, we believe this is a one time event and we only add it back in year 2022 but not for the future. Moreover, we visualize a surge in accounts receivables and inventories caused by the acquisiton, but not a surge in the current liabilities. This is the cause of having a low FCF for AMD in 2022. We believe the FCF calculated based on the cash flow statement will be more accurate.</t>
    <phoneticPr fontId="2" type="noConversion"/>
  </si>
  <si>
    <t>Footnote (2)</t>
    <phoneticPr fontId="2" type="noConversion"/>
  </si>
  <si>
    <t>The cost of debt we use is the average YTM of AMD's bond listed on Finra. We use the three bonds issued in 2022 and use their average YTM as we believe this is a more forward looking cost of debt.</t>
    <phoneticPr fontId="2" type="noConversion"/>
  </si>
  <si>
    <t>Footnote (3)</t>
    <phoneticPr fontId="2" type="noConversion"/>
  </si>
  <si>
    <t>The long-term FCF growth rate is approximated by the ROIC. We filter out the ROIC ratio of abnormal years, including 2020, 2021, and 2022. In 2020 to 2021, the growth is rapid due to the switch of working and studying environment; in 2022, the ROIC is small due to acquisiton. Combining historical ROIC and estimated future ROIC, we believe a 10% of long-term growth is suitable for AMD. (ROIC ratio is calculated in Fin Ratio tab)</t>
    <phoneticPr fontId="2" type="noConversion"/>
  </si>
  <si>
    <t>Footnote (4)</t>
    <phoneticPr fontId="2" type="noConversion"/>
  </si>
  <si>
    <t>The short-term FCF growth rate is estimated based on the Pro Forma model, the detailed calculation is provided below.</t>
    <phoneticPr fontId="2" type="noConversion"/>
  </si>
  <si>
    <t>Footnote (5) &amp; (6)</t>
    <phoneticPr fontId="2" type="noConversion"/>
  </si>
  <si>
    <t>We use a market premium of 5.14% because the risk-free rate we use is the T-bond rate, and we believe the volatility of the stock market has decreased to a lower level than previous years; hence, the return will not be as high as previous years. Hence, we believe the market premium of 5.14% is suitable as it gives a total market return of 8.73% (rf=3.59%). The risk-free rate we use is yield of 10-year U.S. Treasury bond provided by FRED. The current risk free rate is 3.59%.</t>
    <phoneticPr fontId="2" type="noConversion"/>
  </si>
  <si>
    <t>Short-term FCF growth rate calculation</t>
    <phoneticPr fontId="2" type="noConversion"/>
  </si>
  <si>
    <t>Average growth rate</t>
    <phoneticPr fontId="2" type="noConversion"/>
  </si>
  <si>
    <r>
      <t>***</t>
    </r>
    <r>
      <rPr>
        <b/>
        <i/>
        <sz val="11"/>
        <color theme="1"/>
        <rFont val="Calibri"/>
        <family val="2"/>
      </rPr>
      <t xml:space="preserve">Sources*** AMD 10k documents, Finra, Yahoo Finance (stock price), FRED, Stockrow </t>
    </r>
    <phoneticPr fontId="2" type="noConversion"/>
  </si>
  <si>
    <t>Unable to find DTL schedule, set DTL to constant</t>
    <phoneticPr fontId="2" type="noConversion"/>
  </si>
  <si>
    <t>This row only contains interest expense, the interest income is included in other expense,net. A detailed calculation is provided in the support tab.</t>
    <phoneticPr fontId="2" type="noConversion"/>
  </si>
  <si>
    <t>Note: We found we could not do sensitivity analysis in a different sheet. We tried the dummy cell input method but the data table output is inaccurate. Hence, we conducted sensitivity analysis in this sheet and the result will be copied to Risk Analysis sheet.</t>
    <phoneticPr fontId="2" type="noConversion"/>
  </si>
  <si>
    <t>Share price, April 28 2023</t>
    <phoneticPr fontId="2" type="noConversion"/>
  </si>
  <si>
    <t>nml</t>
  </si>
  <si>
    <t>Crystal Ball Analysis</t>
    <phoneticPr fontId="2" type="noConversion"/>
  </si>
  <si>
    <t>Factors</t>
    <phoneticPr fontId="2" type="noConversion"/>
  </si>
  <si>
    <t>Type</t>
    <phoneticPr fontId="2" type="noConversion"/>
  </si>
  <si>
    <t>Range</t>
    <phoneticPr fontId="2" type="noConversion"/>
  </si>
  <si>
    <t>Market Premium</t>
    <phoneticPr fontId="2" type="noConversion"/>
  </si>
  <si>
    <t>Risk-free rate</t>
    <phoneticPr fontId="2" type="noConversion"/>
  </si>
  <si>
    <t>Short-term growth rate</t>
    <phoneticPr fontId="2" type="noConversion"/>
  </si>
  <si>
    <t>Uniform</t>
    <phoneticPr fontId="2" type="noConversion"/>
  </si>
  <si>
    <t>4.12%-7.33%</t>
    <phoneticPr fontId="2" type="noConversion"/>
  </si>
  <si>
    <t>2.5%-4%</t>
    <phoneticPr fontId="2" type="noConversion"/>
  </si>
  <si>
    <t>8%-11%</t>
    <phoneticPr fontId="2" type="noConversion"/>
  </si>
  <si>
    <t>3.36%-6.33%</t>
    <phoneticPr fontId="2" type="noConversion"/>
  </si>
  <si>
    <t>Triangular</t>
    <phoneticPr fontId="2" type="noConversion"/>
  </si>
  <si>
    <t>Refer to table</t>
    <phoneticPr fontId="2" type="noConversion"/>
  </si>
  <si>
    <t>Statistics:</t>
  </si>
  <si>
    <t>Forecast values</t>
  </si>
  <si>
    <t>Trials</t>
  </si>
  <si>
    <t>Base Case</t>
  </si>
  <si>
    <t>Mean</t>
  </si>
  <si>
    <t>Median</t>
  </si>
  <si>
    <t>Mode</t>
  </si>
  <si>
    <t>---</t>
  </si>
  <si>
    <t>Standard Deviation</t>
  </si>
  <si>
    <t>Variance</t>
  </si>
  <si>
    <t>Skewness</t>
  </si>
  <si>
    <t>Kurtosis</t>
  </si>
  <si>
    <t>Coeff. of Variation</t>
  </si>
  <si>
    <t>Minimum</t>
  </si>
  <si>
    <t>Maximum</t>
  </si>
  <si>
    <t>Range Width</t>
  </si>
  <si>
    <t>Mean Std. Error</t>
  </si>
  <si>
    <t>Percentiles:</t>
  </si>
  <si>
    <t>0%</t>
  </si>
  <si>
    <t>10%</t>
  </si>
  <si>
    <t>20%</t>
  </si>
  <si>
    <t>30%</t>
  </si>
  <si>
    <t>40%</t>
  </si>
  <si>
    <t>50%</t>
  </si>
  <si>
    <t>60%</t>
  </si>
  <si>
    <t>70%</t>
  </si>
  <si>
    <t>80%</t>
  </si>
  <si>
    <t>90%</t>
  </si>
  <si>
    <t>100%</t>
  </si>
  <si>
    <t>Interpretations are provided below</t>
    <phoneticPr fontId="2" type="noConversion"/>
  </si>
  <si>
    <t>20%-24.67%-30%</t>
    <phoneticPr fontId="2" type="noConversion"/>
  </si>
  <si>
    <t>Crystal Ball Analysis Continued</t>
    <phoneticPr fontId="2" type="noConversion"/>
  </si>
  <si>
    <t>Full Pro Forma Model</t>
    <phoneticPr fontId="2" type="noConversion"/>
  </si>
  <si>
    <t>Simplified DCF Interpretation</t>
    <phoneticPr fontId="2" type="noConversion"/>
  </si>
  <si>
    <t>Full Pro Forma Interpretation</t>
    <phoneticPr fontId="2" type="noConversion"/>
  </si>
  <si>
    <t>Across all the factors, market premium, long-term growth rate and risk-free rate are the key driver of the change of the stock price. Market premium and risk-free rate are directly related to the deriviation of WACC. Hence, WACC is the key driver of the change of stock price under Pro Forma model. Similarly, the increase in WACC has a negative impact on stock price; whereas the increase in long-term growth rate has positive impact on stock price. The median of the trials is 76.57, which is mainly caused by the range of market premium. Cost of debt has no impact on the change of stock prices because AMD has a extremely small debt weight. The main risks AMD face include interest risk, market risk, and future growth risk. The future growth risk is mainly caused by the status of company management and the failure of market strategy.</t>
    <phoneticPr fontId="2" type="noConversion"/>
  </si>
  <si>
    <t>Multiples Model</t>
    <phoneticPr fontId="2" type="noConversion"/>
  </si>
  <si>
    <t>Simplified DCF Model</t>
    <phoneticPr fontId="2" type="noConversion"/>
  </si>
  <si>
    <t>Stock Price Range</t>
    <phoneticPr fontId="2" type="noConversion"/>
  </si>
  <si>
    <t>80.8-98.07</t>
    <phoneticPr fontId="2" type="noConversion"/>
  </si>
  <si>
    <t>Final Results</t>
    <phoneticPr fontId="2" type="noConversion"/>
  </si>
  <si>
    <t>Stock Price as April 28 2023</t>
    <phoneticPr fontId="2" type="noConversion"/>
  </si>
  <si>
    <t>Target Price as April 28 2023</t>
    <phoneticPr fontId="2" type="noConversion"/>
  </si>
  <si>
    <t>Recommendation</t>
    <phoneticPr fontId="2" type="noConversion"/>
  </si>
  <si>
    <t>BUY</t>
    <phoneticPr fontId="2" type="noConversion"/>
  </si>
  <si>
    <t>Upside and Downside</t>
    <phoneticPr fontId="2" type="noConversion"/>
  </si>
  <si>
    <t>UPSIDE</t>
    <phoneticPr fontId="2" type="noConversion"/>
  </si>
  <si>
    <t>Revenue</t>
    <phoneticPr fontId="2" type="noConversion"/>
  </si>
  <si>
    <t>Bull WACC</t>
  </si>
  <si>
    <t>Scenario Summary</t>
  </si>
  <si>
    <t>Changing Cells:</t>
  </si>
  <si>
    <t>Current Values:</t>
  </si>
  <si>
    <t>Result Cells:</t>
  </si>
  <si>
    <t>Bear WACC</t>
  </si>
  <si>
    <t>Aggregate Bear</t>
  </si>
  <si>
    <t>Aggregate Bull</t>
  </si>
  <si>
    <t>Scenario Analysis</t>
    <phoneticPr fontId="2" type="noConversion"/>
  </si>
  <si>
    <t>Bear</t>
    <phoneticPr fontId="2" type="noConversion"/>
  </si>
  <si>
    <t>Base</t>
    <phoneticPr fontId="2" type="noConversion"/>
  </si>
  <si>
    <t>Bull</t>
    <phoneticPr fontId="2" type="noConversion"/>
  </si>
  <si>
    <t>Growth rate (LT)</t>
    <phoneticPr fontId="2" type="noConversion"/>
  </si>
  <si>
    <t>Upside</t>
    <phoneticPr fontId="2" type="noConversion"/>
  </si>
  <si>
    <t>Downside</t>
    <phoneticPr fontId="2" type="noConversion"/>
  </si>
  <si>
    <t>-</t>
    <phoneticPr fontId="2" type="noConversion"/>
  </si>
  <si>
    <t>Current Share Price</t>
    <phoneticPr fontId="2" type="noConversion"/>
  </si>
  <si>
    <t>Sensitivity Analysis and Stock Price Range (Rationale provided in Valuation tab)</t>
    <phoneticPr fontId="2" type="noConversion"/>
  </si>
  <si>
    <t>Revenue Growth</t>
    <phoneticPr fontId="2" type="noConversion"/>
  </si>
  <si>
    <t>Revenue growth</t>
    <phoneticPr fontId="2" type="noConversion"/>
  </si>
  <si>
    <t>Revenue growth rate</t>
    <phoneticPr fontId="2" type="noConversion"/>
  </si>
  <si>
    <t>Bull Growth</t>
  </si>
  <si>
    <t>Bull Revenue Growth</t>
  </si>
  <si>
    <t>Bear Growth</t>
  </si>
  <si>
    <t>Bear Revenue Growth</t>
  </si>
  <si>
    <t>Across all the factors, market premium, long-term growth rate and risk-free rate are the key driver of the change of the stock price. Market premium and risk-free rate are directly related to the deriviation of WACC. Hence, WACC is the key driver of the stock price. Moreover, the increase of the WACC has negative impact on the stock price; whereas the increase of long term growth rate has a positive impact on the stock price. Among all the simulations, the median of the share price is 78.63, which is mainly caused by the wide range of market premium. Based on the distribution chart, the stock price will fall between $88.5 and $105 has a probability of 11.60%. The main risks AMD faces include interest risk, market risk, and future growth risk. The higher the market return, the higher the WACC, however, when the market performs better, it is likely in an economic boom and we expect AMD to have higher growth. Future growth risk is mainly due to the status of company management and market strategy.</t>
    <phoneticPr fontId="2" type="noConversion"/>
  </si>
  <si>
    <t>Interpretation</t>
    <phoneticPr fontId="2" type="noConversion"/>
  </si>
  <si>
    <t>Based on the scenario analysis, we figure that revenue growth is also a key driver to the change of AMD's stock price. Hence, we believe the sales risk is another risk that can prevent AMD's stock price from rising. The sales risk can be casued by decreased demand from all AMD's business segments. Currently, the gaming and PC sector have weak demand; however, such weak demand can be offset by the increasing demand of AMD's server segment. With the trend of AI in current period, we are optimistic about AMD's global server and units demand.</t>
    <phoneticPr fontId="2" type="noConversion"/>
  </si>
  <si>
    <t>84.9-101.23</t>
    <phoneticPr fontId="2" type="noConversion"/>
  </si>
  <si>
    <t>Considering the abnormal event in 2022, we believe the multiples method should be used as a comparative. The valuation based on the simplified DCF model may have some premium. To be conservative, we expect our target price to be the output of the Full Pro Forma model, given the consideration of future growth and acquisiton-related factors. From the simplified DCF model and the Multiples model, we are able to derive a range of stock prices. Based on crystal analysis, we believe the long-term growth rate and the WACC are the key drivers of the stock price. Hence, we put more weight on the output of the Full Pro Forma model, and the final stock price will be 97.96 USD.</t>
    <phoneticPr fontId="2" type="noConversion"/>
  </si>
  <si>
    <t>The data table shows how the change of FCF and EV/FCF will affect the estimated stock price of AMD. For year 2022, AMD's FCF amount is lower than 2021 and it may not reflect the actual operating status, such result is due to the acquisition events. As the historical growth of AMD's FCF is rapid, if in normal times, AMD's FCF and FCF multiples will be higher. In this case, we believe an EV/FCF multiples of 28x is suitable.</t>
    <phoneticPr fontId="2" type="noConversion"/>
  </si>
  <si>
    <t xml:space="preserve">The data table tests how the change of EBIT and EV/EBIT will change the estimated stock price of AMD. For year 2022, AMD has huge amortization that is related to acquisition. In normal period, we expect AMD's EBIT to be around 3500. Moreover, for AMD as a leading company in the industry, we expect it to have a premium on the EV/EBIT multiples, which should be around 35x. </t>
    <phoneticPr fontId="2" type="noConversion"/>
  </si>
  <si>
    <t>44.33-119.35</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</si>
</sst>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26" formatCode="\$#,##0.00_);[Red]\(\$#,##0.00\)"/>
    <numFmt numFmtId="176" formatCode="#,##0._);\(#,##0.\);\-"/>
    <numFmt numFmtId="177" formatCode="#,##0_);\(#,##0\);\-"/>
    <numFmt numFmtId="178" formatCode="#,##0.0_);\(#,##0.0\);\-"/>
    <numFmt numFmtId="179" formatCode="#,##0.00_);\(#,##0.00\);\-"/>
    <numFmt numFmtId="180" formatCode="0.0%"/>
    <numFmt numFmtId="181" formatCode="0%;\-"/>
    <numFmt numFmtId="182" formatCode="0.00_);[Red]\(0.00\)"/>
    <numFmt numFmtId="183" formatCode="0_);\(0\)"/>
    <numFmt numFmtId="184" formatCode="0.000%"/>
    <numFmt numFmtId="185" formatCode="0.0000"/>
    <numFmt numFmtId="186" formatCode="0.000"/>
  </numFmts>
  <fonts count="23" x14ac:knownFonts="1">
    <font>
      <sz val="11"/>
      <color theme="1"/>
      <name val="等线"/>
      <family val="2"/>
      <charset val="134"/>
      <scheme val="minor"/>
    </font>
    <font>
      <sz val="11"/>
      <color theme="1"/>
      <name val="等线"/>
      <family val="2"/>
      <charset val="134"/>
      <scheme val="minor"/>
    </font>
    <font>
      <sz val="9"/>
      <name val="等线"/>
      <family val="2"/>
      <charset val="134"/>
      <scheme val="minor"/>
    </font>
    <font>
      <b/>
      <sz val="11"/>
      <color theme="1"/>
      <name val="等线"/>
      <family val="3"/>
      <charset val="134"/>
      <scheme val="minor"/>
    </font>
    <font>
      <b/>
      <sz val="11"/>
      <color theme="1"/>
      <name val="Calibri"/>
      <family val="2"/>
    </font>
    <font>
      <sz val="11"/>
      <color theme="1"/>
      <name val="Calibri"/>
      <family val="2"/>
    </font>
    <font>
      <sz val="11"/>
      <color rgb="FFFF0000"/>
      <name val="Calibri"/>
      <family val="2"/>
    </font>
    <font>
      <b/>
      <i/>
      <sz val="11"/>
      <color theme="1"/>
      <name val="Calibri"/>
      <family val="2"/>
    </font>
    <font>
      <b/>
      <sz val="11"/>
      <name val="Calibri"/>
      <family val="2"/>
    </font>
    <font>
      <sz val="11"/>
      <name val="Calibri"/>
      <family val="2"/>
    </font>
    <font>
      <i/>
      <sz val="11"/>
      <color theme="1"/>
      <name val="Calibri"/>
      <family val="2"/>
    </font>
    <font>
      <sz val="10"/>
      <name val="Arial"/>
      <family val="2"/>
    </font>
    <font>
      <sz val="11"/>
      <color theme="1"/>
      <name val="Times New Roman"/>
      <family val="1"/>
    </font>
    <font>
      <sz val="11"/>
      <color rgb="FF060606"/>
      <name val="Calibri"/>
      <family val="2"/>
    </font>
    <font>
      <b/>
      <sz val="11"/>
      <color rgb="FF060606"/>
      <name val="Calibri"/>
      <family val="2"/>
    </font>
    <font>
      <b/>
      <sz val="11"/>
      <color indexed="9"/>
      <name val="Calibri"/>
      <family val="2"/>
    </font>
    <font>
      <sz val="11"/>
      <color indexed="9"/>
      <name val="Calibri"/>
      <family val="2"/>
    </font>
    <font>
      <b/>
      <sz val="11"/>
      <color indexed="8"/>
      <name val="Calibri"/>
      <family val="2"/>
    </font>
    <font>
      <sz val="10"/>
      <color theme="1"/>
      <name val="Calibri"/>
      <family val="2"/>
    </font>
    <font>
      <b/>
      <sz val="11"/>
      <color indexed="18"/>
      <name val="Calibri"/>
      <family val="2"/>
    </font>
    <font>
      <sz val="18"/>
      <color rgb="FF000000"/>
      <name val="Arial"/>
      <family val="2"/>
    </font>
    <font>
      <sz val="18"/>
      <color rgb="FFFF0000"/>
      <name val="Arial"/>
      <family val="2"/>
    </font>
    <font>
      <b/>
      <sz val="11"/>
      <color theme="1"/>
      <name val="Times New Roman"/>
      <family val="1"/>
    </font>
  </fonts>
  <fills count="12">
    <fill>
      <patternFill patternType="none"/>
    </fill>
    <fill>
      <patternFill patternType="gray125"/>
    </fill>
    <fill>
      <patternFill patternType="solid">
        <fgColor rgb="FFE2F7FE"/>
        <bgColor indexed="64"/>
      </patternFill>
    </fill>
    <fill>
      <patternFill patternType="solid">
        <fgColor theme="0"/>
        <bgColor indexed="64"/>
      </patternFill>
    </fill>
    <fill>
      <patternFill patternType="solid">
        <fgColor rgb="FFFFFF00"/>
        <bgColor indexed="64"/>
      </patternFill>
    </fill>
    <fill>
      <patternFill patternType="solid">
        <fgColor theme="2" tint="-0.499984740745262"/>
        <bgColor indexed="64"/>
      </patternFill>
    </fill>
    <fill>
      <patternFill patternType="solid">
        <fgColor theme="5"/>
        <bgColor indexed="64"/>
      </patternFill>
    </fill>
    <fill>
      <patternFill patternType="solid">
        <fgColor rgb="FFFF0000"/>
        <bgColor indexed="64"/>
      </patternFill>
    </fill>
    <fill>
      <patternFill patternType="solid">
        <fgColor theme="7"/>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0" fontId="11" fillId="0" borderId="0"/>
  </cellStyleXfs>
  <cellXfs count="406">
    <xf numFmtId="0" fontId="0" fillId="0" borderId="0" xfId="0">
      <alignment vertical="center"/>
    </xf>
    <xf numFmtId="0" fontId="3" fillId="0" borderId="0" xfId="0" applyFont="1">
      <alignment vertical="center"/>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0" borderId="5" xfId="0" applyFont="1" applyBorder="1">
      <alignment vertical="center"/>
    </xf>
    <xf numFmtId="0" fontId="5" fillId="0" borderId="0" xfId="0" applyFont="1">
      <alignment vertical="center"/>
    </xf>
    <xf numFmtId="0" fontId="5" fillId="0" borderId="6" xfId="0" applyFont="1" applyBorder="1">
      <alignment vertical="center"/>
    </xf>
    <xf numFmtId="0" fontId="5" fillId="2" borderId="5" xfId="0" applyFont="1" applyFill="1" applyBorder="1" applyAlignment="1">
      <alignment horizontal="left" vertical="center" indent="2"/>
    </xf>
    <xf numFmtId="177" fontId="5" fillId="2" borderId="0" xfId="0" applyNumberFormat="1" applyFont="1" applyFill="1">
      <alignment vertical="center"/>
    </xf>
    <xf numFmtId="177" fontId="5" fillId="2" borderId="6" xfId="0" applyNumberFormat="1" applyFont="1" applyFill="1" applyBorder="1">
      <alignment vertical="center"/>
    </xf>
    <xf numFmtId="0" fontId="5" fillId="0" borderId="5" xfId="0" applyFont="1" applyBorder="1" applyAlignment="1">
      <alignment horizontal="left" vertical="center" indent="2"/>
    </xf>
    <xf numFmtId="177" fontId="5" fillId="0" borderId="0" xfId="0" applyNumberFormat="1" applyFont="1">
      <alignment vertical="center"/>
    </xf>
    <xf numFmtId="177" fontId="5" fillId="0" borderId="6" xfId="0" applyNumberFormat="1" applyFont="1" applyBorder="1">
      <alignment vertical="center"/>
    </xf>
    <xf numFmtId="0" fontId="4" fillId="2" borderId="5" xfId="0" applyFont="1" applyFill="1" applyBorder="1">
      <alignment vertical="center"/>
    </xf>
    <xf numFmtId="177" fontId="5" fillId="2" borderId="3" xfId="0" applyNumberFormat="1" applyFont="1" applyFill="1" applyBorder="1">
      <alignment vertical="center"/>
    </xf>
    <xf numFmtId="177" fontId="5" fillId="2" borderId="4" xfId="0" applyNumberFormat="1" applyFont="1" applyFill="1" applyBorder="1">
      <alignment vertical="center"/>
    </xf>
    <xf numFmtId="0" fontId="5" fillId="0" borderId="5" xfId="0" applyFont="1" applyBorder="1">
      <alignment vertical="center"/>
    </xf>
    <xf numFmtId="0" fontId="5" fillId="2" borderId="5" xfId="0" applyFont="1" applyFill="1" applyBorder="1">
      <alignment vertical="center"/>
    </xf>
    <xf numFmtId="0" fontId="5" fillId="2" borderId="0" xfId="0" applyFont="1" applyFill="1">
      <alignment vertical="center"/>
    </xf>
    <xf numFmtId="0" fontId="5" fillId="2" borderId="6" xfId="0" applyFont="1" applyFill="1" applyBorder="1">
      <alignment vertical="center"/>
    </xf>
    <xf numFmtId="0" fontId="4" fillId="0" borderId="7" xfId="0" applyFont="1" applyBorder="1">
      <alignment vertical="center"/>
    </xf>
    <xf numFmtId="177" fontId="5" fillId="0" borderId="11" xfId="0" applyNumberFormat="1" applyFont="1" applyBorder="1">
      <alignment vertical="center"/>
    </xf>
    <xf numFmtId="177" fontId="5" fillId="0" borderId="10" xfId="0" applyNumberFormat="1" applyFont="1" applyBorder="1">
      <alignment vertical="center"/>
    </xf>
    <xf numFmtId="177" fontId="5" fillId="0" borderId="3" xfId="0" applyNumberFormat="1" applyFont="1" applyBorder="1">
      <alignment vertical="center"/>
    </xf>
    <xf numFmtId="177" fontId="5" fillId="0" borderId="4" xfId="0" applyNumberFormat="1" applyFont="1" applyBorder="1">
      <alignment vertical="center"/>
    </xf>
    <xf numFmtId="0" fontId="5" fillId="2" borderId="5" xfId="0" applyFont="1" applyFill="1" applyBorder="1" applyAlignment="1">
      <alignment horizontal="left" vertical="center" indent="1"/>
    </xf>
    <xf numFmtId="179" fontId="5" fillId="2" borderId="0" xfId="0" applyNumberFormat="1" applyFont="1" applyFill="1">
      <alignment vertical="center"/>
    </xf>
    <xf numFmtId="179" fontId="5" fillId="2" borderId="6" xfId="0" applyNumberFormat="1" applyFont="1" applyFill="1" applyBorder="1">
      <alignment vertical="center"/>
    </xf>
    <xf numFmtId="0" fontId="5" fillId="0" borderId="5" xfId="0" applyFont="1" applyBorder="1" applyAlignment="1">
      <alignment horizontal="left" vertical="center" indent="1"/>
    </xf>
    <xf numFmtId="179" fontId="5" fillId="0" borderId="0" xfId="0" applyNumberFormat="1" applyFont="1">
      <alignment vertical="center"/>
    </xf>
    <xf numFmtId="179" fontId="5" fillId="0" borderId="6" xfId="0" applyNumberFormat="1" applyFont="1" applyBorder="1">
      <alignment vertical="center"/>
    </xf>
    <xf numFmtId="0" fontId="5" fillId="2" borderId="7" xfId="0" applyFont="1" applyFill="1" applyBorder="1" applyAlignment="1">
      <alignment horizontal="left" vertical="center" indent="1"/>
    </xf>
    <xf numFmtId="177" fontId="5" fillId="2" borderId="8" xfId="0" applyNumberFormat="1" applyFont="1" applyFill="1" applyBorder="1">
      <alignment vertical="center"/>
    </xf>
    <xf numFmtId="177" fontId="5" fillId="2" borderId="9" xfId="0" applyNumberFormat="1" applyFont="1" applyFill="1" applyBorder="1">
      <alignment vertical="center"/>
    </xf>
    <xf numFmtId="0" fontId="6" fillId="2" borderId="5" xfId="0" applyFont="1" applyFill="1" applyBorder="1" applyAlignment="1">
      <alignment horizontal="left" vertical="center" indent="2"/>
    </xf>
    <xf numFmtId="177" fontId="5" fillId="0" borderId="8" xfId="0" applyNumberFormat="1" applyFont="1" applyBorder="1">
      <alignment vertical="center"/>
    </xf>
    <xf numFmtId="177" fontId="5" fillId="0" borderId="9" xfId="0" applyNumberFormat="1" applyFont="1" applyBorder="1">
      <alignment vertical="center"/>
    </xf>
    <xf numFmtId="0" fontId="6" fillId="0" borderId="5" xfId="0" applyFont="1" applyBorder="1">
      <alignment vertical="center"/>
    </xf>
    <xf numFmtId="0" fontId="4" fillId="0" borderId="2" xfId="0" applyFont="1" applyBorder="1">
      <alignment vertical="center"/>
    </xf>
    <xf numFmtId="0" fontId="5" fillId="2" borderId="5" xfId="0" applyFont="1" applyFill="1" applyBorder="1" applyAlignment="1">
      <alignment horizontal="right" vertical="center"/>
    </xf>
    <xf numFmtId="0" fontId="5" fillId="0" borderId="7" xfId="0" applyFont="1" applyBorder="1" applyAlignment="1">
      <alignment horizontal="right" vertical="center"/>
    </xf>
    <xf numFmtId="0" fontId="7" fillId="0" borderId="0" xfId="0" applyFont="1">
      <alignment vertical="center"/>
    </xf>
    <xf numFmtId="0" fontId="4" fillId="0" borderId="0" xfId="0" applyFont="1">
      <alignment vertical="center"/>
    </xf>
    <xf numFmtId="0" fontId="5" fillId="2" borderId="7" xfId="0" applyFont="1" applyFill="1" applyBorder="1">
      <alignment vertical="center"/>
    </xf>
    <xf numFmtId="177" fontId="5" fillId="2" borderId="11" xfId="0" applyNumberFormat="1" applyFont="1" applyFill="1" applyBorder="1">
      <alignment vertical="center"/>
    </xf>
    <xf numFmtId="177" fontId="5" fillId="2" borderId="10" xfId="0" applyNumberFormat="1" applyFont="1" applyFill="1" applyBorder="1">
      <alignment vertical="center"/>
    </xf>
    <xf numFmtId="177" fontId="5" fillId="3" borderId="8" xfId="0" applyNumberFormat="1" applyFont="1" applyFill="1" applyBorder="1">
      <alignment vertical="center"/>
    </xf>
    <xf numFmtId="177" fontId="5" fillId="3" borderId="9" xfId="0" applyNumberFormat="1" applyFont="1" applyFill="1" applyBorder="1">
      <alignment vertical="center"/>
    </xf>
    <xf numFmtId="0" fontId="9" fillId="0" borderId="5" xfId="0" applyFont="1" applyBorder="1">
      <alignment vertical="center"/>
    </xf>
    <xf numFmtId="0" fontId="9" fillId="2" borderId="5" xfId="0" applyFont="1" applyFill="1" applyBorder="1">
      <alignment vertical="center"/>
    </xf>
    <xf numFmtId="177" fontId="5" fillId="0" borderId="13" xfId="0" applyNumberFormat="1" applyFont="1" applyBorder="1">
      <alignment vertical="center"/>
    </xf>
    <xf numFmtId="177" fontId="5" fillId="2" borderId="13" xfId="0" applyNumberFormat="1" applyFont="1" applyFill="1" applyBorder="1">
      <alignment vertical="center"/>
    </xf>
    <xf numFmtId="179" fontId="5" fillId="2" borderId="13" xfId="0" applyNumberFormat="1" applyFont="1" applyFill="1" applyBorder="1">
      <alignment vertical="center"/>
    </xf>
    <xf numFmtId="179" fontId="5" fillId="0" borderId="13" xfId="0" applyNumberFormat="1" applyFont="1" applyBorder="1">
      <alignment vertical="center"/>
    </xf>
    <xf numFmtId="180" fontId="5" fillId="0" borderId="13" xfId="0" applyNumberFormat="1" applyFont="1" applyBorder="1">
      <alignment vertical="center"/>
    </xf>
    <xf numFmtId="180" fontId="5" fillId="2" borderId="13" xfId="0" applyNumberFormat="1" applyFont="1" applyFill="1" applyBorder="1">
      <alignment vertical="center"/>
    </xf>
    <xf numFmtId="9" fontId="5" fillId="0" borderId="13" xfId="0" applyNumberFormat="1" applyFont="1" applyBorder="1">
      <alignment vertical="center"/>
    </xf>
    <xf numFmtId="9" fontId="5" fillId="2" borderId="13" xfId="0" applyNumberFormat="1" applyFont="1" applyFill="1" applyBorder="1">
      <alignment vertical="center"/>
    </xf>
    <xf numFmtId="177" fontId="5" fillId="2" borderId="14" xfId="0" applyNumberFormat="1" applyFont="1" applyFill="1" applyBorder="1">
      <alignment vertical="center"/>
    </xf>
    <xf numFmtId="0" fontId="5" fillId="0" borderId="2" xfId="0" applyFont="1" applyBorder="1">
      <alignment vertical="center"/>
    </xf>
    <xf numFmtId="0" fontId="5" fillId="0" borderId="12" xfId="0" applyFont="1" applyBorder="1">
      <alignment vertical="center"/>
    </xf>
    <xf numFmtId="0" fontId="5" fillId="0" borderId="3" xfId="0" applyFont="1" applyBorder="1" applyAlignment="1">
      <alignment horizontal="right" vertical="center"/>
    </xf>
    <xf numFmtId="0" fontId="5" fillId="0" borderId="4" xfId="0" applyFont="1" applyBorder="1" applyAlignment="1">
      <alignment horizontal="right" vertical="center"/>
    </xf>
    <xf numFmtId="9" fontId="5" fillId="0" borderId="13" xfId="1" applyFont="1" applyBorder="1">
      <alignment vertical="center"/>
    </xf>
    <xf numFmtId="9" fontId="5" fillId="0" borderId="0" xfId="1" applyFont="1" applyBorder="1">
      <alignment vertical="center"/>
    </xf>
    <xf numFmtId="9" fontId="5" fillId="2" borderId="13" xfId="1" applyFont="1" applyFill="1" applyBorder="1">
      <alignment vertical="center"/>
    </xf>
    <xf numFmtId="176" fontId="5" fillId="0" borderId="13" xfId="1" applyNumberFormat="1" applyFont="1" applyBorder="1">
      <alignment vertical="center"/>
    </xf>
    <xf numFmtId="177" fontId="5" fillId="0" borderId="13" xfId="1" applyNumberFormat="1" applyFont="1" applyBorder="1">
      <alignment vertical="center"/>
    </xf>
    <xf numFmtId="178" fontId="5" fillId="0" borderId="13" xfId="0" applyNumberFormat="1" applyFont="1" applyBorder="1">
      <alignment vertical="center"/>
    </xf>
    <xf numFmtId="178" fontId="5" fillId="2" borderId="13" xfId="1" applyNumberFormat="1" applyFont="1" applyFill="1" applyBorder="1">
      <alignment vertical="center"/>
    </xf>
    <xf numFmtId="177" fontId="5" fillId="2" borderId="13" xfId="1" applyNumberFormat="1" applyFont="1" applyFill="1" applyBorder="1">
      <alignment vertical="center"/>
    </xf>
    <xf numFmtId="178" fontId="5" fillId="2" borderId="13" xfId="0" applyNumberFormat="1" applyFont="1" applyFill="1" applyBorder="1">
      <alignment vertical="center"/>
    </xf>
    <xf numFmtId="180" fontId="5" fillId="0" borderId="13" xfId="1" applyNumberFormat="1" applyFont="1" applyBorder="1">
      <alignment vertical="center"/>
    </xf>
    <xf numFmtId="180" fontId="5" fillId="2" borderId="13" xfId="1" applyNumberFormat="1" applyFont="1" applyFill="1" applyBorder="1">
      <alignment vertical="center"/>
    </xf>
    <xf numFmtId="10" fontId="5" fillId="2" borderId="13" xfId="1" applyNumberFormat="1" applyFont="1" applyFill="1" applyBorder="1">
      <alignment vertical="center"/>
    </xf>
    <xf numFmtId="10" fontId="5" fillId="0" borderId="13" xfId="1" applyNumberFormat="1" applyFont="1" applyBorder="1">
      <alignment vertical="center"/>
    </xf>
    <xf numFmtId="178" fontId="5" fillId="0" borderId="13" xfId="1" applyNumberFormat="1" applyFont="1" applyBorder="1">
      <alignment vertical="center"/>
    </xf>
    <xf numFmtId="10" fontId="5" fillId="0" borderId="13" xfId="0" applyNumberFormat="1" applyFont="1" applyBorder="1">
      <alignment vertical="center"/>
    </xf>
    <xf numFmtId="181" fontId="5" fillId="0" borderId="13" xfId="1" applyNumberFormat="1" applyFont="1" applyBorder="1">
      <alignment vertical="center"/>
    </xf>
    <xf numFmtId="181" fontId="5" fillId="0" borderId="13" xfId="0" applyNumberFormat="1" applyFont="1" applyBorder="1">
      <alignment vertical="center"/>
    </xf>
    <xf numFmtId="181" fontId="5" fillId="2" borderId="13" xfId="1" applyNumberFormat="1" applyFont="1" applyFill="1" applyBorder="1">
      <alignment vertical="center"/>
    </xf>
    <xf numFmtId="181" fontId="5" fillId="2" borderId="13" xfId="0" applyNumberFormat="1" applyFont="1" applyFill="1" applyBorder="1">
      <alignment vertical="center"/>
    </xf>
    <xf numFmtId="0" fontId="5" fillId="0" borderId="13" xfId="0" applyFont="1" applyBorder="1">
      <alignment vertical="center"/>
    </xf>
    <xf numFmtId="0" fontId="5" fillId="2" borderId="13" xfId="0" applyFont="1" applyFill="1" applyBorder="1">
      <alignment vertical="center"/>
    </xf>
    <xf numFmtId="177" fontId="5" fillId="0" borderId="1" xfId="0" applyNumberFormat="1" applyFont="1" applyBorder="1">
      <alignment vertical="center"/>
    </xf>
    <xf numFmtId="177" fontId="5" fillId="0" borderId="14" xfId="0" applyNumberFormat="1" applyFont="1" applyBorder="1">
      <alignment vertical="center"/>
    </xf>
    <xf numFmtId="0" fontId="5" fillId="0" borderId="8" xfId="0" applyFont="1" applyBorder="1">
      <alignment vertical="center"/>
    </xf>
    <xf numFmtId="0" fontId="5" fillId="0" borderId="9" xfId="0" applyFont="1" applyBorder="1">
      <alignment vertical="center"/>
    </xf>
    <xf numFmtId="0" fontId="6" fillId="2" borderId="5" xfId="0" applyFont="1" applyFill="1" applyBorder="1">
      <alignment vertical="center"/>
    </xf>
    <xf numFmtId="182" fontId="4" fillId="0" borderId="0" xfId="0" applyNumberFormat="1" applyFont="1">
      <alignment vertical="center"/>
    </xf>
    <xf numFmtId="0" fontId="4" fillId="0" borderId="14" xfId="0" applyFont="1" applyBorder="1">
      <alignment vertical="center"/>
    </xf>
    <xf numFmtId="183" fontId="4" fillId="0" borderId="1" xfId="0" applyNumberFormat="1" applyFont="1" applyBorder="1" applyAlignment="1">
      <alignment horizontal="center" vertical="center"/>
    </xf>
    <xf numFmtId="183" fontId="4" fillId="0" borderId="14" xfId="0" applyNumberFormat="1" applyFont="1" applyBorder="1" applyAlignment="1">
      <alignment horizontal="center" vertical="center"/>
    </xf>
    <xf numFmtId="0" fontId="5" fillId="0" borderId="3" xfId="0" applyFont="1" applyBorder="1">
      <alignment vertical="center"/>
    </xf>
    <xf numFmtId="0" fontId="5" fillId="0" borderId="4" xfId="0" applyFont="1" applyBorder="1">
      <alignment vertical="center"/>
    </xf>
    <xf numFmtId="0" fontId="5" fillId="0" borderId="1" xfId="0" applyFont="1" applyBorder="1">
      <alignment vertical="center"/>
    </xf>
    <xf numFmtId="183" fontId="4" fillId="0" borderId="13" xfId="0" applyNumberFormat="1" applyFont="1" applyBorder="1">
      <alignment vertical="center"/>
    </xf>
    <xf numFmtId="183" fontId="4" fillId="0" borderId="14" xfId="0" applyNumberFormat="1" applyFont="1" applyBorder="1">
      <alignment vertical="center"/>
    </xf>
    <xf numFmtId="183" fontId="4" fillId="0" borderId="12" xfId="0" applyNumberFormat="1" applyFont="1" applyBorder="1">
      <alignment vertical="center"/>
    </xf>
    <xf numFmtId="0" fontId="5" fillId="0" borderId="15" xfId="0" applyFont="1" applyBorder="1">
      <alignment vertical="center"/>
    </xf>
    <xf numFmtId="0" fontId="5" fillId="0" borderId="10" xfId="0" applyFont="1" applyBorder="1">
      <alignment vertical="center"/>
    </xf>
    <xf numFmtId="0" fontId="5" fillId="0" borderId="11" xfId="0" applyFont="1" applyBorder="1">
      <alignment vertical="center"/>
    </xf>
    <xf numFmtId="9" fontId="5" fillId="0" borderId="12" xfId="0" applyNumberFormat="1" applyFont="1" applyBorder="1">
      <alignment vertical="center"/>
    </xf>
    <xf numFmtId="177" fontId="5" fillId="0" borderId="12" xfId="0" applyNumberFormat="1" applyFont="1" applyBorder="1">
      <alignment vertical="center"/>
    </xf>
    <xf numFmtId="10" fontId="5" fillId="2" borderId="13" xfId="0" applyNumberFormat="1" applyFont="1" applyFill="1" applyBorder="1">
      <alignment vertical="center"/>
    </xf>
    <xf numFmtId="0" fontId="5" fillId="3" borderId="5" xfId="0" applyFont="1" applyFill="1" applyBorder="1">
      <alignment vertical="center"/>
    </xf>
    <xf numFmtId="0" fontId="5" fillId="3" borderId="0" xfId="0" applyFont="1" applyFill="1">
      <alignment vertical="center"/>
    </xf>
    <xf numFmtId="0" fontId="5" fillId="3" borderId="6" xfId="0" applyFont="1" applyFill="1" applyBorder="1">
      <alignment vertical="center"/>
    </xf>
    <xf numFmtId="9" fontId="5" fillId="2" borderId="5" xfId="1" applyFont="1" applyFill="1" applyBorder="1">
      <alignment vertical="center"/>
    </xf>
    <xf numFmtId="9" fontId="5" fillId="0" borderId="5" xfId="1" applyFont="1" applyBorder="1">
      <alignment vertical="center"/>
    </xf>
    <xf numFmtId="180" fontId="5" fillId="0" borderId="5" xfId="1" applyNumberFormat="1" applyFont="1" applyBorder="1">
      <alignment vertical="center"/>
    </xf>
    <xf numFmtId="9" fontId="5" fillId="2" borderId="14" xfId="1" applyFont="1" applyFill="1" applyBorder="1">
      <alignment vertical="center"/>
    </xf>
    <xf numFmtId="0" fontId="5" fillId="2" borderId="14" xfId="0" applyFont="1" applyFill="1" applyBorder="1">
      <alignment vertical="center"/>
    </xf>
    <xf numFmtId="9" fontId="5" fillId="2" borderId="7" xfId="1" applyFont="1" applyFill="1" applyBorder="1">
      <alignment vertical="center"/>
    </xf>
    <xf numFmtId="9" fontId="5" fillId="2" borderId="14" xfId="0" applyNumberFormat="1" applyFont="1" applyFill="1" applyBorder="1">
      <alignment vertical="center"/>
    </xf>
    <xf numFmtId="177" fontId="5" fillId="0" borderId="5" xfId="1" applyNumberFormat="1" applyFont="1" applyBorder="1">
      <alignment vertical="center"/>
    </xf>
    <xf numFmtId="10" fontId="5" fillId="2" borderId="5" xfId="1" applyNumberFormat="1" applyFont="1" applyFill="1" applyBorder="1">
      <alignment vertical="center"/>
    </xf>
    <xf numFmtId="9" fontId="5" fillId="0" borderId="14" xfId="1" applyFont="1" applyBorder="1">
      <alignment vertical="center"/>
    </xf>
    <xf numFmtId="0" fontId="5" fillId="0" borderId="14" xfId="0" applyFont="1" applyBorder="1">
      <alignment vertical="center"/>
    </xf>
    <xf numFmtId="9" fontId="5" fillId="0" borderId="7" xfId="1" applyFont="1" applyBorder="1">
      <alignment vertical="center"/>
    </xf>
    <xf numFmtId="9" fontId="5" fillId="0" borderId="14" xfId="0" applyNumberFormat="1" applyFont="1" applyBorder="1">
      <alignment vertical="center"/>
    </xf>
    <xf numFmtId="177" fontId="5" fillId="2" borderId="5" xfId="1" applyNumberFormat="1" applyFont="1" applyFill="1" applyBorder="1">
      <alignment vertical="center"/>
    </xf>
    <xf numFmtId="9" fontId="5" fillId="0" borderId="1" xfId="1" applyFont="1" applyBorder="1">
      <alignment vertical="center"/>
    </xf>
    <xf numFmtId="9" fontId="5" fillId="0" borderId="15" xfId="1" applyFont="1" applyBorder="1">
      <alignment vertical="center"/>
    </xf>
    <xf numFmtId="0" fontId="5" fillId="4" borderId="5" xfId="0" applyFont="1" applyFill="1" applyBorder="1">
      <alignment vertical="center"/>
    </xf>
    <xf numFmtId="177" fontId="5" fillId="4" borderId="13" xfId="0" applyNumberFormat="1" applyFont="1" applyFill="1" applyBorder="1">
      <alignment vertical="center"/>
    </xf>
    <xf numFmtId="9" fontId="5" fillId="4" borderId="13" xfId="1" applyFont="1" applyFill="1" applyBorder="1">
      <alignment vertical="center"/>
    </xf>
    <xf numFmtId="0" fontId="5" fillId="4" borderId="13" xfId="0" applyFont="1" applyFill="1" applyBorder="1">
      <alignment vertical="center"/>
    </xf>
    <xf numFmtId="9" fontId="5" fillId="4" borderId="5" xfId="1" applyFont="1" applyFill="1" applyBorder="1">
      <alignment vertical="center"/>
    </xf>
    <xf numFmtId="177" fontId="5" fillId="4" borderId="6" xfId="0" applyNumberFormat="1" applyFont="1" applyFill="1" applyBorder="1">
      <alignment vertical="center"/>
    </xf>
    <xf numFmtId="0" fontId="5" fillId="4" borderId="6" xfId="0" applyFont="1" applyFill="1" applyBorder="1">
      <alignment vertical="center"/>
    </xf>
    <xf numFmtId="0" fontId="9" fillId="4" borderId="5" xfId="0" applyFont="1" applyFill="1" applyBorder="1" applyAlignment="1">
      <alignment horizontal="left" vertical="center" indent="2"/>
    </xf>
    <xf numFmtId="0" fontId="4" fillId="0" borderId="6" xfId="0" applyFont="1" applyBorder="1">
      <alignment vertical="center"/>
    </xf>
    <xf numFmtId="2" fontId="5" fillId="2" borderId="6" xfId="0" applyNumberFormat="1" applyFont="1" applyFill="1" applyBorder="1">
      <alignment vertical="center"/>
    </xf>
    <xf numFmtId="10" fontId="5" fillId="0" borderId="0" xfId="1" applyNumberFormat="1" applyFont="1" applyBorder="1">
      <alignment vertical="center"/>
    </xf>
    <xf numFmtId="10" fontId="5" fillId="0" borderId="6" xfId="1" applyNumberFormat="1" applyFont="1" applyBorder="1">
      <alignment vertical="center"/>
    </xf>
    <xf numFmtId="10" fontId="5" fillId="2" borderId="0" xfId="1" applyNumberFormat="1" applyFont="1" applyFill="1" applyBorder="1">
      <alignment vertical="center"/>
    </xf>
    <xf numFmtId="10" fontId="5" fillId="2" borderId="6" xfId="1" applyNumberFormat="1" applyFont="1" applyFill="1" applyBorder="1">
      <alignment vertical="center"/>
    </xf>
    <xf numFmtId="2" fontId="5" fillId="0" borderId="0" xfId="0" applyNumberFormat="1" applyFont="1">
      <alignment vertical="center"/>
    </xf>
    <xf numFmtId="2" fontId="5" fillId="0" borderId="6" xfId="0" applyNumberFormat="1" applyFont="1" applyBorder="1">
      <alignment vertical="center"/>
    </xf>
    <xf numFmtId="0" fontId="4" fillId="0" borderId="8" xfId="0" applyFont="1" applyBorder="1">
      <alignment vertical="center"/>
    </xf>
    <xf numFmtId="0" fontId="4" fillId="0" borderId="9" xfId="0" applyFont="1" applyBorder="1">
      <alignment vertical="center"/>
    </xf>
    <xf numFmtId="177" fontId="5" fillId="4" borderId="0" xfId="0" applyNumberFormat="1" applyFont="1" applyFill="1">
      <alignment vertical="center"/>
    </xf>
    <xf numFmtId="177" fontId="5" fillId="3" borderId="13" xfId="0" applyNumberFormat="1" applyFont="1" applyFill="1" applyBorder="1">
      <alignment vertical="center"/>
    </xf>
    <xf numFmtId="9" fontId="5" fillId="3" borderId="13" xfId="1" applyFont="1" applyFill="1" applyBorder="1">
      <alignment vertical="center"/>
    </xf>
    <xf numFmtId="0" fontId="5" fillId="3" borderId="13" xfId="0" applyFont="1" applyFill="1" applyBorder="1">
      <alignment vertical="center"/>
    </xf>
    <xf numFmtId="9" fontId="5" fillId="3" borderId="5" xfId="1" applyFont="1" applyFill="1" applyBorder="1">
      <alignment vertical="center"/>
    </xf>
    <xf numFmtId="10" fontId="5" fillId="3" borderId="13" xfId="1" applyNumberFormat="1" applyFont="1" applyFill="1" applyBorder="1">
      <alignment vertical="center"/>
    </xf>
    <xf numFmtId="177" fontId="5" fillId="3" borderId="6" xfId="0" applyNumberFormat="1" applyFont="1" applyFill="1" applyBorder="1">
      <alignment vertical="center"/>
    </xf>
    <xf numFmtId="9" fontId="5" fillId="4" borderId="13" xfId="0" applyNumberFormat="1" applyFont="1" applyFill="1" applyBorder="1">
      <alignment vertical="center"/>
    </xf>
    <xf numFmtId="0" fontId="5" fillId="0" borderId="7" xfId="0" applyFont="1" applyBorder="1">
      <alignment vertical="center"/>
    </xf>
    <xf numFmtId="0" fontId="10" fillId="0" borderId="0" xfId="0" applyFont="1">
      <alignment vertical="center"/>
    </xf>
    <xf numFmtId="9" fontId="5" fillId="0" borderId="13" xfId="1" applyFont="1" applyFill="1" applyBorder="1">
      <alignment vertical="center"/>
    </xf>
    <xf numFmtId="9" fontId="5" fillId="0" borderId="5" xfId="1" applyFont="1" applyFill="1" applyBorder="1">
      <alignment vertical="center"/>
    </xf>
    <xf numFmtId="10" fontId="5" fillId="0" borderId="1" xfId="1" applyNumberFormat="1" applyFont="1" applyFill="1" applyBorder="1">
      <alignment vertical="center"/>
    </xf>
    <xf numFmtId="178" fontId="5" fillId="0" borderId="15" xfId="1" applyNumberFormat="1" applyFont="1" applyFill="1" applyBorder="1">
      <alignment vertical="center"/>
    </xf>
    <xf numFmtId="0" fontId="8" fillId="0" borderId="15" xfId="0" applyFont="1" applyBorder="1">
      <alignment vertical="center"/>
    </xf>
    <xf numFmtId="177" fontId="9" fillId="0" borderId="1" xfId="0" applyNumberFormat="1" applyFont="1" applyBorder="1">
      <alignment vertical="center"/>
    </xf>
    <xf numFmtId="9" fontId="5" fillId="0" borderId="1" xfId="1" applyFont="1" applyFill="1" applyBorder="1">
      <alignment vertical="center"/>
    </xf>
    <xf numFmtId="9" fontId="5" fillId="0" borderId="11" xfId="1" applyFont="1" applyFill="1" applyBorder="1">
      <alignment vertical="center"/>
    </xf>
    <xf numFmtId="177" fontId="9" fillId="0" borderId="10" xfId="0" applyNumberFormat="1" applyFont="1" applyBorder="1">
      <alignment vertical="center"/>
    </xf>
    <xf numFmtId="0" fontId="8" fillId="0" borderId="7" xfId="0" applyFont="1" applyBorder="1">
      <alignment vertical="center"/>
    </xf>
    <xf numFmtId="177" fontId="9" fillId="0" borderId="11" xfId="0" applyNumberFormat="1" applyFont="1" applyBorder="1">
      <alignment vertical="center"/>
    </xf>
    <xf numFmtId="0" fontId="9" fillId="2" borderId="5" xfId="0" applyFont="1" applyFill="1" applyBorder="1" applyAlignment="1">
      <alignment horizontal="right" vertical="center"/>
    </xf>
    <xf numFmtId="0" fontId="5" fillId="0" borderId="0" xfId="0" applyFont="1" applyAlignment="1">
      <alignment horizontal="left" vertical="center"/>
    </xf>
    <xf numFmtId="2" fontId="0" fillId="0" borderId="0" xfId="0" applyNumberFormat="1">
      <alignment vertical="center"/>
    </xf>
    <xf numFmtId="10" fontId="0" fillId="0" borderId="0" xfId="0" applyNumberFormat="1">
      <alignment vertical="center"/>
    </xf>
    <xf numFmtId="0" fontId="12" fillId="0" borderId="0" xfId="0" applyFont="1">
      <alignment vertical="center"/>
    </xf>
    <xf numFmtId="2" fontId="5" fillId="2" borderId="0" xfId="0" applyNumberFormat="1" applyFont="1" applyFill="1">
      <alignment vertical="center"/>
    </xf>
    <xf numFmtId="10" fontId="5" fillId="0" borderId="8" xfId="1" applyNumberFormat="1" applyFont="1" applyBorder="1">
      <alignment vertical="center"/>
    </xf>
    <xf numFmtId="10" fontId="5" fillId="0" borderId="9" xfId="1" applyNumberFormat="1" applyFont="1" applyBorder="1">
      <alignment vertical="center"/>
    </xf>
    <xf numFmtId="14" fontId="5" fillId="0" borderId="0" xfId="0" applyNumberFormat="1" applyFont="1">
      <alignment vertical="center"/>
    </xf>
    <xf numFmtId="0" fontId="5" fillId="0" borderId="5" xfId="0" applyFont="1" applyBorder="1" applyAlignment="1">
      <alignment horizontal="left" vertical="center"/>
    </xf>
    <xf numFmtId="0" fontId="5" fillId="0" borderId="5" xfId="0" quotePrefix="1" applyFont="1" applyBorder="1">
      <alignment vertical="center"/>
    </xf>
    <xf numFmtId="0" fontId="13" fillId="0" borderId="5" xfId="0" applyFont="1" applyBorder="1">
      <alignment vertical="center"/>
    </xf>
    <xf numFmtId="0" fontId="13" fillId="0" borderId="0" xfId="0" applyFont="1">
      <alignment vertical="center"/>
    </xf>
    <xf numFmtId="0" fontId="13" fillId="0" borderId="6" xfId="0" applyFont="1" applyBorder="1">
      <alignment vertical="center"/>
    </xf>
    <xf numFmtId="10" fontId="13" fillId="0" borderId="0" xfId="0" applyNumberFormat="1" applyFont="1">
      <alignment vertical="center"/>
    </xf>
    <xf numFmtId="10" fontId="13" fillId="0" borderId="6" xfId="0" applyNumberFormat="1" applyFont="1" applyBorder="1">
      <alignment vertical="center"/>
    </xf>
    <xf numFmtId="10" fontId="5" fillId="0" borderId="0" xfId="0" applyNumberFormat="1" applyFont="1">
      <alignment vertical="center"/>
    </xf>
    <xf numFmtId="9" fontId="5" fillId="0" borderId="6" xfId="0" applyNumberFormat="1" applyFont="1" applyBorder="1">
      <alignment vertical="center"/>
    </xf>
    <xf numFmtId="10" fontId="5" fillId="0" borderId="6" xfId="0" applyNumberFormat="1" applyFont="1" applyBorder="1">
      <alignment vertical="center"/>
    </xf>
    <xf numFmtId="2" fontId="4" fillId="0" borderId="8" xfId="0" applyNumberFormat="1" applyFont="1" applyBorder="1">
      <alignment vertical="center"/>
    </xf>
    <xf numFmtId="9" fontId="5" fillId="0" borderId="6" xfId="1" applyFont="1" applyBorder="1">
      <alignment vertical="center"/>
    </xf>
    <xf numFmtId="9" fontId="5" fillId="0" borderId="0" xfId="0" applyNumberFormat="1" applyFont="1">
      <alignment vertical="center"/>
    </xf>
    <xf numFmtId="9" fontId="4" fillId="0" borderId="6" xfId="1" applyFont="1" applyBorder="1">
      <alignment vertical="center"/>
    </xf>
    <xf numFmtId="10" fontId="4" fillId="0" borderId="6" xfId="1" applyNumberFormat="1" applyFont="1" applyBorder="1">
      <alignment vertical="center"/>
    </xf>
    <xf numFmtId="0" fontId="14" fillId="0" borderId="7" xfId="0" applyFont="1" applyBorder="1">
      <alignment vertical="center"/>
    </xf>
    <xf numFmtId="10" fontId="5" fillId="4" borderId="6" xfId="0" applyNumberFormat="1" applyFont="1" applyFill="1" applyBorder="1">
      <alignment vertical="center"/>
    </xf>
    <xf numFmtId="177" fontId="5" fillId="4" borderId="8" xfId="0" applyNumberFormat="1" applyFont="1" applyFill="1" applyBorder="1">
      <alignment vertical="center"/>
    </xf>
    <xf numFmtId="0" fontId="5" fillId="4" borderId="3" xfId="0" applyFont="1" applyFill="1" applyBorder="1" applyAlignment="1">
      <alignment horizontal="right" vertical="top"/>
    </xf>
    <xf numFmtId="177" fontId="5" fillId="0" borderId="5" xfId="0" applyNumberFormat="1" applyFont="1" applyBorder="1">
      <alignment vertical="center"/>
    </xf>
    <xf numFmtId="179" fontId="5" fillId="0" borderId="8" xfId="0" applyNumberFormat="1" applyFont="1" applyBorder="1">
      <alignment vertical="center"/>
    </xf>
    <xf numFmtId="179" fontId="5" fillId="0" borderId="9" xfId="0" applyNumberFormat="1" applyFont="1" applyBorder="1">
      <alignment vertical="center"/>
    </xf>
    <xf numFmtId="0" fontId="0" fillId="0" borderId="8" xfId="0" applyBorder="1">
      <alignment vertical="center"/>
    </xf>
    <xf numFmtId="0" fontId="0" fillId="0" borderId="5" xfId="0" applyBorder="1">
      <alignment vertical="center"/>
    </xf>
    <xf numFmtId="179" fontId="5" fillId="5" borderId="15" xfId="0" applyNumberFormat="1" applyFont="1" applyFill="1" applyBorder="1">
      <alignment vertical="center"/>
    </xf>
    <xf numFmtId="179" fontId="5" fillId="0" borderId="1" xfId="0" applyNumberFormat="1" applyFont="1" applyBorder="1">
      <alignment vertical="center"/>
    </xf>
    <xf numFmtId="179" fontId="5" fillId="6" borderId="1" xfId="0" applyNumberFormat="1" applyFont="1" applyFill="1" applyBorder="1">
      <alignment vertical="center"/>
    </xf>
    <xf numFmtId="9" fontId="5" fillId="6" borderId="1" xfId="1" applyFont="1" applyFill="1" applyBorder="1">
      <alignment vertical="center"/>
    </xf>
    <xf numFmtId="0" fontId="0" fillId="0" borderId="0" xfId="0" applyAlignment="1">
      <alignment vertical="center" wrapText="1"/>
    </xf>
    <xf numFmtId="10" fontId="4" fillId="0" borderId="9" xfId="0" applyNumberFormat="1" applyFont="1" applyBorder="1">
      <alignment vertical="center"/>
    </xf>
    <xf numFmtId="0" fontId="0" fillId="0" borderId="3" xfId="0" applyBorder="1">
      <alignment vertical="center"/>
    </xf>
    <xf numFmtId="10" fontId="5" fillId="0" borderId="1" xfId="1" applyNumberFormat="1" applyFont="1" applyBorder="1">
      <alignment vertical="center"/>
    </xf>
    <xf numFmtId="10" fontId="5" fillId="0" borderId="1" xfId="0" applyNumberFormat="1" applyFont="1" applyBorder="1">
      <alignment vertical="center"/>
    </xf>
    <xf numFmtId="9" fontId="5" fillId="0" borderId="1" xfId="0" applyNumberFormat="1" applyFont="1" applyBorder="1">
      <alignment vertical="center"/>
    </xf>
    <xf numFmtId="0" fontId="5" fillId="7" borderId="5" xfId="0" applyFont="1" applyFill="1" applyBorder="1">
      <alignment vertical="center"/>
    </xf>
    <xf numFmtId="177" fontId="5" fillId="7" borderId="13" xfId="0" applyNumberFormat="1" applyFont="1" applyFill="1" applyBorder="1">
      <alignment vertical="center"/>
    </xf>
    <xf numFmtId="10" fontId="5" fillId="7" borderId="13" xfId="1" applyNumberFormat="1" applyFont="1" applyFill="1" applyBorder="1">
      <alignment vertical="center"/>
    </xf>
    <xf numFmtId="0" fontId="5" fillId="7" borderId="13" xfId="0" applyFont="1" applyFill="1" applyBorder="1">
      <alignment vertical="center"/>
    </xf>
    <xf numFmtId="10" fontId="5" fillId="7" borderId="5" xfId="1" applyNumberFormat="1" applyFont="1" applyFill="1" applyBorder="1">
      <alignment vertical="center"/>
    </xf>
    <xf numFmtId="177" fontId="5" fillId="7" borderId="6" xfId="0" applyNumberFormat="1" applyFont="1" applyFill="1" applyBorder="1">
      <alignment vertical="center"/>
    </xf>
    <xf numFmtId="9" fontId="5" fillId="7" borderId="13" xfId="1" applyFont="1" applyFill="1" applyBorder="1">
      <alignment vertical="center"/>
    </xf>
    <xf numFmtId="0" fontId="5" fillId="7" borderId="6" xfId="0" applyFont="1" applyFill="1" applyBorder="1">
      <alignment vertical="center"/>
    </xf>
    <xf numFmtId="10" fontId="5" fillId="7" borderId="13" xfId="0" applyNumberFormat="1" applyFont="1" applyFill="1" applyBorder="1">
      <alignment vertical="center"/>
    </xf>
    <xf numFmtId="0" fontId="5" fillId="7" borderId="0" xfId="0" applyFont="1" applyFill="1">
      <alignment vertical="center"/>
    </xf>
    <xf numFmtId="180" fontId="5" fillId="7" borderId="13" xfId="1" applyNumberFormat="1" applyFont="1" applyFill="1" applyBorder="1">
      <alignment vertical="center"/>
    </xf>
    <xf numFmtId="180" fontId="5" fillId="7" borderId="13" xfId="0" applyNumberFormat="1" applyFont="1" applyFill="1" applyBorder="1">
      <alignment vertical="center"/>
    </xf>
    <xf numFmtId="179" fontId="5" fillId="8" borderId="1" xfId="0" applyNumberFormat="1" applyFont="1" applyFill="1" applyBorder="1">
      <alignment vertical="center"/>
    </xf>
    <xf numFmtId="0" fontId="0" fillId="0" borderId="6" xfId="0" applyBorder="1">
      <alignment vertical="center"/>
    </xf>
    <xf numFmtId="0" fontId="0" fillId="0" borderId="9" xfId="0" applyBorder="1">
      <alignment vertical="center"/>
    </xf>
    <xf numFmtId="0" fontId="5" fillId="0" borderId="0" xfId="0" applyFont="1" applyAlignment="1">
      <alignment horizontal="right"/>
    </xf>
    <xf numFmtId="0" fontId="5" fillId="0" borderId="0" xfId="0" applyFont="1" applyAlignment="1"/>
    <xf numFmtId="0" fontId="5" fillId="0" borderId="5" xfId="0" applyFont="1" applyBorder="1" applyAlignment="1"/>
    <xf numFmtId="3" fontId="5" fillId="0" borderId="0" xfId="0" applyNumberFormat="1" applyFont="1" applyAlignment="1"/>
    <xf numFmtId="2" fontId="5" fillId="0" borderId="0" xfId="0" applyNumberFormat="1" applyFont="1" applyAlignment="1"/>
    <xf numFmtId="2" fontId="5" fillId="0" borderId="0" xfId="0" applyNumberFormat="1" applyFont="1" applyAlignment="1">
      <alignment horizontal="right"/>
    </xf>
    <xf numFmtId="4" fontId="5" fillId="0" borderId="0" xfId="0" applyNumberFormat="1" applyFont="1" applyAlignment="1"/>
    <xf numFmtId="185" fontId="5" fillId="0" borderId="0" xfId="0" applyNumberFormat="1" applyFont="1" applyAlignment="1"/>
    <xf numFmtId="0" fontId="5" fillId="0" borderId="7" xfId="0" applyFont="1" applyBorder="1" applyAlignment="1"/>
    <xf numFmtId="0" fontId="5" fillId="0" borderId="8" xfId="0" applyFont="1" applyBorder="1" applyAlignment="1"/>
    <xf numFmtId="2" fontId="5" fillId="0" borderId="8" xfId="0" applyNumberFormat="1" applyFont="1" applyBorder="1" applyAlignment="1"/>
    <xf numFmtId="0" fontId="4" fillId="6" borderId="8" xfId="0" applyFont="1" applyFill="1" applyBorder="1">
      <alignment vertical="center"/>
    </xf>
    <xf numFmtId="10" fontId="4" fillId="6" borderId="9" xfId="1" applyNumberFormat="1" applyFont="1" applyFill="1" applyBorder="1" applyAlignment="1">
      <alignment vertical="center"/>
    </xf>
    <xf numFmtId="2" fontId="12" fillId="0" borderId="0" xfId="0" applyNumberFormat="1" applyFont="1">
      <alignment vertical="center"/>
    </xf>
    <xf numFmtId="9" fontId="12" fillId="0" borderId="0" xfId="0" applyNumberFormat="1" applyFont="1">
      <alignment vertical="center"/>
    </xf>
    <xf numFmtId="0" fontId="15" fillId="9" borderId="16" xfId="0" applyFont="1" applyFill="1" applyBorder="1" applyAlignment="1">
      <alignment horizontal="left" vertical="center"/>
    </xf>
    <xf numFmtId="0" fontId="16" fillId="9" borderId="16" xfId="0" applyFont="1" applyFill="1" applyBorder="1" applyAlignment="1">
      <alignment horizontal="right" vertical="center"/>
    </xf>
    <xf numFmtId="0" fontId="15" fillId="9" borderId="8" xfId="0" applyFont="1" applyFill="1" applyBorder="1" applyAlignment="1">
      <alignment horizontal="left" vertical="center"/>
    </xf>
    <xf numFmtId="0" fontId="16" fillId="9" borderId="8" xfId="0" applyFont="1" applyFill="1" applyBorder="1" applyAlignment="1">
      <alignment horizontal="right" vertical="center"/>
    </xf>
    <xf numFmtId="0" fontId="19" fillId="10" borderId="11" xfId="0" applyFont="1" applyFill="1" applyBorder="1" applyAlignment="1">
      <alignment horizontal="left" vertical="center"/>
    </xf>
    <xf numFmtId="0" fontId="17" fillId="10" borderId="17" xfId="0" applyFont="1" applyFill="1" applyBorder="1" applyAlignment="1">
      <alignment horizontal="left" vertical="center"/>
    </xf>
    <xf numFmtId="0" fontId="20" fillId="0" borderId="0" xfId="0" applyFont="1" applyAlignment="1"/>
    <xf numFmtId="0" fontId="21" fillId="0" borderId="0" xfId="0" applyFont="1" applyAlignment="1"/>
    <xf numFmtId="0" fontId="4" fillId="0" borderId="4" xfId="0" applyFont="1" applyBorder="1">
      <alignment vertical="center"/>
    </xf>
    <xf numFmtId="186" fontId="5" fillId="0" borderId="5" xfId="0" applyNumberFormat="1" applyFont="1" applyBorder="1">
      <alignment vertical="center"/>
    </xf>
    <xf numFmtId="186" fontId="5" fillId="0" borderId="6" xfId="0" applyNumberFormat="1" applyFont="1" applyBorder="1">
      <alignment vertical="center"/>
    </xf>
    <xf numFmtId="0" fontId="4" fillId="4" borderId="6" xfId="0" applyFont="1" applyFill="1" applyBorder="1">
      <alignment vertical="center"/>
    </xf>
    <xf numFmtId="9" fontId="5" fillId="0" borderId="5" xfId="0" applyNumberFormat="1" applyFont="1" applyBorder="1">
      <alignment vertical="center"/>
    </xf>
    <xf numFmtId="0" fontId="4" fillId="4" borderId="5" xfId="0" applyFont="1" applyFill="1" applyBorder="1">
      <alignment vertical="center"/>
    </xf>
    <xf numFmtId="10" fontId="5" fillId="0" borderId="5" xfId="0" applyNumberFormat="1" applyFont="1" applyBorder="1">
      <alignment vertical="center"/>
    </xf>
    <xf numFmtId="10" fontId="5" fillId="0" borderId="7" xfId="0" applyNumberFormat="1" applyFont="1" applyBorder="1">
      <alignment vertical="center"/>
    </xf>
    <xf numFmtId="10" fontId="5" fillId="0" borderId="9" xfId="0" applyNumberFormat="1" applyFont="1" applyBorder="1">
      <alignment vertical="center"/>
    </xf>
    <xf numFmtId="2" fontId="9" fillId="0" borderId="0" xfId="2" applyNumberFormat="1" applyFont="1"/>
    <xf numFmtId="0" fontId="17" fillId="10" borderId="0" xfId="0" applyFont="1" applyFill="1" applyAlignment="1">
      <alignment horizontal="left" vertical="center"/>
    </xf>
    <xf numFmtId="0" fontId="17"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vertical="top" wrapText="1"/>
    </xf>
    <xf numFmtId="10" fontId="5" fillId="0" borderId="0" xfId="1" applyNumberFormat="1" applyFont="1" applyFill="1" applyBorder="1" applyAlignment="1">
      <alignment vertical="center"/>
    </xf>
    <xf numFmtId="10" fontId="5" fillId="11" borderId="0" xfId="1" applyNumberFormat="1" applyFont="1" applyFill="1" applyBorder="1" applyAlignment="1">
      <alignment vertical="center"/>
    </xf>
    <xf numFmtId="10" fontId="5" fillId="11" borderId="0" xfId="0" applyNumberFormat="1" applyFont="1" applyFill="1">
      <alignment vertical="center"/>
    </xf>
    <xf numFmtId="9" fontId="5" fillId="11" borderId="0" xfId="0" applyNumberFormat="1" applyFont="1" applyFill="1">
      <alignment vertical="center"/>
    </xf>
    <xf numFmtId="2" fontId="5" fillId="0" borderId="17" xfId="0" applyNumberFormat="1" applyFont="1" applyBorder="1">
      <alignment vertical="center"/>
    </xf>
    <xf numFmtId="179" fontId="5" fillId="3" borderId="1" xfId="0" applyNumberFormat="1" applyFont="1" applyFill="1" applyBorder="1">
      <alignment vertical="center"/>
    </xf>
    <xf numFmtId="177" fontId="5" fillId="0" borderId="0" xfId="0" applyNumberFormat="1" applyFont="1" applyAlignment="1">
      <alignment horizontal="right" vertical="center"/>
    </xf>
    <xf numFmtId="177" fontId="5" fillId="0" borderId="6" xfId="0" applyNumberFormat="1" applyFont="1" applyBorder="1" applyAlignment="1">
      <alignment horizontal="right" vertical="center"/>
    </xf>
    <xf numFmtId="0" fontId="4" fillId="0" borderId="0" xfId="0" applyFont="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4" fillId="4" borderId="1" xfId="0" applyFont="1" applyFill="1" applyBorder="1" applyAlignment="1">
      <alignment horizontal="center" vertical="center"/>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4" borderId="1" xfId="0" applyFont="1" applyFill="1" applyBorder="1" applyAlignment="1">
      <alignment horizontal="center" vertical="center" wrapText="1"/>
    </xf>
    <xf numFmtId="0" fontId="5" fillId="0" borderId="0" xfId="0" applyFont="1" applyAlignment="1">
      <alignment horizontal="left" vertical="center"/>
    </xf>
    <xf numFmtId="0" fontId="7" fillId="0" borderId="2" xfId="0" applyFont="1" applyBorder="1" applyAlignment="1">
      <alignment horizontal="center" vertical="center"/>
    </xf>
    <xf numFmtId="0" fontId="7" fillId="2" borderId="5" xfId="0" applyFont="1" applyFill="1" applyBorder="1" applyAlignment="1">
      <alignment horizontal="center" vertical="center"/>
    </xf>
    <xf numFmtId="0" fontId="7" fillId="2" borderId="0" xfId="0" applyFont="1" applyFill="1" applyAlignment="1">
      <alignment horizontal="center" vertical="center"/>
    </xf>
    <xf numFmtId="0" fontId="7" fillId="2" borderId="6" xfId="0" applyFont="1" applyFill="1" applyBorder="1" applyAlignment="1">
      <alignment horizontal="center" vertical="center"/>
    </xf>
    <xf numFmtId="0" fontId="7" fillId="0" borderId="5" xfId="0" applyFont="1" applyBorder="1" applyAlignment="1">
      <alignment horizontal="center" vertical="center"/>
    </xf>
    <xf numFmtId="0" fontId="7" fillId="0" borderId="0" xfId="0" applyFont="1" applyAlignment="1">
      <alignment horizontal="center" vertical="center"/>
    </xf>
    <xf numFmtId="0" fontId="7" fillId="0" borderId="6" xfId="0" applyFont="1" applyBorder="1" applyAlignment="1">
      <alignment horizontal="center" vertical="center"/>
    </xf>
    <xf numFmtId="0" fontId="5" fillId="2" borderId="5" xfId="0" applyFont="1" applyFill="1" applyBorder="1" applyAlignment="1">
      <alignment horizontal="center" vertical="center"/>
    </xf>
    <xf numFmtId="0" fontId="5" fillId="2" borderId="0" xfId="0" applyFont="1" applyFill="1" applyAlignment="1">
      <alignment horizontal="center" vertical="center"/>
    </xf>
    <xf numFmtId="0" fontId="5" fillId="2" borderId="6" xfId="0" applyFont="1" applyFill="1" applyBorder="1" applyAlignment="1">
      <alignment horizontal="center" vertical="center"/>
    </xf>
    <xf numFmtId="0" fontId="5" fillId="0" borderId="6" xfId="0" applyFont="1" applyBorder="1" applyAlignment="1">
      <alignment horizontal="center" vertical="center" wrapText="1"/>
    </xf>
    <xf numFmtId="0" fontId="7" fillId="4" borderId="5" xfId="0" applyFont="1" applyFill="1" applyBorder="1" applyAlignment="1">
      <alignment horizontal="center" vertical="center"/>
    </xf>
    <xf numFmtId="0" fontId="7" fillId="4" borderId="0" xfId="0" applyFont="1" applyFill="1" applyAlignment="1">
      <alignment horizontal="center" vertical="center"/>
    </xf>
    <xf numFmtId="0" fontId="7" fillId="4" borderId="6"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0" xfId="0" applyFont="1" applyFill="1" applyAlignment="1">
      <alignment horizontal="center" vertical="center"/>
    </xf>
    <xf numFmtId="0" fontId="5" fillId="3" borderId="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6" xfId="0" applyFont="1" applyFill="1" applyBorder="1" applyAlignment="1">
      <alignment horizontal="center" vertical="center"/>
    </xf>
    <xf numFmtId="0" fontId="7" fillId="2" borderId="5"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6" xfId="0" applyFont="1" applyFill="1" applyBorder="1" applyAlignment="1">
      <alignment horizontal="center" vertical="center" wrapText="1"/>
    </xf>
    <xf numFmtId="0" fontId="5" fillId="4" borderId="0" xfId="0" applyFont="1" applyFill="1" applyAlignment="1">
      <alignment horizontal="center" vertical="center"/>
    </xf>
    <xf numFmtId="0" fontId="5" fillId="4" borderId="6" xfId="0" applyFont="1" applyFill="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183" fontId="4" fillId="0" borderId="12" xfId="0" applyNumberFormat="1" applyFont="1" applyBorder="1" applyAlignment="1">
      <alignment horizontal="center" vertical="center"/>
    </xf>
    <xf numFmtId="183" fontId="4" fillId="0" borderId="14" xfId="0" applyNumberFormat="1" applyFont="1" applyBorder="1" applyAlignment="1">
      <alignment horizontal="center" vertical="center"/>
    </xf>
    <xf numFmtId="0" fontId="4" fillId="0" borderId="15" xfId="0" applyFont="1" applyBorder="1" applyAlignment="1">
      <alignment horizontal="left" vertical="center"/>
    </xf>
    <xf numFmtId="0" fontId="4" fillId="0" borderId="11" xfId="0" applyFont="1" applyBorder="1" applyAlignment="1">
      <alignment horizontal="left" vertical="center"/>
    </xf>
    <xf numFmtId="0" fontId="4" fillId="0" borderId="10" xfId="0" applyFont="1" applyBorder="1" applyAlignment="1">
      <alignment horizontal="lef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183" fontId="4" fillId="0" borderId="13" xfId="0" applyNumberFormat="1" applyFont="1" applyBorder="1" applyAlignment="1">
      <alignment horizontal="center" vertical="center"/>
    </xf>
    <xf numFmtId="0" fontId="5" fillId="0" borderId="15" xfId="0" applyFont="1" applyBorder="1" applyAlignment="1">
      <alignment horizontal="left" vertical="center"/>
    </xf>
    <xf numFmtId="0" fontId="5" fillId="0" borderId="11" xfId="0" applyFont="1" applyBorder="1" applyAlignment="1">
      <alignment horizontal="left" vertical="center"/>
    </xf>
    <xf numFmtId="0" fontId="5" fillId="0" borderId="10" xfId="0" applyFont="1" applyBorder="1" applyAlignment="1">
      <alignment horizontal="left" vertical="center"/>
    </xf>
    <xf numFmtId="183" fontId="4" fillId="0" borderId="1" xfId="0" applyNumberFormat="1" applyFont="1" applyBorder="1" applyAlignment="1">
      <alignment horizontal="center" vertical="center"/>
    </xf>
    <xf numFmtId="0" fontId="5" fillId="0" borderId="7" xfId="0" applyFont="1" applyBorder="1" applyAlignment="1">
      <alignment horizontal="center" vertical="center" wrapText="1"/>
    </xf>
    <xf numFmtId="0" fontId="3" fillId="0" borderId="8" xfId="0" applyFont="1" applyBorder="1" applyAlignment="1">
      <alignment horizontal="center" vertical="center"/>
    </xf>
    <xf numFmtId="0" fontId="5" fillId="0" borderId="15" xfId="0" applyFont="1" applyBorder="1" applyAlignment="1">
      <alignment horizontal="center" vertical="center"/>
    </xf>
    <xf numFmtId="0" fontId="5" fillId="0" borderId="1" xfId="0" applyFont="1" applyBorder="1" applyAlignment="1">
      <alignment horizontal="left" vertical="center"/>
    </xf>
    <xf numFmtId="184" fontId="5" fillId="0" borderId="15" xfId="0" applyNumberFormat="1" applyFont="1" applyBorder="1" applyAlignment="1">
      <alignment horizontal="center" vertical="center"/>
    </xf>
    <xf numFmtId="184" fontId="5" fillId="0" borderId="10" xfId="0" applyNumberFormat="1" applyFont="1" applyBorder="1" applyAlignment="1">
      <alignment horizontal="center" vertical="center"/>
    </xf>
    <xf numFmtId="0" fontId="4" fillId="0" borderId="15" xfId="0" applyFont="1" applyBorder="1" applyAlignment="1">
      <alignment horizontal="center" vertical="center"/>
    </xf>
    <xf numFmtId="0" fontId="4" fillId="0" borderId="10" xfId="0" applyFont="1" applyBorder="1" applyAlignment="1">
      <alignment horizontal="center" vertical="center"/>
    </xf>
    <xf numFmtId="0" fontId="4" fillId="0" borderId="1" xfId="0" applyFont="1" applyBorder="1" applyAlignment="1">
      <alignment horizontal="left" vertical="center"/>
    </xf>
    <xf numFmtId="0" fontId="7" fillId="0" borderId="0" xfId="0" applyFont="1" applyAlignment="1">
      <alignment horizontal="left"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5" fillId="0" borderId="5" xfId="0" applyFont="1" applyBorder="1" applyAlignment="1">
      <alignment horizontal="left" vertical="center"/>
    </xf>
    <xf numFmtId="0" fontId="7" fillId="7" borderId="5" xfId="0" applyFont="1" applyFill="1" applyBorder="1" applyAlignment="1">
      <alignment horizontal="center" vertical="center"/>
    </xf>
    <xf numFmtId="0" fontId="7" fillId="7" borderId="0" xfId="0" applyFont="1" applyFill="1" applyAlignment="1">
      <alignment horizontal="center" vertical="center"/>
    </xf>
    <xf numFmtId="0" fontId="7" fillId="7" borderId="6" xfId="0" applyFont="1" applyFill="1" applyBorder="1" applyAlignment="1">
      <alignment horizontal="center" vertical="center"/>
    </xf>
    <xf numFmtId="0" fontId="5" fillId="0" borderId="2" xfId="0" applyFont="1" applyBorder="1" applyAlignment="1">
      <alignment horizontal="center" vertical="center"/>
    </xf>
    <xf numFmtId="9" fontId="5" fillId="0" borderId="7" xfId="0" applyNumberFormat="1" applyFont="1" applyBorder="1" applyAlignment="1">
      <alignment horizontal="center" vertical="center"/>
    </xf>
    <xf numFmtId="9" fontId="5" fillId="0" borderId="9" xfId="0" applyNumberFormat="1" applyFont="1" applyBorder="1" applyAlignment="1">
      <alignment horizontal="center" vertical="center"/>
    </xf>
    <xf numFmtId="26" fontId="4" fillId="6" borderId="3" xfId="0" applyNumberFormat="1" applyFont="1" applyFill="1" applyBorder="1" applyAlignment="1">
      <alignment horizontal="center" vertical="center"/>
    </xf>
    <xf numFmtId="0" fontId="4" fillId="6" borderId="4" xfId="0" applyFont="1" applyFill="1" applyBorder="1" applyAlignment="1">
      <alignment horizontal="center" vertical="center"/>
    </xf>
    <xf numFmtId="26" fontId="4" fillId="6" borderId="0" xfId="0" applyNumberFormat="1" applyFont="1" applyFill="1" applyAlignment="1">
      <alignment horizontal="center" vertical="center"/>
    </xf>
    <xf numFmtId="0" fontId="4" fillId="6" borderId="6" xfId="0" applyFont="1" applyFill="1" applyBorder="1" applyAlignment="1">
      <alignment horizontal="center" vertical="center"/>
    </xf>
    <xf numFmtId="0" fontId="4" fillId="6" borderId="0" xfId="0" applyFont="1" applyFill="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0" xfId="0" applyFont="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177" fontId="5" fillId="0" borderId="5" xfId="0" applyNumberFormat="1" applyFont="1" applyBorder="1" applyAlignment="1">
      <alignment horizontal="center" vertical="center"/>
    </xf>
    <xf numFmtId="177" fontId="5" fillId="0" borderId="0" xfId="0" applyNumberFormat="1" applyFont="1" applyAlignment="1">
      <alignment horizontal="center" vertical="center"/>
    </xf>
    <xf numFmtId="177" fontId="5" fillId="0" borderId="7" xfId="0" applyNumberFormat="1" applyFont="1" applyBorder="1" applyAlignment="1">
      <alignment horizontal="center" vertical="center"/>
    </xf>
    <xf numFmtId="177" fontId="5" fillId="0" borderId="8" xfId="0" applyNumberFormat="1" applyFont="1" applyBorder="1" applyAlignment="1">
      <alignment horizontal="center" vertical="center"/>
    </xf>
    <xf numFmtId="177" fontId="4" fillId="0" borderId="15" xfId="0" applyNumberFormat="1" applyFont="1" applyBorder="1" applyAlignment="1">
      <alignment horizontal="center" vertical="center"/>
    </xf>
    <xf numFmtId="177" fontId="4" fillId="0" borderId="11" xfId="0" applyNumberFormat="1" applyFont="1" applyBorder="1" applyAlignment="1">
      <alignment horizontal="center" vertical="center"/>
    </xf>
    <xf numFmtId="177" fontId="4" fillId="0" borderId="10" xfId="0" applyNumberFormat="1" applyFont="1" applyBorder="1" applyAlignment="1">
      <alignment horizontal="center" vertical="center"/>
    </xf>
    <xf numFmtId="0" fontId="0" fillId="0" borderId="0" xfId="0" applyAlignment="1">
      <alignment horizontal="center" vertical="center"/>
    </xf>
    <xf numFmtId="0" fontId="22" fillId="0" borderId="0" xfId="0" applyFont="1" applyAlignment="1">
      <alignment horizontal="center" vertical="center"/>
    </xf>
    <xf numFmtId="0" fontId="5" fillId="4" borderId="5" xfId="0" applyFont="1" applyFill="1" applyBorder="1" applyAlignment="1">
      <alignment horizontal="left" vertical="center"/>
    </xf>
    <xf numFmtId="0" fontId="5" fillId="4" borderId="0" xfId="0" applyFont="1" applyFill="1" applyAlignment="1">
      <alignment horizontal="left" vertical="center"/>
    </xf>
    <xf numFmtId="0" fontId="3" fillId="0" borderId="15" xfId="0" applyFont="1" applyBorder="1" applyAlignment="1">
      <alignment horizontal="center" vertical="center"/>
    </xf>
    <xf numFmtId="0" fontId="3" fillId="0" borderId="11" xfId="0" applyFont="1" applyBorder="1" applyAlignment="1">
      <alignment horizontal="center" vertical="center"/>
    </xf>
    <xf numFmtId="0" fontId="3" fillId="0" borderId="10" xfId="0" applyFont="1" applyBorder="1" applyAlignment="1">
      <alignment horizontal="center"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4" fillId="0" borderId="0" xfId="0" applyFont="1" applyAlignment="1">
      <alignment horizontal="left" vertical="center"/>
    </xf>
    <xf numFmtId="9" fontId="5" fillId="0" borderId="0" xfId="0" applyNumberFormat="1" applyFont="1" applyAlignment="1">
      <alignment horizontal="center" vertical="center"/>
    </xf>
    <xf numFmtId="26" fontId="5" fillId="0" borderId="0" xfId="0" applyNumberFormat="1" applyFont="1" applyAlignment="1">
      <alignment horizontal="center" vertical="center"/>
    </xf>
    <xf numFmtId="10" fontId="5" fillId="0" borderId="0" xfId="0" applyNumberFormat="1" applyFont="1" applyAlignment="1">
      <alignment horizontal="center" vertical="center"/>
    </xf>
    <xf numFmtId="9" fontId="5" fillId="0" borderId="0" xfId="1" applyFont="1" applyFill="1" applyBorder="1" applyAlignment="1">
      <alignment horizontal="center" vertical="center"/>
    </xf>
    <xf numFmtId="10" fontId="5" fillId="0" borderId="0" xfId="1" applyNumberFormat="1" applyFont="1" applyAlignment="1">
      <alignment horizontal="center" vertical="center"/>
    </xf>
    <xf numFmtId="0" fontId="5" fillId="0" borderId="0" xfId="0" quotePrefix="1" applyFont="1" applyAlignment="1">
      <alignment horizontal="center" vertical="center"/>
    </xf>
    <xf numFmtId="0" fontId="5" fillId="0" borderId="5" xfId="0" applyFont="1" applyBorder="1" applyAlignment="1">
      <alignment horizontal="center"/>
    </xf>
    <xf numFmtId="0" fontId="5" fillId="0" borderId="0" xfId="0" applyFont="1" applyAlignment="1">
      <alignment horizontal="center"/>
    </xf>
    <xf numFmtId="0" fontId="5" fillId="0" borderId="0" xfId="0" applyFont="1" applyAlignment="1">
      <alignment horizontal="right"/>
    </xf>
  </cellXfs>
  <cellStyles count="3">
    <cellStyle name="Normal 2" xfId="2" xr:uid="{9D6039B6-8563-4464-885A-7F64873980F8}"/>
    <cellStyle name="百分比" xfId="1" builtinId="5"/>
    <cellStyle name="常规" xfId="0" builtinId="0"/>
  </cellStyles>
  <dxfs count="0"/>
  <tableStyles count="0" defaultTableStyle="TableStyleMedium2" defaultPivotStyle="PivotStyleLight16"/>
  <colors>
    <mruColors>
      <color rgb="FFE2F7FE"/>
      <color rgb="FF5EC7FC"/>
      <color rgb="FFA1DA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a:t>Sensitivity: Share Value </a:t>
            </a:r>
          </a:p>
        </c:rich>
      </c:tx>
      <c:overlay val="0"/>
    </c:title>
    <c:autoTitleDeleted val="0"/>
    <c:plotArea>
      <c:layout/>
      <c:barChart>
        <c:barDir val="bar"/>
        <c:grouping val="clustered"/>
        <c:varyColors val="0"/>
        <c:ser>
          <c:idx val="0"/>
          <c:order val="0"/>
          <c:spPr>
            <a:solidFill>
              <a:srgbClr val="008000"/>
            </a:solidFill>
            <a:ln w="12700">
              <a:solidFill>
                <a:srgbClr val="000000"/>
              </a:solidFill>
              <a:prstDash val="solid"/>
            </a:ln>
          </c:spPr>
          <c:invertIfNegative val="0"/>
          <c:dPt>
            <c:idx val="0"/>
            <c:invertIfNegative val="0"/>
            <c:bubble3D val="0"/>
            <c:spPr>
              <a:pattFill prst="lgCheck">
                <a:fgClr>
                  <a:srgbClr val="808080"/>
                </a:fgClr>
                <a:bgClr>
                  <a:srgbClr val="3333CC"/>
                </a:bgClr>
              </a:pattFill>
              <a:ln w="12700">
                <a:solidFill>
                  <a:srgbClr val="000000"/>
                </a:solidFill>
                <a:prstDash val="solid"/>
              </a:ln>
            </c:spPr>
            <c:extLst>
              <c:ext xmlns:c16="http://schemas.microsoft.com/office/drawing/2014/chart" uri="{C3380CC4-5D6E-409C-BE32-E72D297353CC}">
                <c16:uniqueId val="{00000001-B7C5-4F95-B0BD-0BBB88FCB7FC}"/>
              </c:ext>
            </c:extLst>
          </c:dPt>
          <c:dPt>
            <c:idx val="1"/>
            <c:invertIfNegative val="0"/>
            <c:bubble3D val="0"/>
            <c:spPr>
              <a:pattFill prst="ltHorz">
                <a:fgClr>
                  <a:srgbClr val="808080"/>
                </a:fgClr>
                <a:bgClr>
                  <a:srgbClr val="FF8080"/>
                </a:bgClr>
              </a:pattFill>
              <a:ln w="12700">
                <a:solidFill>
                  <a:srgbClr val="000000"/>
                </a:solidFill>
                <a:prstDash val="solid"/>
              </a:ln>
            </c:spPr>
            <c:extLst>
              <c:ext xmlns:c16="http://schemas.microsoft.com/office/drawing/2014/chart" uri="{C3380CC4-5D6E-409C-BE32-E72D297353CC}">
                <c16:uniqueId val="{00000003-B7C5-4F95-B0BD-0BBB88FCB7FC}"/>
              </c:ext>
            </c:extLst>
          </c:dPt>
          <c:dPt>
            <c:idx val="2"/>
            <c:invertIfNegative val="0"/>
            <c:bubble3D val="0"/>
            <c:spPr>
              <a:pattFill prst="dashHorz">
                <a:fgClr>
                  <a:srgbClr val="808080"/>
                </a:fgClr>
                <a:bgClr>
                  <a:srgbClr val="0080C0"/>
                </a:bgClr>
              </a:pattFill>
              <a:ln w="12700">
                <a:solidFill>
                  <a:srgbClr val="000000"/>
                </a:solidFill>
                <a:prstDash val="solid"/>
              </a:ln>
            </c:spPr>
            <c:extLst>
              <c:ext xmlns:c16="http://schemas.microsoft.com/office/drawing/2014/chart" uri="{C3380CC4-5D6E-409C-BE32-E72D297353CC}">
                <c16:uniqueId val="{00000005-B7C5-4F95-B0BD-0BBB88FCB7FC}"/>
              </c:ext>
            </c:extLst>
          </c:dPt>
          <c:dPt>
            <c:idx val="3"/>
            <c:invertIfNegative val="0"/>
            <c:bubble3D val="0"/>
            <c:spPr>
              <a:pattFill prst="wdDnDiag">
                <a:fgClr>
                  <a:srgbClr val="808080"/>
                </a:fgClr>
                <a:bgClr>
                  <a:srgbClr val="FFFF00"/>
                </a:bgClr>
              </a:pattFill>
              <a:ln w="12700">
                <a:solidFill>
                  <a:srgbClr val="000000"/>
                </a:solidFill>
                <a:prstDash val="solid"/>
              </a:ln>
            </c:spPr>
            <c:extLst>
              <c:ext xmlns:c16="http://schemas.microsoft.com/office/drawing/2014/chart" uri="{C3380CC4-5D6E-409C-BE32-E72D297353CC}">
                <c16:uniqueId val="{00000007-B7C5-4F95-B0BD-0BBB88FCB7FC}"/>
              </c:ext>
            </c:extLst>
          </c:dPt>
          <c:dPt>
            <c:idx val="4"/>
            <c:invertIfNegative val="0"/>
            <c:bubble3D val="0"/>
            <c:spPr>
              <a:pattFill prst="wdUpDiag">
                <a:fgClr>
                  <a:srgbClr val="808080"/>
                </a:fgClr>
                <a:bgClr>
                  <a:srgbClr val="333399"/>
                </a:bgClr>
              </a:pattFill>
              <a:ln w="12700">
                <a:solidFill>
                  <a:srgbClr val="000000"/>
                </a:solidFill>
                <a:prstDash val="solid"/>
              </a:ln>
            </c:spPr>
            <c:extLst>
              <c:ext xmlns:c16="http://schemas.microsoft.com/office/drawing/2014/chart" uri="{C3380CC4-5D6E-409C-BE32-E72D297353CC}">
                <c16:uniqueId val="{00000009-B7C5-4F95-B0BD-0BBB88FCB7FC}"/>
              </c:ext>
            </c:extLst>
          </c:dPt>
          <c:dPt>
            <c:idx val="5"/>
            <c:invertIfNegative val="0"/>
            <c:bubble3D val="0"/>
            <c:spPr>
              <a:pattFill prst="wave">
                <a:fgClr>
                  <a:srgbClr val="808080"/>
                </a:fgClr>
                <a:bgClr>
                  <a:srgbClr val="C0C0C0"/>
                </a:bgClr>
              </a:pattFill>
              <a:ln w="12700">
                <a:solidFill>
                  <a:srgbClr val="000000"/>
                </a:solidFill>
                <a:prstDash val="solid"/>
              </a:ln>
            </c:spPr>
            <c:extLst>
              <c:ext xmlns:c16="http://schemas.microsoft.com/office/drawing/2014/chart" uri="{C3380CC4-5D6E-409C-BE32-E72D297353CC}">
                <c16:uniqueId val="{0000000B-B7C5-4F95-B0BD-0BBB88FCB7FC}"/>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C5-4F95-B0BD-0BBB88FCB7FC}"/>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C5-4F95-B0BD-0BBB88FCB7FC}"/>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C5-4F95-B0BD-0BBB88FCB7FC}"/>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7C5-4F95-B0BD-0BBB88FCB7FC}"/>
                </c:ext>
              </c:extLst>
            </c:dLbl>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7C5-4F95-B0BD-0BBB88FCB7FC}"/>
                </c:ext>
              </c:extLst>
            </c:dLbl>
            <c:dLbl>
              <c:idx val="5"/>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7C5-4F95-B0BD-0BBB88FCB7FC}"/>
                </c:ext>
              </c:extLst>
            </c:dLbl>
            <c:numFmt formatCode="0.0%" sourceLinked="0"/>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cat>
            <c:strRef>
              <c:f>[1]Report!$AQ$5:$AQ$10</c:f>
              <c:strCache>
                <c:ptCount val="6"/>
                <c:pt idx="0">
                  <c:v>Market Premium</c:v>
                </c:pt>
                <c:pt idx="1">
                  <c:v>Long-term growth rate · 2</c:v>
                </c:pt>
                <c:pt idx="2">
                  <c:v>Risk Free rate</c:v>
                </c:pt>
                <c:pt idx="3">
                  <c:v>FCF </c:v>
                </c:pt>
                <c:pt idx="4">
                  <c:v>Short-term growth rate (4) · 2</c:v>
                </c:pt>
                <c:pt idx="5">
                  <c:v>Cost of debt (2)</c:v>
                </c:pt>
              </c:strCache>
            </c:strRef>
          </c:cat>
          <c:val>
            <c:numRef>
              <c:f>[1]Report!$AR$5:$AR$10</c:f>
              <c:numCache>
                <c:formatCode>General</c:formatCode>
                <c:ptCount val="6"/>
                <c:pt idx="0">
                  <c:v>-0.82588999581761391</c:v>
                </c:pt>
                <c:pt idx="1">
                  <c:v>0.10326826301090203</c:v>
                </c:pt>
                <c:pt idx="2">
                  <c:v>-4.8207713038468623E-2</c:v>
                </c:pt>
                <c:pt idx="3">
                  <c:v>1.6019335500745791E-2</c:v>
                </c:pt>
                <c:pt idx="4">
                  <c:v>6.5954174516819029E-3</c:v>
                </c:pt>
                <c:pt idx="5">
                  <c:v>-1.9275180587567013E-5</c:v>
                </c:pt>
              </c:numCache>
            </c:numRef>
          </c:val>
          <c:extLst>
            <c:ext xmlns:c16="http://schemas.microsoft.com/office/drawing/2014/chart" uri="{C3380CC4-5D6E-409C-BE32-E72D297353CC}">
              <c16:uniqueId val="{0000000C-B7C5-4F95-B0BD-0BBB88FCB7FC}"/>
            </c:ext>
          </c:extLst>
        </c:ser>
        <c:dLbls>
          <c:showLegendKey val="0"/>
          <c:showVal val="0"/>
          <c:showCatName val="0"/>
          <c:showSerName val="0"/>
          <c:showPercent val="0"/>
          <c:showBubbleSize val="0"/>
        </c:dLbls>
        <c:gapWidth val="20"/>
        <c:overlap val="100"/>
        <c:axId val="882941119"/>
        <c:axId val="836622351"/>
      </c:barChart>
      <c:catAx>
        <c:axId val="882941119"/>
        <c:scaling>
          <c:orientation val="maxMin"/>
        </c:scaling>
        <c:delete val="0"/>
        <c:axPos val="l"/>
        <c:numFmt formatCode="General" sourceLinked="1"/>
        <c:majorTickMark val="out"/>
        <c:minorTickMark val="none"/>
        <c:tickLblPos val="low"/>
        <c:txPr>
          <a:bodyPr/>
          <a:lstStyle/>
          <a:p>
            <a:pPr>
              <a:defRPr sz="800"/>
            </a:pPr>
            <a:endParaRPr lang="zh-CN"/>
          </a:p>
        </c:txPr>
        <c:crossAx val="836622351"/>
        <c:crossesAt val="0"/>
        <c:auto val="1"/>
        <c:lblAlgn val="ctr"/>
        <c:lblOffset val="100"/>
        <c:tickLblSkip val="1"/>
        <c:tickMarkSkip val="1"/>
        <c:noMultiLvlLbl val="0"/>
      </c:catAx>
      <c:valAx>
        <c:axId val="836622351"/>
        <c:scaling>
          <c:orientation val="minMax"/>
          <c:max val="1"/>
          <c:min val="-1"/>
        </c:scaling>
        <c:delete val="0"/>
        <c:axPos val="t"/>
        <c:numFmt formatCode="General" sourceLinked="1"/>
        <c:majorTickMark val="out"/>
        <c:minorTickMark val="none"/>
        <c:tickLblPos val="nextTo"/>
        <c:txPr>
          <a:bodyPr/>
          <a:lstStyle/>
          <a:p>
            <a:pPr>
              <a:defRPr sz="800"/>
            </a:pPr>
            <a:endParaRPr lang="zh-CN"/>
          </a:p>
        </c:txPr>
        <c:crossAx val="882941119"/>
        <c:crosses val="autoZero"/>
        <c:crossBetween val="between"/>
      </c:valAx>
      <c:spPr>
        <a:solidFill>
          <a:srgbClr val="FFFFFF"/>
        </a:solidFill>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99"/>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US"/>
              <a:t>Sensitivity: Share Value</a:t>
            </a:r>
          </a:p>
        </c:rich>
      </c:tx>
      <c:layout>
        <c:manualLayout>
          <c:xMode val="edge"/>
          <c:yMode val="edge"/>
          <c:x val="0.36283439022676905"/>
          <c:y val="2.6791694574681849E-2"/>
        </c:manualLayout>
      </c:layout>
      <c:overlay val="0"/>
    </c:title>
    <c:autoTitleDeleted val="0"/>
    <c:plotArea>
      <c:layout/>
      <c:barChart>
        <c:barDir val="bar"/>
        <c:grouping val="clustered"/>
        <c:varyColors val="0"/>
        <c:ser>
          <c:idx val="0"/>
          <c:order val="0"/>
          <c:spPr>
            <a:solidFill>
              <a:srgbClr val="008000"/>
            </a:solidFill>
            <a:ln w="12700">
              <a:solidFill>
                <a:srgbClr val="000000"/>
              </a:solidFill>
              <a:prstDash val="solid"/>
            </a:ln>
          </c:spPr>
          <c:invertIfNegative val="0"/>
          <c:dPt>
            <c:idx val="0"/>
            <c:invertIfNegative val="0"/>
            <c:bubble3D val="0"/>
            <c:spPr>
              <a:pattFill prst="lgCheck">
                <a:fgClr>
                  <a:srgbClr val="808080"/>
                </a:fgClr>
                <a:bgClr>
                  <a:srgbClr val="3333CC"/>
                </a:bgClr>
              </a:pattFill>
              <a:ln w="12700">
                <a:solidFill>
                  <a:srgbClr val="000000"/>
                </a:solidFill>
                <a:prstDash val="solid"/>
              </a:ln>
            </c:spPr>
            <c:extLst>
              <c:ext xmlns:c16="http://schemas.microsoft.com/office/drawing/2014/chart" uri="{C3380CC4-5D6E-409C-BE32-E72D297353CC}">
                <c16:uniqueId val="{00000001-91D8-4744-A2E8-6986C1C46BB6}"/>
              </c:ext>
            </c:extLst>
          </c:dPt>
          <c:dPt>
            <c:idx val="1"/>
            <c:invertIfNegative val="0"/>
            <c:bubble3D val="0"/>
            <c:spPr>
              <a:pattFill prst="ltHorz">
                <a:fgClr>
                  <a:srgbClr val="808080"/>
                </a:fgClr>
                <a:bgClr>
                  <a:srgbClr val="FF8080"/>
                </a:bgClr>
              </a:pattFill>
              <a:ln w="12700">
                <a:solidFill>
                  <a:srgbClr val="000000"/>
                </a:solidFill>
                <a:prstDash val="solid"/>
              </a:ln>
            </c:spPr>
            <c:extLst>
              <c:ext xmlns:c16="http://schemas.microsoft.com/office/drawing/2014/chart" uri="{C3380CC4-5D6E-409C-BE32-E72D297353CC}">
                <c16:uniqueId val="{00000003-91D8-4744-A2E8-6986C1C46BB6}"/>
              </c:ext>
            </c:extLst>
          </c:dPt>
          <c:dPt>
            <c:idx val="2"/>
            <c:invertIfNegative val="0"/>
            <c:bubble3D val="0"/>
            <c:spPr>
              <a:pattFill prst="dashHorz">
                <a:fgClr>
                  <a:srgbClr val="808080"/>
                </a:fgClr>
                <a:bgClr>
                  <a:srgbClr val="0080C0"/>
                </a:bgClr>
              </a:pattFill>
              <a:ln w="12700">
                <a:solidFill>
                  <a:srgbClr val="000000"/>
                </a:solidFill>
                <a:prstDash val="solid"/>
              </a:ln>
            </c:spPr>
            <c:extLst>
              <c:ext xmlns:c16="http://schemas.microsoft.com/office/drawing/2014/chart" uri="{C3380CC4-5D6E-409C-BE32-E72D297353CC}">
                <c16:uniqueId val="{00000005-91D8-4744-A2E8-6986C1C46BB6}"/>
              </c:ext>
            </c:extLst>
          </c:dPt>
          <c:dPt>
            <c:idx val="3"/>
            <c:invertIfNegative val="0"/>
            <c:bubble3D val="0"/>
            <c:spPr>
              <a:pattFill prst="wdDnDiag">
                <a:fgClr>
                  <a:srgbClr val="808080"/>
                </a:fgClr>
                <a:bgClr>
                  <a:srgbClr val="FFFF00"/>
                </a:bgClr>
              </a:pattFill>
              <a:ln w="12700">
                <a:solidFill>
                  <a:srgbClr val="000000"/>
                </a:solidFill>
                <a:prstDash val="solid"/>
              </a:ln>
            </c:spPr>
            <c:extLst>
              <c:ext xmlns:c16="http://schemas.microsoft.com/office/drawing/2014/chart" uri="{C3380CC4-5D6E-409C-BE32-E72D297353CC}">
                <c16:uniqueId val="{00000007-91D8-4744-A2E8-6986C1C46BB6}"/>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1D8-4744-A2E8-6986C1C46BB6}"/>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1D8-4744-A2E8-6986C1C46BB6}"/>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1D8-4744-A2E8-6986C1C46BB6}"/>
                </c:ext>
              </c:extLst>
            </c:dLbl>
            <c:dLbl>
              <c:idx val="3"/>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1D8-4744-A2E8-6986C1C46BB6}"/>
                </c:ext>
              </c:extLst>
            </c:dLbl>
            <c:numFmt formatCode="0.0%" sourceLinked="0"/>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1"/>
              </c:ext>
            </c:extLst>
          </c:dLbls>
          <c:cat>
            <c:strRef>
              <c:f>[2]Report!$AI$5:$AI$8</c:f>
              <c:strCache>
                <c:ptCount val="4"/>
                <c:pt idx="0">
                  <c:v>Market Premium</c:v>
                </c:pt>
                <c:pt idx="1">
                  <c:v>Growth rate (3) · 1</c:v>
                </c:pt>
                <c:pt idx="2">
                  <c:v>Risk Free rate</c:v>
                </c:pt>
                <c:pt idx="3">
                  <c:v>Cost of debt (2)</c:v>
                </c:pt>
              </c:strCache>
            </c:strRef>
          </c:cat>
          <c:val>
            <c:numRef>
              <c:f>[2]Report!$AJ$5:$AJ$8</c:f>
              <c:numCache>
                <c:formatCode>General</c:formatCode>
                <c:ptCount val="4"/>
                <c:pt idx="0">
                  <c:v>-0.84251837122469098</c:v>
                </c:pt>
                <c:pt idx="1">
                  <c:v>0.1157550282870918</c:v>
                </c:pt>
                <c:pt idx="2">
                  <c:v>-4.1571090956839349E-2</c:v>
                </c:pt>
                <c:pt idx="3">
                  <c:v>-1.5550953137794562E-4</c:v>
                </c:pt>
              </c:numCache>
            </c:numRef>
          </c:val>
          <c:extLst>
            <c:ext xmlns:c16="http://schemas.microsoft.com/office/drawing/2014/chart" uri="{C3380CC4-5D6E-409C-BE32-E72D297353CC}">
              <c16:uniqueId val="{00000008-91D8-4744-A2E8-6986C1C46BB6}"/>
            </c:ext>
          </c:extLst>
        </c:ser>
        <c:dLbls>
          <c:showLegendKey val="0"/>
          <c:showVal val="0"/>
          <c:showCatName val="0"/>
          <c:showSerName val="0"/>
          <c:showPercent val="0"/>
          <c:showBubbleSize val="0"/>
        </c:dLbls>
        <c:gapWidth val="20"/>
        <c:overlap val="100"/>
        <c:axId val="2090606575"/>
        <c:axId val="770150751"/>
      </c:barChart>
      <c:catAx>
        <c:axId val="2090606575"/>
        <c:scaling>
          <c:orientation val="maxMin"/>
        </c:scaling>
        <c:delete val="0"/>
        <c:axPos val="l"/>
        <c:numFmt formatCode="General" sourceLinked="1"/>
        <c:majorTickMark val="out"/>
        <c:minorTickMark val="none"/>
        <c:tickLblPos val="low"/>
        <c:txPr>
          <a:bodyPr/>
          <a:lstStyle/>
          <a:p>
            <a:pPr>
              <a:defRPr sz="800"/>
            </a:pPr>
            <a:endParaRPr lang="zh-CN"/>
          </a:p>
        </c:txPr>
        <c:crossAx val="770150751"/>
        <c:crossesAt val="0"/>
        <c:auto val="1"/>
        <c:lblAlgn val="ctr"/>
        <c:lblOffset val="100"/>
        <c:tickLblSkip val="1"/>
        <c:tickMarkSkip val="1"/>
        <c:noMultiLvlLbl val="0"/>
      </c:catAx>
      <c:valAx>
        <c:axId val="770150751"/>
        <c:scaling>
          <c:orientation val="minMax"/>
          <c:max val="1"/>
          <c:min val="-1"/>
        </c:scaling>
        <c:delete val="0"/>
        <c:axPos val="t"/>
        <c:numFmt formatCode="General" sourceLinked="1"/>
        <c:majorTickMark val="out"/>
        <c:minorTickMark val="none"/>
        <c:tickLblPos val="nextTo"/>
        <c:txPr>
          <a:bodyPr/>
          <a:lstStyle/>
          <a:p>
            <a:pPr>
              <a:defRPr sz="800"/>
            </a:pPr>
            <a:endParaRPr lang="zh-CN"/>
          </a:p>
        </c:txPr>
        <c:crossAx val="2090606575"/>
        <c:crosses val="autoZero"/>
        <c:crossBetween val="between"/>
      </c:valAx>
      <c:spPr>
        <a:solidFill>
          <a:srgbClr val="FFFFFF"/>
        </a:solidFill>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CC99"/>
    </a:solidFill>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chart" Target="../charts/chart1.xm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9525</xdr:colOff>
      <xdr:row>8</xdr:row>
      <xdr:rowOff>139097</xdr:rowOff>
    </xdr:to>
    <xdr:pic>
      <xdr:nvPicPr>
        <xdr:cNvPr id="2" name="Picture 1" descr="AMD Drivers and Support | AMD">
          <a:extLst>
            <a:ext uri="{FF2B5EF4-FFF2-40B4-BE49-F238E27FC236}">
              <a16:creationId xmlns:a16="http://schemas.microsoft.com/office/drawing/2014/main" id="{D571B1E3-CDBB-AE66-86FA-E68F3B4DD2D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4124325" cy="2158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219075</xdr:colOff>
      <xdr:row>12</xdr:row>
      <xdr:rowOff>180974</xdr:rowOff>
    </xdr:from>
    <xdr:to>
      <xdr:col>22</xdr:col>
      <xdr:colOff>76200</xdr:colOff>
      <xdr:row>35</xdr:row>
      <xdr:rowOff>76199</xdr:rowOff>
    </xdr:to>
    <xdr:graphicFrame macro="">
      <xdr:nvGraphicFramePr>
        <xdr:cNvPr id="3" name="Chart 2">
          <a:extLst>
            <a:ext uri="{FF2B5EF4-FFF2-40B4-BE49-F238E27FC236}">
              <a16:creationId xmlns:a16="http://schemas.microsoft.com/office/drawing/2014/main" id="{A96288EE-A3DD-4955-9D3A-A1175E76AC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190501</xdr:colOff>
      <xdr:row>37</xdr:row>
      <xdr:rowOff>95250</xdr:rowOff>
    </xdr:from>
    <xdr:to>
      <xdr:col>24</xdr:col>
      <xdr:colOff>350323</xdr:colOff>
      <xdr:row>58</xdr:row>
      <xdr:rowOff>157452</xdr:rowOff>
    </xdr:to>
    <xdr:pic>
      <xdr:nvPicPr>
        <xdr:cNvPr id="5" name="Picture 4">
          <a:extLst>
            <a:ext uri="{FF2B5EF4-FFF2-40B4-BE49-F238E27FC236}">
              <a16:creationId xmlns:a16="http://schemas.microsoft.com/office/drawing/2014/main" id="{02434A55-EA87-4BEE-BA38-873397B0273F}"/>
            </a:ext>
          </a:extLst>
        </xdr:cNvPr>
        <xdr:cNvPicPr>
          <a:picLocks noChangeAspect="1"/>
        </xdr:cNvPicPr>
      </xdr:nvPicPr>
      <xdr:blipFill rotWithShape="1">
        <a:blip xmlns:r="http://schemas.openxmlformats.org/officeDocument/2006/relationships" r:embed="rId2"/>
        <a:srcRect l="1118" t="6743" r="19792" b="-355"/>
        <a:stretch/>
      </xdr:blipFill>
      <xdr:spPr>
        <a:xfrm>
          <a:off x="9105901" y="7105650"/>
          <a:ext cx="7703622" cy="4100802"/>
        </a:xfrm>
        <a:prstGeom prst="rect">
          <a:avLst/>
        </a:prstGeom>
      </xdr:spPr>
    </xdr:pic>
    <xdr:clientData/>
  </xdr:twoCellAnchor>
  <xdr:twoCellAnchor>
    <xdr:from>
      <xdr:col>13</xdr:col>
      <xdr:colOff>371475</xdr:colOff>
      <xdr:row>84</xdr:row>
      <xdr:rowOff>85725</xdr:rowOff>
    </xdr:from>
    <xdr:to>
      <xdr:col>22</xdr:col>
      <xdr:colOff>590550</xdr:colOff>
      <xdr:row>107</xdr:row>
      <xdr:rowOff>85725</xdr:rowOff>
    </xdr:to>
    <xdr:graphicFrame macro="">
      <xdr:nvGraphicFramePr>
        <xdr:cNvPr id="7" name="Chart 6">
          <a:extLst>
            <a:ext uri="{FF2B5EF4-FFF2-40B4-BE49-F238E27FC236}">
              <a16:creationId xmlns:a16="http://schemas.microsoft.com/office/drawing/2014/main" id="{8324E908-33A0-411A-B1F2-069D790CB3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352426</xdr:colOff>
      <xdr:row>108</xdr:row>
      <xdr:rowOff>180974</xdr:rowOff>
    </xdr:from>
    <xdr:to>
      <xdr:col>24</xdr:col>
      <xdr:colOff>558377</xdr:colOff>
      <xdr:row>130</xdr:row>
      <xdr:rowOff>43151</xdr:rowOff>
    </xdr:to>
    <xdr:pic>
      <xdr:nvPicPr>
        <xdr:cNvPr id="8" name="Picture 7">
          <a:extLst>
            <a:ext uri="{FF2B5EF4-FFF2-40B4-BE49-F238E27FC236}">
              <a16:creationId xmlns:a16="http://schemas.microsoft.com/office/drawing/2014/main" id="{2493CEB8-37C8-4529-A00D-1F897530ECC0}"/>
            </a:ext>
          </a:extLst>
        </xdr:cNvPr>
        <xdr:cNvPicPr>
          <a:picLocks noChangeAspect="1"/>
        </xdr:cNvPicPr>
      </xdr:nvPicPr>
      <xdr:blipFill rotWithShape="1">
        <a:blip xmlns:r="http://schemas.openxmlformats.org/officeDocument/2006/relationships" r:embed="rId4"/>
        <a:srcRect t="7098" r="19987"/>
        <a:stretch/>
      </xdr:blipFill>
      <xdr:spPr>
        <a:xfrm>
          <a:off x="9267826" y="20650199"/>
          <a:ext cx="7749751" cy="405317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zhaoz\Downloads\REPORT2.xlsx" TargetMode="External"/><Relationship Id="rId1" Type="http://schemas.openxmlformats.org/officeDocument/2006/relationships/externalLinkPath" Target="file:///C:\Users\zhaoz\Downloads\REPORT2.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zhaoz\Downloads\REPORT1.xlsx" TargetMode="External"/><Relationship Id="rId1" Type="http://schemas.openxmlformats.org/officeDocument/2006/relationships/externalLinkPath" Target="file:///C:\Users\zhaoz\Downloads\REPOR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port"/>
    </sheetNames>
    <sheetDataSet>
      <sheetData sheetId="0">
        <row r="5">
          <cell r="AQ5" t="str">
            <v>Market Premium</v>
          </cell>
          <cell r="AR5">
            <v>-0.82588999581761391</v>
          </cell>
        </row>
        <row r="6">
          <cell r="AQ6" t="str">
            <v>Long-term growth rate · 2</v>
          </cell>
          <cell r="AR6">
            <v>0.10326826301090203</v>
          </cell>
        </row>
        <row r="7">
          <cell r="AQ7" t="str">
            <v>Risk Free rate</v>
          </cell>
          <cell r="AR7">
            <v>-4.8207713038468623E-2</v>
          </cell>
        </row>
        <row r="8">
          <cell r="AQ8" t="str">
            <v xml:space="preserve">FCF </v>
          </cell>
          <cell r="AR8">
            <v>1.6019335500745791E-2</v>
          </cell>
        </row>
        <row r="9">
          <cell r="AQ9" t="str">
            <v>Short-term growth rate (4) · 2</v>
          </cell>
          <cell r="AR9">
            <v>6.5954174516819029E-3</v>
          </cell>
        </row>
        <row r="10">
          <cell r="AQ10" t="str">
            <v>Cost of debt (2)</v>
          </cell>
          <cell r="AR10">
            <v>-1.9275180587567013E-5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port"/>
    </sheetNames>
    <sheetDataSet>
      <sheetData sheetId="0">
        <row r="5">
          <cell r="AI5" t="str">
            <v>Market Premium</v>
          </cell>
          <cell r="AJ5">
            <v>-0.84251837122469098</v>
          </cell>
        </row>
        <row r="6">
          <cell r="AI6" t="str">
            <v>Growth rate (3) · 1</v>
          </cell>
          <cell r="AJ6">
            <v>0.1157550282870918</v>
          </cell>
        </row>
        <row r="7">
          <cell r="AI7" t="str">
            <v>Risk Free rate</v>
          </cell>
          <cell r="AJ7">
            <v>-4.1571090956839349E-2</v>
          </cell>
        </row>
        <row r="8">
          <cell r="AI8" t="str">
            <v>Cost of debt (2)</v>
          </cell>
          <cell r="AJ8">
            <v>-1.5550953137794562E-4</v>
          </cell>
        </row>
      </sheetData>
    </sheetDataSet>
  </externalBook>
</externalLink>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ED9E8-5C23-4647-B0BC-F521B8FAB588}">
  <dimension ref="A4:K18"/>
  <sheetViews>
    <sheetView showGridLines="0" tabSelected="1" zoomScaleNormal="100" workbookViewId="0">
      <selection activeCell="F12" sqref="F12"/>
    </sheetView>
  </sheetViews>
  <sheetFormatPr defaultRowHeight="14.25" x14ac:dyDescent="0.2"/>
  <sheetData>
    <row r="4" spans="1:11" ht="23.25" x14ac:dyDescent="0.35">
      <c r="I4" s="243"/>
      <c r="J4" s="243"/>
      <c r="K4" s="243"/>
    </row>
    <row r="5" spans="1:11" ht="23.25" x14ac:dyDescent="0.35">
      <c r="I5" s="243"/>
      <c r="J5" s="243"/>
      <c r="K5" s="244"/>
    </row>
    <row r="6" spans="1:11" ht="23.25" x14ac:dyDescent="0.35">
      <c r="I6" s="243"/>
      <c r="J6" s="243"/>
      <c r="K6" s="244"/>
    </row>
    <row r="7" spans="1:11" ht="23.25" x14ac:dyDescent="0.35">
      <c r="I7" s="243"/>
      <c r="J7" s="243"/>
      <c r="K7" s="244"/>
    </row>
    <row r="8" spans="1:11" ht="23.25" x14ac:dyDescent="0.35">
      <c r="I8" s="243"/>
      <c r="J8" s="243"/>
      <c r="K8" s="244"/>
    </row>
    <row r="9" spans="1:11" ht="23.25" x14ac:dyDescent="0.35">
      <c r="I9" s="243"/>
      <c r="J9" s="243"/>
      <c r="K9" s="243"/>
    </row>
    <row r="10" spans="1:11" ht="15" x14ac:dyDescent="0.2">
      <c r="B10" s="267" t="s">
        <v>0</v>
      </c>
      <c r="C10" s="267"/>
    </row>
    <row r="13" spans="1:11" ht="15" x14ac:dyDescent="0.2">
      <c r="A13" s="267"/>
      <c r="B13" s="267"/>
      <c r="C13" s="267"/>
      <c r="D13" s="267"/>
      <c r="E13" s="267"/>
      <c r="F13" s="267"/>
    </row>
    <row r="14" spans="1:11" ht="15" x14ac:dyDescent="0.2">
      <c r="A14" s="43"/>
      <c r="B14" s="43"/>
      <c r="E14" s="43"/>
      <c r="F14" s="43"/>
    </row>
    <row r="15" spans="1:11" ht="15" x14ac:dyDescent="0.2">
      <c r="A15" s="43"/>
      <c r="B15" s="43"/>
      <c r="C15" s="267"/>
      <c r="D15" s="267"/>
      <c r="E15" s="43"/>
      <c r="F15" s="43"/>
    </row>
    <row r="16" spans="1:11" ht="15" x14ac:dyDescent="0.2">
      <c r="A16" s="43"/>
      <c r="B16" s="43"/>
      <c r="C16" s="267"/>
      <c r="D16" s="267"/>
      <c r="E16" s="43"/>
      <c r="F16" s="43"/>
    </row>
    <row r="17" spans="1:6" ht="15" x14ac:dyDescent="0.2">
      <c r="A17" s="43"/>
      <c r="B17" s="43"/>
      <c r="C17" s="267"/>
      <c r="D17" s="267"/>
      <c r="E17" s="43"/>
      <c r="F17" s="43"/>
    </row>
    <row r="18" spans="1:6" ht="15" x14ac:dyDescent="0.2">
      <c r="A18" s="43"/>
      <c r="B18" s="43"/>
      <c r="C18" s="267"/>
      <c r="D18" s="267"/>
      <c r="E18" s="43"/>
      <c r="F18" s="43"/>
    </row>
  </sheetData>
  <mergeCells count="6">
    <mergeCell ref="C18:D18"/>
    <mergeCell ref="A13:F13"/>
    <mergeCell ref="B10:C10"/>
    <mergeCell ref="C15:D15"/>
    <mergeCell ref="C16:D16"/>
    <mergeCell ref="C17:D1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F8BB2-E4B8-49D8-84B0-C864A71C3825}">
  <dimension ref="A1:T33"/>
  <sheetViews>
    <sheetView showGridLines="0" workbookViewId="0">
      <selection activeCell="W9" sqref="W9"/>
    </sheetView>
  </sheetViews>
  <sheetFormatPr defaultRowHeight="14.25" x14ac:dyDescent="0.2"/>
  <sheetData>
    <row r="1" spans="1:20" ht="15" x14ac:dyDescent="0.2">
      <c r="A1" s="285" t="s">
        <v>216</v>
      </c>
      <c r="B1" s="285"/>
      <c r="C1" s="285"/>
      <c r="D1" s="285"/>
      <c r="E1" s="285"/>
      <c r="F1" s="287" t="s">
        <v>217</v>
      </c>
      <c r="G1" s="287"/>
      <c r="H1" s="287"/>
      <c r="I1" s="287"/>
      <c r="J1" s="287"/>
      <c r="K1" s="287"/>
      <c r="L1" s="287"/>
      <c r="M1" s="287"/>
      <c r="N1" s="287"/>
      <c r="O1" s="287"/>
      <c r="P1" s="287"/>
      <c r="Q1" s="287"/>
      <c r="R1" s="287"/>
      <c r="S1" s="287"/>
      <c r="T1" s="287"/>
    </row>
    <row r="2" spans="1:20" ht="15" x14ac:dyDescent="0.2">
      <c r="A2" s="285" t="s">
        <v>223</v>
      </c>
      <c r="B2" s="285"/>
      <c r="C2" s="285"/>
      <c r="D2" s="285"/>
      <c r="E2" s="285"/>
      <c r="F2" s="287" t="s">
        <v>224</v>
      </c>
      <c r="G2" s="287"/>
      <c r="H2" s="287"/>
      <c r="I2" s="287"/>
      <c r="J2" s="287"/>
      <c r="K2" s="287"/>
      <c r="L2" s="287"/>
      <c r="M2" s="287"/>
      <c r="N2" s="287"/>
      <c r="O2" s="287"/>
      <c r="P2" s="287"/>
      <c r="Q2" s="287"/>
      <c r="R2" s="287"/>
      <c r="S2" s="287"/>
      <c r="T2" s="287"/>
    </row>
    <row r="3" spans="1:20" ht="15" x14ac:dyDescent="0.2">
      <c r="A3" s="285" t="s">
        <v>225</v>
      </c>
      <c r="B3" s="285"/>
      <c r="C3" s="285"/>
      <c r="D3" s="285"/>
      <c r="E3" s="285"/>
      <c r="F3" s="287" t="s">
        <v>229</v>
      </c>
      <c r="G3" s="287"/>
      <c r="H3" s="287"/>
      <c r="I3" s="287"/>
      <c r="J3" s="287"/>
      <c r="K3" s="287"/>
      <c r="L3" s="287"/>
      <c r="M3" s="287"/>
      <c r="N3" s="287"/>
      <c r="O3" s="287"/>
      <c r="P3" s="287"/>
      <c r="Q3" s="287"/>
      <c r="R3" s="287"/>
      <c r="S3" s="287"/>
      <c r="T3" s="287"/>
    </row>
    <row r="4" spans="1:20" x14ac:dyDescent="0.2">
      <c r="A4" s="285" t="s">
        <v>218</v>
      </c>
      <c r="B4" s="285"/>
      <c r="C4" s="285"/>
      <c r="D4" s="285"/>
      <c r="E4" s="285"/>
      <c r="F4" s="286" t="s">
        <v>219</v>
      </c>
      <c r="G4" s="286"/>
      <c r="H4" s="286"/>
      <c r="I4" s="286"/>
      <c r="J4" s="286"/>
      <c r="K4" s="286"/>
      <c r="L4" s="286"/>
      <c r="M4" s="286"/>
      <c r="N4" s="286"/>
      <c r="O4" s="286"/>
      <c r="P4" s="286"/>
      <c r="Q4" s="286"/>
      <c r="R4" s="286"/>
      <c r="S4" s="286"/>
      <c r="T4" s="286"/>
    </row>
    <row r="5" spans="1:20" x14ac:dyDescent="0.2">
      <c r="A5" s="285"/>
      <c r="B5" s="285"/>
      <c r="C5" s="285"/>
      <c r="D5" s="285"/>
      <c r="E5" s="285"/>
      <c r="F5" s="286"/>
      <c r="G5" s="286"/>
      <c r="H5" s="286"/>
      <c r="I5" s="286"/>
      <c r="J5" s="286"/>
      <c r="K5" s="286"/>
      <c r="L5" s="286"/>
      <c r="M5" s="286"/>
      <c r="N5" s="286"/>
      <c r="O5" s="286"/>
      <c r="P5" s="286"/>
      <c r="Q5" s="286"/>
      <c r="R5" s="286"/>
      <c r="S5" s="286"/>
      <c r="T5" s="286"/>
    </row>
    <row r="6" spans="1:20" x14ac:dyDescent="0.2">
      <c r="A6" s="285"/>
      <c r="B6" s="285"/>
      <c r="C6" s="285"/>
      <c r="D6" s="285"/>
      <c r="E6" s="285"/>
      <c r="F6" s="286"/>
      <c r="G6" s="286"/>
      <c r="H6" s="286"/>
      <c r="I6" s="286"/>
      <c r="J6" s="286"/>
      <c r="K6" s="286"/>
      <c r="L6" s="286"/>
      <c r="M6" s="286"/>
      <c r="N6" s="286"/>
      <c r="O6" s="286"/>
      <c r="P6" s="286"/>
      <c r="Q6" s="286"/>
      <c r="R6" s="286"/>
      <c r="S6" s="286"/>
      <c r="T6" s="286"/>
    </row>
    <row r="7" spans="1:20" x14ac:dyDescent="0.2">
      <c r="A7" s="285"/>
      <c r="B7" s="285"/>
      <c r="C7" s="285"/>
      <c r="D7" s="285"/>
      <c r="E7" s="285"/>
      <c r="F7" s="286"/>
      <c r="G7" s="286"/>
      <c r="H7" s="286"/>
      <c r="I7" s="286"/>
      <c r="J7" s="286"/>
      <c r="K7" s="286"/>
      <c r="L7" s="286"/>
      <c r="M7" s="286"/>
      <c r="N7" s="286"/>
      <c r="O7" s="286"/>
      <c r="P7" s="286"/>
      <c r="Q7" s="286"/>
      <c r="R7" s="286"/>
      <c r="S7" s="286"/>
      <c r="T7" s="286"/>
    </row>
    <row r="8" spans="1:20" x14ac:dyDescent="0.2">
      <c r="A8" s="285"/>
      <c r="B8" s="285"/>
      <c r="C8" s="285"/>
      <c r="D8" s="285"/>
      <c r="E8" s="285"/>
      <c r="F8" s="286"/>
      <c r="G8" s="286"/>
      <c r="H8" s="286"/>
      <c r="I8" s="286"/>
      <c r="J8" s="286"/>
      <c r="K8" s="286"/>
      <c r="L8" s="286"/>
      <c r="M8" s="286"/>
      <c r="N8" s="286"/>
      <c r="O8" s="286"/>
      <c r="P8" s="286"/>
      <c r="Q8" s="286"/>
      <c r="R8" s="286"/>
      <c r="S8" s="286"/>
      <c r="T8" s="286"/>
    </row>
    <row r="9" spans="1:20" x14ac:dyDescent="0.2">
      <c r="A9" s="285"/>
      <c r="B9" s="285"/>
      <c r="C9" s="285"/>
      <c r="D9" s="285"/>
      <c r="E9" s="285"/>
      <c r="F9" s="286"/>
      <c r="G9" s="286"/>
      <c r="H9" s="286"/>
      <c r="I9" s="286"/>
      <c r="J9" s="286"/>
      <c r="K9" s="286"/>
      <c r="L9" s="286"/>
      <c r="M9" s="286"/>
      <c r="N9" s="286"/>
      <c r="O9" s="286"/>
      <c r="P9" s="286"/>
      <c r="Q9" s="286"/>
      <c r="R9" s="286"/>
      <c r="S9" s="286"/>
      <c r="T9" s="286"/>
    </row>
    <row r="10" spans="1:20" x14ac:dyDescent="0.2">
      <c r="A10" s="285"/>
      <c r="B10" s="285"/>
      <c r="C10" s="285"/>
      <c r="D10" s="285"/>
      <c r="E10" s="285"/>
      <c r="F10" s="286"/>
      <c r="G10" s="286"/>
      <c r="H10" s="286"/>
      <c r="I10" s="286"/>
      <c r="J10" s="286"/>
      <c r="K10" s="286"/>
      <c r="L10" s="286"/>
      <c r="M10" s="286"/>
      <c r="N10" s="286"/>
      <c r="O10" s="286"/>
      <c r="P10" s="286"/>
      <c r="Q10" s="286"/>
      <c r="R10" s="286"/>
      <c r="S10" s="286"/>
      <c r="T10" s="286"/>
    </row>
    <row r="11" spans="1:20" x14ac:dyDescent="0.2">
      <c r="A11" s="285"/>
      <c r="B11" s="285"/>
      <c r="C11" s="285"/>
      <c r="D11" s="285"/>
      <c r="E11" s="285"/>
      <c r="F11" s="286"/>
      <c r="G11" s="286"/>
      <c r="H11" s="286"/>
      <c r="I11" s="286"/>
      <c r="J11" s="286"/>
      <c r="K11" s="286"/>
      <c r="L11" s="286"/>
      <c r="M11" s="286"/>
      <c r="N11" s="286"/>
      <c r="O11" s="286"/>
      <c r="P11" s="286"/>
      <c r="Q11" s="286"/>
      <c r="R11" s="286"/>
      <c r="S11" s="286"/>
      <c r="T11" s="286"/>
    </row>
    <row r="12" spans="1:20" x14ac:dyDescent="0.2">
      <c r="A12" s="285" t="s">
        <v>220</v>
      </c>
      <c r="B12" s="285"/>
      <c r="C12" s="285"/>
      <c r="D12" s="285"/>
      <c r="E12" s="285"/>
      <c r="F12" s="286" t="s">
        <v>221</v>
      </c>
      <c r="G12" s="287"/>
      <c r="H12" s="287"/>
      <c r="I12" s="287"/>
      <c r="J12" s="287"/>
      <c r="K12" s="287"/>
      <c r="L12" s="287"/>
      <c r="M12" s="287"/>
      <c r="N12" s="287"/>
      <c r="O12" s="287"/>
      <c r="P12" s="287"/>
      <c r="Q12" s="287"/>
      <c r="R12" s="287"/>
      <c r="S12" s="287"/>
      <c r="T12" s="287"/>
    </row>
    <row r="13" spans="1:20" x14ac:dyDescent="0.2">
      <c r="A13" s="285"/>
      <c r="B13" s="285"/>
      <c r="C13" s="285"/>
      <c r="D13" s="285"/>
      <c r="E13" s="285"/>
      <c r="F13" s="287"/>
      <c r="G13" s="287"/>
      <c r="H13" s="287"/>
      <c r="I13" s="287"/>
      <c r="J13" s="287"/>
      <c r="K13" s="287"/>
      <c r="L13" s="287"/>
      <c r="M13" s="287"/>
      <c r="N13" s="287"/>
      <c r="O13" s="287"/>
      <c r="P13" s="287"/>
      <c r="Q13" s="287"/>
      <c r="R13" s="287"/>
      <c r="S13" s="287"/>
      <c r="T13" s="287"/>
    </row>
    <row r="14" spans="1:20" x14ac:dyDescent="0.2">
      <c r="A14" s="285"/>
      <c r="B14" s="285"/>
      <c r="C14" s="285"/>
      <c r="D14" s="285"/>
      <c r="E14" s="285"/>
      <c r="F14" s="287"/>
      <c r="G14" s="287"/>
      <c r="H14" s="287"/>
      <c r="I14" s="287"/>
      <c r="J14" s="287"/>
      <c r="K14" s="287"/>
      <c r="L14" s="287"/>
      <c r="M14" s="287"/>
      <c r="N14" s="287"/>
      <c r="O14" s="287"/>
      <c r="P14" s="287"/>
      <c r="Q14" s="287"/>
      <c r="R14" s="287"/>
      <c r="S14" s="287"/>
      <c r="T14" s="287"/>
    </row>
    <row r="15" spans="1:20" x14ac:dyDescent="0.2">
      <c r="A15" s="285"/>
      <c r="B15" s="285"/>
      <c r="C15" s="285"/>
      <c r="D15" s="285"/>
      <c r="E15" s="285"/>
      <c r="F15" s="287"/>
      <c r="G15" s="287"/>
      <c r="H15" s="287"/>
      <c r="I15" s="287"/>
      <c r="J15" s="287"/>
      <c r="K15" s="287"/>
      <c r="L15" s="287"/>
      <c r="M15" s="287"/>
      <c r="N15" s="287"/>
      <c r="O15" s="287"/>
      <c r="P15" s="287"/>
      <c r="Q15" s="287"/>
      <c r="R15" s="287"/>
      <c r="S15" s="287"/>
      <c r="T15" s="287"/>
    </row>
    <row r="16" spans="1:20" x14ac:dyDescent="0.2">
      <c r="A16" s="285"/>
      <c r="B16" s="285"/>
      <c r="C16" s="285"/>
      <c r="D16" s="285"/>
      <c r="E16" s="285"/>
      <c r="F16" s="287"/>
      <c r="G16" s="287"/>
      <c r="H16" s="287"/>
      <c r="I16" s="287"/>
      <c r="J16" s="287"/>
      <c r="K16" s="287"/>
      <c r="L16" s="287"/>
      <c r="M16" s="287"/>
      <c r="N16" s="287"/>
      <c r="O16" s="287"/>
      <c r="P16" s="287"/>
      <c r="Q16" s="287"/>
      <c r="R16" s="287"/>
      <c r="S16" s="287"/>
      <c r="T16" s="287"/>
    </row>
    <row r="17" spans="1:20" x14ac:dyDescent="0.2">
      <c r="A17" s="285" t="s">
        <v>222</v>
      </c>
      <c r="B17" s="285"/>
      <c r="C17" s="285"/>
      <c r="D17" s="285"/>
      <c r="E17" s="285"/>
      <c r="F17" s="286" t="s">
        <v>226</v>
      </c>
      <c r="G17" s="287"/>
      <c r="H17" s="287"/>
      <c r="I17" s="287"/>
      <c r="J17" s="287"/>
      <c r="K17" s="287"/>
      <c r="L17" s="287"/>
      <c r="M17" s="287"/>
      <c r="N17" s="287"/>
      <c r="O17" s="287"/>
      <c r="P17" s="287"/>
      <c r="Q17" s="287"/>
      <c r="R17" s="287"/>
      <c r="S17" s="287"/>
      <c r="T17" s="287"/>
    </row>
    <row r="18" spans="1:20" x14ac:dyDescent="0.2">
      <c r="A18" s="285"/>
      <c r="B18" s="285"/>
      <c r="C18" s="285"/>
      <c r="D18" s="285"/>
      <c r="E18" s="285"/>
      <c r="F18" s="287"/>
      <c r="G18" s="287"/>
      <c r="H18" s="287"/>
      <c r="I18" s="287"/>
      <c r="J18" s="287"/>
      <c r="K18" s="287"/>
      <c r="L18" s="287"/>
      <c r="M18" s="287"/>
      <c r="N18" s="287"/>
      <c r="O18" s="287"/>
      <c r="P18" s="287"/>
      <c r="Q18" s="287"/>
      <c r="R18" s="287"/>
      <c r="S18" s="287"/>
      <c r="T18" s="287"/>
    </row>
    <row r="19" spans="1:20" x14ac:dyDescent="0.2">
      <c r="A19" s="285"/>
      <c r="B19" s="285"/>
      <c r="C19" s="285"/>
      <c r="D19" s="285"/>
      <c r="E19" s="285"/>
      <c r="F19" s="287"/>
      <c r="G19" s="287"/>
      <c r="H19" s="287"/>
      <c r="I19" s="287"/>
      <c r="J19" s="287"/>
      <c r="K19" s="287"/>
      <c r="L19" s="287"/>
      <c r="M19" s="287"/>
      <c r="N19" s="287"/>
      <c r="O19" s="287"/>
      <c r="P19" s="287"/>
      <c r="Q19" s="287"/>
      <c r="R19" s="287"/>
      <c r="S19" s="287"/>
      <c r="T19" s="287"/>
    </row>
    <row r="20" spans="1:20" x14ac:dyDescent="0.2">
      <c r="A20" s="285"/>
      <c r="B20" s="285"/>
      <c r="C20" s="285"/>
      <c r="D20" s="285"/>
      <c r="E20" s="285"/>
      <c r="F20" s="287"/>
      <c r="G20" s="287"/>
      <c r="H20" s="287"/>
      <c r="I20" s="287"/>
      <c r="J20" s="287"/>
      <c r="K20" s="287"/>
      <c r="L20" s="287"/>
      <c r="M20" s="287"/>
      <c r="N20" s="287"/>
      <c r="O20" s="287"/>
      <c r="P20" s="287"/>
      <c r="Q20" s="287"/>
      <c r="R20" s="287"/>
      <c r="S20" s="287"/>
      <c r="T20" s="287"/>
    </row>
    <row r="21" spans="1:20" x14ac:dyDescent="0.2">
      <c r="A21" s="285"/>
      <c r="B21" s="285"/>
      <c r="C21" s="285"/>
      <c r="D21" s="285"/>
      <c r="E21" s="285"/>
      <c r="F21" s="287"/>
      <c r="G21" s="287"/>
      <c r="H21" s="287"/>
      <c r="I21" s="287"/>
      <c r="J21" s="287"/>
      <c r="K21" s="287"/>
      <c r="L21" s="287"/>
      <c r="M21" s="287"/>
      <c r="N21" s="287"/>
      <c r="O21" s="287"/>
      <c r="P21" s="287"/>
      <c r="Q21" s="287"/>
      <c r="R21" s="287"/>
      <c r="S21" s="287"/>
      <c r="T21" s="287"/>
    </row>
    <row r="22" spans="1:20" x14ac:dyDescent="0.2">
      <c r="A22" s="285"/>
      <c r="B22" s="285"/>
      <c r="C22" s="285"/>
      <c r="D22" s="285"/>
      <c r="E22" s="285"/>
      <c r="F22" s="287"/>
      <c r="G22" s="287"/>
      <c r="H22" s="287"/>
      <c r="I22" s="287"/>
      <c r="J22" s="287"/>
      <c r="K22" s="287"/>
      <c r="L22" s="287"/>
      <c r="M22" s="287"/>
      <c r="N22" s="287"/>
      <c r="O22" s="287"/>
      <c r="P22" s="287"/>
      <c r="Q22" s="287"/>
      <c r="R22" s="287"/>
      <c r="S22" s="287"/>
      <c r="T22" s="287"/>
    </row>
    <row r="23" spans="1:20" x14ac:dyDescent="0.2">
      <c r="A23" s="277" t="s">
        <v>227</v>
      </c>
      <c r="B23" s="278"/>
      <c r="C23" s="278"/>
      <c r="D23" s="278"/>
      <c r="E23" s="279"/>
      <c r="F23" s="286" t="s">
        <v>228</v>
      </c>
      <c r="G23" s="287"/>
      <c r="H23" s="287"/>
      <c r="I23" s="287"/>
      <c r="J23" s="287"/>
      <c r="K23" s="287"/>
      <c r="L23" s="287"/>
      <c r="M23" s="287"/>
      <c r="N23" s="287"/>
      <c r="O23" s="287"/>
      <c r="P23" s="287"/>
      <c r="Q23" s="287"/>
      <c r="R23" s="287"/>
      <c r="S23" s="287"/>
      <c r="T23" s="287"/>
    </row>
    <row r="24" spans="1:20" x14ac:dyDescent="0.2">
      <c r="A24" s="282"/>
      <c r="B24" s="283"/>
      <c r="C24" s="283"/>
      <c r="D24" s="283"/>
      <c r="E24" s="284"/>
      <c r="F24" s="287"/>
      <c r="G24" s="287"/>
      <c r="H24" s="287"/>
      <c r="I24" s="287"/>
      <c r="J24" s="287"/>
      <c r="K24" s="287"/>
      <c r="L24" s="287"/>
      <c r="M24" s="287"/>
      <c r="N24" s="287"/>
      <c r="O24" s="287"/>
      <c r="P24" s="287"/>
      <c r="Q24" s="287"/>
      <c r="R24" s="287"/>
      <c r="S24" s="287"/>
      <c r="T24" s="287"/>
    </row>
    <row r="25" spans="1:20" x14ac:dyDescent="0.2">
      <c r="A25" s="277" t="s">
        <v>230</v>
      </c>
      <c r="B25" s="278"/>
      <c r="C25" s="278"/>
      <c r="D25" s="278"/>
      <c r="E25" s="279"/>
      <c r="F25" s="268" t="s">
        <v>231</v>
      </c>
      <c r="G25" s="269"/>
      <c r="H25" s="269"/>
      <c r="I25" s="269"/>
      <c r="J25" s="269"/>
      <c r="K25" s="269"/>
      <c r="L25" s="269"/>
      <c r="M25" s="269"/>
      <c r="N25" s="269"/>
      <c r="O25" s="269"/>
      <c r="P25" s="269"/>
      <c r="Q25" s="269"/>
      <c r="R25" s="269"/>
      <c r="S25" s="269"/>
      <c r="T25" s="270"/>
    </row>
    <row r="26" spans="1:20" x14ac:dyDescent="0.2">
      <c r="A26" s="280"/>
      <c r="B26" s="267"/>
      <c r="C26" s="267"/>
      <c r="D26" s="267"/>
      <c r="E26" s="281"/>
      <c r="F26" s="271"/>
      <c r="G26" s="272"/>
      <c r="H26" s="272"/>
      <c r="I26" s="272"/>
      <c r="J26" s="272"/>
      <c r="K26" s="272"/>
      <c r="L26" s="272"/>
      <c r="M26" s="272"/>
      <c r="N26" s="272"/>
      <c r="O26" s="272"/>
      <c r="P26" s="272"/>
      <c r="Q26" s="272"/>
      <c r="R26" s="272"/>
      <c r="S26" s="272"/>
      <c r="T26" s="273"/>
    </row>
    <row r="27" spans="1:20" x14ac:dyDescent="0.2">
      <c r="A27" s="280"/>
      <c r="B27" s="267"/>
      <c r="C27" s="267"/>
      <c r="D27" s="267"/>
      <c r="E27" s="281"/>
      <c r="F27" s="271"/>
      <c r="G27" s="272"/>
      <c r="H27" s="272"/>
      <c r="I27" s="272"/>
      <c r="J27" s="272"/>
      <c r="K27" s="272"/>
      <c r="L27" s="272"/>
      <c r="M27" s="272"/>
      <c r="N27" s="272"/>
      <c r="O27" s="272"/>
      <c r="P27" s="272"/>
      <c r="Q27" s="272"/>
      <c r="R27" s="272"/>
      <c r="S27" s="272"/>
      <c r="T27" s="273"/>
    </row>
    <row r="28" spans="1:20" x14ac:dyDescent="0.2">
      <c r="A28" s="280"/>
      <c r="B28" s="267"/>
      <c r="C28" s="267"/>
      <c r="D28" s="267"/>
      <c r="E28" s="281"/>
      <c r="F28" s="271"/>
      <c r="G28" s="272"/>
      <c r="H28" s="272"/>
      <c r="I28" s="272"/>
      <c r="J28" s="272"/>
      <c r="K28" s="272"/>
      <c r="L28" s="272"/>
      <c r="M28" s="272"/>
      <c r="N28" s="272"/>
      <c r="O28" s="272"/>
      <c r="P28" s="272"/>
      <c r="Q28" s="272"/>
      <c r="R28" s="272"/>
      <c r="S28" s="272"/>
      <c r="T28" s="273"/>
    </row>
    <row r="29" spans="1:20" x14ac:dyDescent="0.2">
      <c r="A29" s="280"/>
      <c r="B29" s="267"/>
      <c r="C29" s="267"/>
      <c r="D29" s="267"/>
      <c r="E29" s="281"/>
      <c r="F29" s="271"/>
      <c r="G29" s="272"/>
      <c r="H29" s="272"/>
      <c r="I29" s="272"/>
      <c r="J29" s="272"/>
      <c r="K29" s="272"/>
      <c r="L29" s="272"/>
      <c r="M29" s="272"/>
      <c r="N29" s="272"/>
      <c r="O29" s="272"/>
      <c r="P29" s="272"/>
      <c r="Q29" s="272"/>
      <c r="R29" s="272"/>
      <c r="S29" s="272"/>
      <c r="T29" s="273"/>
    </row>
    <row r="30" spans="1:20" x14ac:dyDescent="0.2">
      <c r="A30" s="280"/>
      <c r="B30" s="267"/>
      <c r="C30" s="267"/>
      <c r="D30" s="267"/>
      <c r="E30" s="281"/>
      <c r="F30" s="271"/>
      <c r="G30" s="272"/>
      <c r="H30" s="272"/>
      <c r="I30" s="272"/>
      <c r="J30" s="272"/>
      <c r="K30" s="272"/>
      <c r="L30" s="272"/>
      <c r="M30" s="272"/>
      <c r="N30" s="272"/>
      <c r="O30" s="272"/>
      <c r="P30" s="272"/>
      <c r="Q30" s="272"/>
      <c r="R30" s="272"/>
      <c r="S30" s="272"/>
      <c r="T30" s="273"/>
    </row>
    <row r="31" spans="1:20" x14ac:dyDescent="0.2">
      <c r="A31" s="280"/>
      <c r="B31" s="267"/>
      <c r="C31" s="267"/>
      <c r="D31" s="267"/>
      <c r="E31" s="281"/>
      <c r="F31" s="271"/>
      <c r="G31" s="272"/>
      <c r="H31" s="272"/>
      <c r="I31" s="272"/>
      <c r="J31" s="272"/>
      <c r="K31" s="272"/>
      <c r="L31" s="272"/>
      <c r="M31" s="272"/>
      <c r="N31" s="272"/>
      <c r="O31" s="272"/>
      <c r="P31" s="272"/>
      <c r="Q31" s="272"/>
      <c r="R31" s="272"/>
      <c r="S31" s="272"/>
      <c r="T31" s="273"/>
    </row>
    <row r="32" spans="1:20" x14ac:dyDescent="0.2">
      <c r="A32" s="280"/>
      <c r="B32" s="267"/>
      <c r="C32" s="267"/>
      <c r="D32" s="267"/>
      <c r="E32" s="281"/>
      <c r="F32" s="271"/>
      <c r="G32" s="272"/>
      <c r="H32" s="272"/>
      <c r="I32" s="272"/>
      <c r="J32" s="272"/>
      <c r="K32" s="272"/>
      <c r="L32" s="272"/>
      <c r="M32" s="272"/>
      <c r="N32" s="272"/>
      <c r="O32" s="272"/>
      <c r="P32" s="272"/>
      <c r="Q32" s="272"/>
      <c r="R32" s="272"/>
      <c r="S32" s="272"/>
      <c r="T32" s="273"/>
    </row>
    <row r="33" spans="1:20" x14ac:dyDescent="0.2">
      <c r="A33" s="282"/>
      <c r="B33" s="283"/>
      <c r="C33" s="283"/>
      <c r="D33" s="283"/>
      <c r="E33" s="284"/>
      <c r="F33" s="274"/>
      <c r="G33" s="275"/>
      <c r="H33" s="275"/>
      <c r="I33" s="275"/>
      <c r="J33" s="275"/>
      <c r="K33" s="275"/>
      <c r="L33" s="275"/>
      <c r="M33" s="275"/>
      <c r="N33" s="275"/>
      <c r="O33" s="275"/>
      <c r="P33" s="275"/>
      <c r="Q33" s="275"/>
      <c r="R33" s="275"/>
      <c r="S33" s="275"/>
      <c r="T33" s="276"/>
    </row>
  </sheetData>
  <mergeCells count="16">
    <mergeCell ref="A1:E1"/>
    <mergeCell ref="F1:T1"/>
    <mergeCell ref="A2:E2"/>
    <mergeCell ref="F23:T24"/>
    <mergeCell ref="A23:E24"/>
    <mergeCell ref="F4:T11"/>
    <mergeCell ref="A4:E11"/>
    <mergeCell ref="F2:T2"/>
    <mergeCell ref="A3:E3"/>
    <mergeCell ref="F3:T3"/>
    <mergeCell ref="F25:T33"/>
    <mergeCell ref="A25:E33"/>
    <mergeCell ref="A12:E16"/>
    <mergeCell ref="F12:T16"/>
    <mergeCell ref="A17:E22"/>
    <mergeCell ref="F17:T22"/>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9214E-B896-4B44-8837-032FECCF30C1}">
  <dimension ref="A1:F40"/>
  <sheetViews>
    <sheetView showGridLines="0" topLeftCell="A19" workbookViewId="0">
      <selection activeCell="A40" sqref="A40"/>
    </sheetView>
  </sheetViews>
  <sheetFormatPr defaultRowHeight="14.25" x14ac:dyDescent="0.2"/>
  <cols>
    <col min="1" max="1" width="44.5" customWidth="1"/>
    <col min="2" max="6" width="24.625" customWidth="1"/>
  </cols>
  <sheetData>
    <row r="1" spans="1:6" ht="30" x14ac:dyDescent="0.2">
      <c r="A1" s="2" t="s">
        <v>1</v>
      </c>
      <c r="B1" s="3" t="s">
        <v>2</v>
      </c>
      <c r="C1" s="3" t="s">
        <v>3</v>
      </c>
      <c r="D1" s="3" t="s">
        <v>4</v>
      </c>
      <c r="E1" s="3" t="s">
        <v>5</v>
      </c>
      <c r="F1" s="4" t="s">
        <v>6</v>
      </c>
    </row>
    <row r="2" spans="1:6" ht="15" x14ac:dyDescent="0.2">
      <c r="A2" s="5" t="s">
        <v>7</v>
      </c>
      <c r="B2" s="6"/>
      <c r="C2" s="6"/>
      <c r="D2" s="6"/>
      <c r="E2" s="6"/>
      <c r="F2" s="7"/>
    </row>
    <row r="3" spans="1:6" ht="15" x14ac:dyDescent="0.2">
      <c r="A3" s="8" t="s">
        <v>8</v>
      </c>
      <c r="B3" s="9">
        <v>1078</v>
      </c>
      <c r="C3" s="9">
        <v>1466</v>
      </c>
      <c r="D3" s="9">
        <v>1595</v>
      </c>
      <c r="E3" s="9">
        <v>2535</v>
      </c>
      <c r="F3" s="10">
        <v>4835</v>
      </c>
    </row>
    <row r="4" spans="1:6" ht="15" x14ac:dyDescent="0.2">
      <c r="A4" s="11" t="s">
        <v>41</v>
      </c>
      <c r="B4" s="12">
        <v>78</v>
      </c>
      <c r="C4" s="12">
        <v>37</v>
      </c>
      <c r="D4" s="12">
        <v>695</v>
      </c>
      <c r="E4" s="12">
        <v>1073</v>
      </c>
      <c r="F4" s="13">
        <v>1020</v>
      </c>
    </row>
    <row r="5" spans="1:6" ht="15" x14ac:dyDescent="0.2">
      <c r="A5" s="8" t="s">
        <v>9</v>
      </c>
      <c r="B5" s="9">
        <v>1235</v>
      </c>
      <c r="C5" s="9">
        <v>1859</v>
      </c>
      <c r="D5" s="9">
        <v>2066</v>
      </c>
      <c r="E5" s="9">
        <v>2706</v>
      </c>
      <c r="F5" s="10">
        <v>4126</v>
      </c>
    </row>
    <row r="6" spans="1:6" ht="15" x14ac:dyDescent="0.2">
      <c r="A6" s="11" t="s">
        <v>10</v>
      </c>
      <c r="B6" s="12">
        <v>845</v>
      </c>
      <c r="C6" s="12">
        <v>982</v>
      </c>
      <c r="D6" s="12">
        <v>1399</v>
      </c>
      <c r="E6" s="12">
        <v>1955</v>
      </c>
      <c r="F6" s="13">
        <v>3771</v>
      </c>
    </row>
    <row r="7" spans="1:6" ht="15" x14ac:dyDescent="0.2">
      <c r="A7" s="8" t="s">
        <v>11</v>
      </c>
      <c r="B7" s="9">
        <v>34</v>
      </c>
      <c r="C7" s="9">
        <v>20</v>
      </c>
      <c r="D7" s="9">
        <v>10</v>
      </c>
      <c r="E7" s="9">
        <v>2</v>
      </c>
      <c r="F7" s="10">
        <v>2</v>
      </c>
    </row>
    <row r="8" spans="1:6" ht="15" x14ac:dyDescent="0.2">
      <c r="A8" s="11" t="s">
        <v>12</v>
      </c>
      <c r="B8" s="12">
        <v>270</v>
      </c>
      <c r="C8" s="12">
        <v>233</v>
      </c>
      <c r="D8" s="12">
        <v>378</v>
      </c>
      <c r="E8" s="12">
        <v>312</v>
      </c>
      <c r="F8" s="13">
        <v>1265</v>
      </c>
    </row>
    <row r="9" spans="1:6" ht="15" x14ac:dyDescent="0.2">
      <c r="A9" s="14" t="s">
        <v>13</v>
      </c>
      <c r="B9" s="15">
        <v>3540</v>
      </c>
      <c r="C9" s="15">
        <v>4597</v>
      </c>
      <c r="D9" s="15">
        <v>6143</v>
      </c>
      <c r="E9" s="15">
        <v>8583</v>
      </c>
      <c r="F9" s="16">
        <v>15019</v>
      </c>
    </row>
    <row r="10" spans="1:6" ht="15" x14ac:dyDescent="0.2">
      <c r="A10" s="17" t="s">
        <v>14</v>
      </c>
      <c r="B10" s="12">
        <v>348</v>
      </c>
      <c r="C10" s="12">
        <v>500</v>
      </c>
      <c r="D10" s="12">
        <v>641</v>
      </c>
      <c r="E10" s="12">
        <v>702</v>
      </c>
      <c r="F10" s="13">
        <v>1513</v>
      </c>
    </row>
    <row r="11" spans="1:6" ht="15" x14ac:dyDescent="0.2">
      <c r="A11" s="18" t="s">
        <v>15</v>
      </c>
      <c r="B11" s="9">
        <v>0</v>
      </c>
      <c r="C11" s="9">
        <v>205</v>
      </c>
      <c r="D11" s="9">
        <v>208</v>
      </c>
      <c r="E11" s="9">
        <v>367</v>
      </c>
      <c r="F11" s="10">
        <v>460</v>
      </c>
    </row>
    <row r="12" spans="1:6" ht="15" x14ac:dyDescent="0.2">
      <c r="A12" s="17" t="s">
        <v>16</v>
      </c>
      <c r="B12" s="12">
        <v>289</v>
      </c>
      <c r="C12" s="12">
        <v>289</v>
      </c>
      <c r="D12" s="12">
        <v>289</v>
      </c>
      <c r="E12" s="12">
        <v>289</v>
      </c>
      <c r="F12" s="13">
        <v>24177</v>
      </c>
    </row>
    <row r="13" spans="1:6" ht="15" x14ac:dyDescent="0.2">
      <c r="A13" s="18" t="s">
        <v>42</v>
      </c>
      <c r="B13" s="9">
        <v>0</v>
      </c>
      <c r="C13" s="9">
        <v>0</v>
      </c>
      <c r="D13" s="9">
        <v>0</v>
      </c>
      <c r="E13" s="9">
        <v>0</v>
      </c>
      <c r="F13" s="10">
        <v>24118</v>
      </c>
    </row>
    <row r="14" spans="1:6" ht="15" x14ac:dyDescent="0.2">
      <c r="A14" s="17" t="s">
        <v>17</v>
      </c>
      <c r="B14" s="12">
        <v>58</v>
      </c>
      <c r="C14" s="12">
        <v>58</v>
      </c>
      <c r="D14" s="12">
        <v>63</v>
      </c>
      <c r="E14" s="12">
        <v>69</v>
      </c>
      <c r="F14" s="13">
        <v>83</v>
      </c>
    </row>
    <row r="15" spans="1:6" ht="15" x14ac:dyDescent="0.2">
      <c r="A15" s="18" t="s">
        <v>37</v>
      </c>
      <c r="B15" s="9">
        <v>15</v>
      </c>
      <c r="C15" s="9">
        <v>22</v>
      </c>
      <c r="D15" s="9">
        <v>1245</v>
      </c>
      <c r="E15" s="9">
        <v>931</v>
      </c>
      <c r="F15" s="10">
        <v>58</v>
      </c>
    </row>
    <row r="16" spans="1:6" ht="15" x14ac:dyDescent="0.2">
      <c r="A16" s="17" t="s">
        <v>38</v>
      </c>
      <c r="B16" s="12">
        <v>306</v>
      </c>
      <c r="C16" s="12">
        <v>357</v>
      </c>
      <c r="D16" s="12">
        <v>373</v>
      </c>
      <c r="E16" s="12">
        <v>1478</v>
      </c>
      <c r="F16" s="13">
        <v>2152</v>
      </c>
    </row>
    <row r="17" spans="1:6" ht="15" x14ac:dyDescent="0.2">
      <c r="A17" s="14" t="s">
        <v>18</v>
      </c>
      <c r="B17" s="15">
        <v>4556</v>
      </c>
      <c r="C17" s="15">
        <v>6028</v>
      </c>
      <c r="D17" s="15">
        <v>8962</v>
      </c>
      <c r="E17" s="15">
        <v>12419</v>
      </c>
      <c r="F17" s="16">
        <v>67580</v>
      </c>
    </row>
    <row r="18" spans="1:6" ht="15" x14ac:dyDescent="0.2">
      <c r="A18" s="5" t="s">
        <v>19</v>
      </c>
      <c r="B18" s="12"/>
      <c r="C18" s="12"/>
      <c r="D18" s="12"/>
      <c r="E18" s="6"/>
      <c r="F18" s="7"/>
    </row>
    <row r="19" spans="1:6" ht="15" x14ac:dyDescent="0.2">
      <c r="A19" s="8" t="s">
        <v>20</v>
      </c>
      <c r="B19" s="9">
        <v>136</v>
      </c>
      <c r="C19" s="9">
        <v>0</v>
      </c>
      <c r="D19" s="9">
        <v>0</v>
      </c>
      <c r="E19" s="9">
        <v>0</v>
      </c>
      <c r="F19" s="10">
        <v>0</v>
      </c>
    </row>
    <row r="20" spans="1:6" ht="15" x14ac:dyDescent="0.2">
      <c r="A20" s="11" t="s">
        <v>21</v>
      </c>
      <c r="B20" s="12">
        <v>834</v>
      </c>
      <c r="C20" s="12">
        <v>988</v>
      </c>
      <c r="D20" s="12">
        <v>468</v>
      </c>
      <c r="E20" s="12">
        <v>1321</v>
      </c>
      <c r="F20" s="13">
        <v>2493</v>
      </c>
    </row>
    <row r="21" spans="1:6" ht="15" x14ac:dyDescent="0.2">
      <c r="A21" s="8" t="s">
        <v>22</v>
      </c>
      <c r="B21" s="9">
        <v>207</v>
      </c>
      <c r="C21" s="9">
        <v>213</v>
      </c>
      <c r="D21" s="9">
        <v>78</v>
      </c>
      <c r="E21" s="9">
        <v>85</v>
      </c>
      <c r="F21" s="10">
        <v>463</v>
      </c>
    </row>
    <row r="22" spans="1:6" ht="15" x14ac:dyDescent="0.2">
      <c r="A22" s="11" t="s">
        <v>23</v>
      </c>
      <c r="B22" s="12">
        <v>783</v>
      </c>
      <c r="C22" s="12">
        <v>1084</v>
      </c>
      <c r="D22" s="12">
        <v>1796</v>
      </c>
      <c r="E22" s="12">
        <v>2424</v>
      </c>
      <c r="F22" s="13">
        <v>3077</v>
      </c>
    </row>
    <row r="23" spans="1:6" ht="15" x14ac:dyDescent="0.2">
      <c r="A23" s="8" t="s">
        <v>39</v>
      </c>
      <c r="B23" s="9">
        <v>0</v>
      </c>
      <c r="C23" s="9">
        <v>0</v>
      </c>
      <c r="D23" s="9">
        <v>0</v>
      </c>
      <c r="E23" s="9">
        <v>312</v>
      </c>
      <c r="F23" s="10">
        <v>0</v>
      </c>
    </row>
    <row r="24" spans="1:6" ht="15" x14ac:dyDescent="0.2">
      <c r="A24" s="11" t="s">
        <v>24</v>
      </c>
      <c r="B24" s="12">
        <v>24</v>
      </c>
      <c r="C24" s="12">
        <v>74</v>
      </c>
      <c r="D24" s="12">
        <v>75</v>
      </c>
      <c r="E24" s="12">
        <v>98</v>
      </c>
      <c r="F24" s="13">
        <v>336</v>
      </c>
    </row>
    <row r="25" spans="1:6" ht="15" x14ac:dyDescent="0.2">
      <c r="A25" s="14" t="s">
        <v>25</v>
      </c>
      <c r="B25" s="15">
        <v>1984</v>
      </c>
      <c r="C25" s="15">
        <v>2359</v>
      </c>
      <c r="D25" s="15">
        <v>2417</v>
      </c>
      <c r="E25" s="15">
        <v>4240</v>
      </c>
      <c r="F25" s="16">
        <v>6369</v>
      </c>
    </row>
    <row r="26" spans="1:6" ht="15" x14ac:dyDescent="0.2">
      <c r="A26" s="17" t="s">
        <v>40</v>
      </c>
      <c r="B26" s="12">
        <v>1114</v>
      </c>
      <c r="C26" s="12">
        <v>486</v>
      </c>
      <c r="D26" s="12">
        <v>330</v>
      </c>
      <c r="E26" s="12">
        <v>1</v>
      </c>
      <c r="F26" s="13">
        <v>2467</v>
      </c>
    </row>
    <row r="27" spans="1:6" ht="15" x14ac:dyDescent="0.2">
      <c r="A27" s="18" t="s">
        <v>26</v>
      </c>
      <c r="B27" s="9">
        <v>0</v>
      </c>
      <c r="C27" s="9">
        <v>199</v>
      </c>
      <c r="D27" s="9">
        <v>201</v>
      </c>
      <c r="E27" s="9">
        <v>348</v>
      </c>
      <c r="F27" s="10">
        <v>396</v>
      </c>
    </row>
    <row r="28" spans="1:6" ht="15" x14ac:dyDescent="0.2">
      <c r="A28" s="17" t="s">
        <v>43</v>
      </c>
      <c r="B28" s="12">
        <v>11</v>
      </c>
      <c r="C28" s="12">
        <v>11</v>
      </c>
      <c r="D28" s="12">
        <v>11</v>
      </c>
      <c r="E28" s="12">
        <v>12</v>
      </c>
      <c r="F28" s="13">
        <v>1934</v>
      </c>
    </row>
    <row r="29" spans="1:6" ht="15" x14ac:dyDescent="0.2">
      <c r="A29" s="18" t="s">
        <v>27</v>
      </c>
      <c r="B29" s="9">
        <v>181</v>
      </c>
      <c r="C29" s="9">
        <v>146</v>
      </c>
      <c r="D29" s="9">
        <v>166</v>
      </c>
      <c r="E29" s="9">
        <v>321</v>
      </c>
      <c r="F29" s="10">
        <v>1664</v>
      </c>
    </row>
    <row r="30" spans="1:6" ht="15" x14ac:dyDescent="0.2">
      <c r="A30" s="5" t="s">
        <v>28</v>
      </c>
      <c r="B30" s="12"/>
      <c r="C30" s="12"/>
      <c r="D30" s="12"/>
      <c r="E30" s="6"/>
      <c r="F30" s="7"/>
    </row>
    <row r="31" spans="1:6" ht="15" x14ac:dyDescent="0.2">
      <c r="A31" s="18" t="s">
        <v>29</v>
      </c>
      <c r="B31" s="9"/>
      <c r="C31" s="9"/>
      <c r="D31" s="9"/>
      <c r="E31" s="19"/>
      <c r="F31" s="20"/>
    </row>
    <row r="32" spans="1:6" ht="15" x14ac:dyDescent="0.2">
      <c r="A32" s="11" t="s">
        <v>30</v>
      </c>
      <c r="B32" s="12">
        <v>10</v>
      </c>
      <c r="C32" s="12">
        <v>12</v>
      </c>
      <c r="D32" s="12">
        <v>12</v>
      </c>
      <c r="E32" s="12">
        <v>12</v>
      </c>
      <c r="F32" s="13">
        <v>16</v>
      </c>
    </row>
    <row r="33" spans="1:6" ht="15" x14ac:dyDescent="0.2">
      <c r="A33" s="8" t="s">
        <v>31</v>
      </c>
      <c r="B33" s="9">
        <v>8750</v>
      </c>
      <c r="C33" s="9">
        <v>9963</v>
      </c>
      <c r="D33" s="9">
        <v>10544</v>
      </c>
      <c r="E33" s="9">
        <v>11069</v>
      </c>
      <c r="F33" s="10">
        <v>58005</v>
      </c>
    </row>
    <row r="34" spans="1:6" ht="15" x14ac:dyDescent="0.2">
      <c r="A34" s="11" t="s">
        <v>32</v>
      </c>
      <c r="B34" s="12">
        <v>-50</v>
      </c>
      <c r="C34" s="12">
        <v>-53</v>
      </c>
      <c r="D34" s="12">
        <v>-131</v>
      </c>
      <c r="E34" s="12">
        <v>-2130</v>
      </c>
      <c r="F34" s="13">
        <v>-3099</v>
      </c>
    </row>
    <row r="35" spans="1:6" ht="15" x14ac:dyDescent="0.2">
      <c r="A35" s="18" t="s">
        <v>33</v>
      </c>
      <c r="B35" s="9">
        <v>-7436</v>
      </c>
      <c r="C35" s="9">
        <v>-7095</v>
      </c>
      <c r="D35" s="9">
        <v>-4605</v>
      </c>
      <c r="E35" s="9">
        <v>-1451</v>
      </c>
      <c r="F35" s="10">
        <v>-131</v>
      </c>
    </row>
    <row r="36" spans="1:6" ht="15" x14ac:dyDescent="0.2">
      <c r="A36" s="17" t="s">
        <v>34</v>
      </c>
      <c r="B36" s="12">
        <v>-8</v>
      </c>
      <c r="C36" s="12">
        <v>0</v>
      </c>
      <c r="D36" s="12">
        <v>17</v>
      </c>
      <c r="E36" s="12">
        <v>-3</v>
      </c>
      <c r="F36" s="13">
        <v>-41</v>
      </c>
    </row>
    <row r="37" spans="1:6" ht="15" x14ac:dyDescent="0.2">
      <c r="A37" s="14" t="s">
        <v>35</v>
      </c>
      <c r="B37" s="15">
        <v>1266</v>
      </c>
      <c r="C37" s="15">
        <v>2827</v>
      </c>
      <c r="D37" s="15">
        <v>5837</v>
      </c>
      <c r="E37" s="15">
        <v>7497</v>
      </c>
      <c r="F37" s="16">
        <v>54750</v>
      </c>
    </row>
    <row r="38" spans="1:6" ht="15" x14ac:dyDescent="0.2">
      <c r="A38" s="21" t="s">
        <v>36</v>
      </c>
      <c r="B38" s="22">
        <v>4556</v>
      </c>
      <c r="C38" s="22">
        <v>6028</v>
      </c>
      <c r="D38" s="22">
        <v>8962</v>
      </c>
      <c r="E38" s="22">
        <v>12419</v>
      </c>
      <c r="F38" s="23">
        <v>67580</v>
      </c>
    </row>
    <row r="40" spans="1:6" ht="15" x14ac:dyDescent="0.2">
      <c r="A40" s="42" t="s">
        <v>44</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D163E-DAFC-4458-9E17-79C967DD69AB}">
  <dimension ref="A1:F25"/>
  <sheetViews>
    <sheetView showGridLines="0" workbookViewId="0">
      <selection activeCell="F9" sqref="F9"/>
    </sheetView>
  </sheetViews>
  <sheetFormatPr defaultRowHeight="14.25" x14ac:dyDescent="0.2"/>
  <cols>
    <col min="1" max="1" width="54.875" customWidth="1"/>
    <col min="2" max="6" width="25.625" customWidth="1"/>
  </cols>
  <sheetData>
    <row r="1" spans="1:6" ht="30" x14ac:dyDescent="0.2">
      <c r="A1" s="2" t="s">
        <v>45</v>
      </c>
      <c r="B1" s="3" t="s">
        <v>2</v>
      </c>
      <c r="C1" s="3" t="s">
        <v>46</v>
      </c>
      <c r="D1" s="3" t="s">
        <v>4</v>
      </c>
      <c r="E1" s="3" t="s">
        <v>5</v>
      </c>
      <c r="F1" s="4" t="s">
        <v>6</v>
      </c>
    </row>
    <row r="2" spans="1:6" ht="15" x14ac:dyDescent="0.2">
      <c r="A2" s="17" t="s">
        <v>48</v>
      </c>
      <c r="B2" s="12">
        <v>6475</v>
      </c>
      <c r="C2" s="12">
        <v>6731</v>
      </c>
      <c r="D2" s="12">
        <v>9763</v>
      </c>
      <c r="E2" s="12">
        <v>16434</v>
      </c>
      <c r="F2" s="13">
        <v>23601</v>
      </c>
    </row>
    <row r="3" spans="1:6" ht="15" x14ac:dyDescent="0.2">
      <c r="A3" s="18" t="s">
        <v>47</v>
      </c>
      <c r="B3" s="9">
        <v>4028</v>
      </c>
      <c r="C3" s="9">
        <v>3863</v>
      </c>
      <c r="D3" s="9">
        <v>5416</v>
      </c>
      <c r="E3" s="9">
        <v>8505</v>
      </c>
      <c r="F3" s="10">
        <v>11550</v>
      </c>
    </row>
    <row r="4" spans="1:6" ht="15" x14ac:dyDescent="0.2">
      <c r="A4" s="17" t="s">
        <v>64</v>
      </c>
      <c r="B4" s="12">
        <v>0</v>
      </c>
      <c r="C4" s="12">
        <v>0</v>
      </c>
      <c r="D4" s="12">
        <v>0</v>
      </c>
      <c r="E4" s="12">
        <v>0</v>
      </c>
      <c r="F4" s="13">
        <v>1448</v>
      </c>
    </row>
    <row r="5" spans="1:6" ht="15" x14ac:dyDescent="0.2">
      <c r="A5" s="18" t="s">
        <v>65</v>
      </c>
      <c r="B5" s="15">
        <v>4028</v>
      </c>
      <c r="C5" s="15">
        <v>3863</v>
      </c>
      <c r="D5" s="15">
        <v>5416</v>
      </c>
      <c r="E5" s="15">
        <v>8505</v>
      </c>
      <c r="F5" s="16">
        <v>12998</v>
      </c>
    </row>
    <row r="6" spans="1:6" ht="15" x14ac:dyDescent="0.2">
      <c r="A6" s="17" t="s">
        <v>49</v>
      </c>
      <c r="B6" s="24">
        <v>2447</v>
      </c>
      <c r="C6" s="24">
        <v>2868</v>
      </c>
      <c r="D6" s="24">
        <v>4347</v>
      </c>
      <c r="E6" s="24">
        <v>7929</v>
      </c>
      <c r="F6" s="25">
        <v>10603</v>
      </c>
    </row>
    <row r="7" spans="1:6" ht="15" x14ac:dyDescent="0.2">
      <c r="A7" s="18" t="s">
        <v>50</v>
      </c>
      <c r="B7" s="9">
        <v>1434</v>
      </c>
      <c r="C7" s="9">
        <v>1547</v>
      </c>
      <c r="D7" s="9">
        <v>1983</v>
      </c>
      <c r="E7" s="9">
        <v>2845</v>
      </c>
      <c r="F7" s="10">
        <v>5005</v>
      </c>
    </row>
    <row r="8" spans="1:6" ht="15" x14ac:dyDescent="0.2">
      <c r="A8" s="17" t="s">
        <v>51</v>
      </c>
      <c r="B8" s="12">
        <v>562</v>
      </c>
      <c r="C8" s="12">
        <v>750</v>
      </c>
      <c r="D8" s="12">
        <v>995</v>
      </c>
      <c r="E8" s="12">
        <v>1448</v>
      </c>
      <c r="F8" s="13">
        <v>2336</v>
      </c>
    </row>
    <row r="9" spans="1:6" ht="15" x14ac:dyDescent="0.2">
      <c r="A9" s="18" t="s">
        <v>64</v>
      </c>
      <c r="B9" s="9">
        <v>0</v>
      </c>
      <c r="C9" s="9">
        <v>0</v>
      </c>
      <c r="D9" s="9">
        <v>0</v>
      </c>
      <c r="E9" s="9">
        <v>0</v>
      </c>
      <c r="F9" s="10">
        <v>2100</v>
      </c>
    </row>
    <row r="10" spans="1:6" ht="15" x14ac:dyDescent="0.2">
      <c r="A10" s="17" t="s">
        <v>52</v>
      </c>
      <c r="B10" s="12">
        <v>0</v>
      </c>
      <c r="C10" s="12">
        <v>-60</v>
      </c>
      <c r="D10" s="12">
        <v>0</v>
      </c>
      <c r="E10" s="12">
        <v>-12</v>
      </c>
      <c r="F10" s="13">
        <v>-102</v>
      </c>
    </row>
    <row r="11" spans="1:6" ht="15" x14ac:dyDescent="0.2">
      <c r="A11" s="18" t="s">
        <v>53</v>
      </c>
      <c r="B11" s="15">
        <v>451</v>
      </c>
      <c r="C11" s="15">
        <v>631</v>
      </c>
      <c r="D11" s="15">
        <v>1369</v>
      </c>
      <c r="E11" s="15">
        <v>3648</v>
      </c>
      <c r="F11" s="16">
        <v>1264</v>
      </c>
    </row>
    <row r="12" spans="1:6" ht="15" x14ac:dyDescent="0.2">
      <c r="A12" s="17" t="s">
        <v>54</v>
      </c>
      <c r="B12" s="12">
        <v>-121</v>
      </c>
      <c r="C12" s="12">
        <v>-94</v>
      </c>
      <c r="D12" s="12">
        <v>-47</v>
      </c>
      <c r="E12" s="12">
        <v>-34</v>
      </c>
      <c r="F12" s="13">
        <v>-88</v>
      </c>
    </row>
    <row r="13" spans="1:6" ht="15" x14ac:dyDescent="0.2">
      <c r="A13" s="18" t="s">
        <v>55</v>
      </c>
      <c r="B13" s="9">
        <v>0</v>
      </c>
      <c r="C13" s="9">
        <v>-165</v>
      </c>
      <c r="D13" s="9">
        <v>-47</v>
      </c>
      <c r="E13" s="9">
        <v>55</v>
      </c>
      <c r="F13" s="10">
        <v>8</v>
      </c>
    </row>
    <row r="14" spans="1:6" ht="15" x14ac:dyDescent="0.2">
      <c r="A14" s="17" t="s">
        <v>56</v>
      </c>
      <c r="B14" s="24">
        <v>330</v>
      </c>
      <c r="C14" s="24">
        <v>372</v>
      </c>
      <c r="D14" s="24">
        <v>1275</v>
      </c>
      <c r="E14" s="24">
        <v>3669</v>
      </c>
      <c r="F14" s="25">
        <v>1184</v>
      </c>
    </row>
    <row r="15" spans="1:6" ht="15" x14ac:dyDescent="0.2">
      <c r="A15" s="18" t="s">
        <v>57</v>
      </c>
      <c r="B15" s="9">
        <v>-9</v>
      </c>
      <c r="C15" s="9">
        <v>31</v>
      </c>
      <c r="D15" s="9">
        <v>-1210</v>
      </c>
      <c r="E15" s="9">
        <v>513</v>
      </c>
      <c r="F15" s="10">
        <v>-122</v>
      </c>
    </row>
    <row r="16" spans="1:6" ht="15" x14ac:dyDescent="0.2">
      <c r="A16" s="17" t="s">
        <v>58</v>
      </c>
      <c r="B16" s="12">
        <v>-2</v>
      </c>
      <c r="C16" s="12">
        <v>0</v>
      </c>
      <c r="D16" s="12">
        <v>5</v>
      </c>
      <c r="E16" s="12">
        <v>6</v>
      </c>
      <c r="F16" s="13">
        <v>14</v>
      </c>
    </row>
    <row r="17" spans="1:6" ht="15" x14ac:dyDescent="0.2">
      <c r="A17" s="18" t="s">
        <v>59</v>
      </c>
      <c r="B17" s="15">
        <v>337</v>
      </c>
      <c r="C17" s="15">
        <v>341</v>
      </c>
      <c r="D17" s="15">
        <v>2490</v>
      </c>
      <c r="E17" s="15">
        <v>3162</v>
      </c>
      <c r="F17" s="16">
        <v>1320</v>
      </c>
    </row>
    <row r="18" spans="1:6" ht="15" x14ac:dyDescent="0.2">
      <c r="A18" s="17" t="s">
        <v>60</v>
      </c>
      <c r="B18" s="12"/>
      <c r="C18" s="12"/>
      <c r="D18" s="12"/>
      <c r="E18" s="12"/>
      <c r="F18" s="13"/>
    </row>
    <row r="19" spans="1:6" ht="15" x14ac:dyDescent="0.2">
      <c r="A19" s="26" t="s">
        <v>61</v>
      </c>
      <c r="B19" s="27">
        <v>0.34</v>
      </c>
      <c r="C19" s="27">
        <v>0.31</v>
      </c>
      <c r="D19" s="27">
        <v>2.1</v>
      </c>
      <c r="E19" s="27">
        <v>2.61</v>
      </c>
      <c r="F19" s="28">
        <v>0.85</v>
      </c>
    </row>
    <row r="20" spans="1:6" ht="15" x14ac:dyDescent="0.2">
      <c r="A20" s="29" t="s">
        <v>62</v>
      </c>
      <c r="B20" s="30">
        <v>0.32</v>
      </c>
      <c r="C20" s="30">
        <v>0.3</v>
      </c>
      <c r="D20" s="30">
        <v>2.06</v>
      </c>
      <c r="E20" s="30">
        <v>2.57</v>
      </c>
      <c r="F20" s="31">
        <v>0.84</v>
      </c>
    </row>
    <row r="21" spans="1:6" ht="15" x14ac:dyDescent="0.2">
      <c r="A21" s="18" t="s">
        <v>63</v>
      </c>
      <c r="B21" s="9"/>
      <c r="C21" s="9"/>
      <c r="D21" s="9"/>
      <c r="E21" s="9"/>
      <c r="F21" s="10"/>
    </row>
    <row r="22" spans="1:6" ht="15" x14ac:dyDescent="0.2">
      <c r="A22" s="29" t="s">
        <v>61</v>
      </c>
      <c r="B22" s="12">
        <v>982</v>
      </c>
      <c r="C22" s="12">
        <v>1091</v>
      </c>
      <c r="D22" s="12">
        <v>1184</v>
      </c>
      <c r="E22" s="12">
        <v>1213</v>
      </c>
      <c r="F22" s="13">
        <v>1561</v>
      </c>
    </row>
    <row r="23" spans="1:6" ht="15" x14ac:dyDescent="0.2">
      <c r="A23" s="32" t="s">
        <v>62</v>
      </c>
      <c r="B23" s="33">
        <v>1064</v>
      </c>
      <c r="C23" s="33">
        <v>1120</v>
      </c>
      <c r="D23" s="33">
        <v>1207</v>
      </c>
      <c r="E23" s="33">
        <v>1229</v>
      </c>
      <c r="F23" s="34">
        <v>1571</v>
      </c>
    </row>
    <row r="25" spans="1:6" ht="15" x14ac:dyDescent="0.2">
      <c r="A25" s="42" t="s">
        <v>66</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B0D4E-CDAE-4149-884F-695A869F541C}">
  <dimension ref="A1:F47"/>
  <sheetViews>
    <sheetView showGridLines="0" topLeftCell="A4" workbookViewId="0">
      <selection activeCell="F32" sqref="F32"/>
    </sheetView>
  </sheetViews>
  <sheetFormatPr defaultRowHeight="14.25" x14ac:dyDescent="0.2"/>
  <cols>
    <col min="1" max="1" width="86.875" customWidth="1"/>
    <col min="2" max="6" width="25.875" customWidth="1"/>
  </cols>
  <sheetData>
    <row r="1" spans="1:6" ht="30" x14ac:dyDescent="0.2">
      <c r="A1" s="2" t="s">
        <v>67</v>
      </c>
      <c r="B1" s="3" t="s">
        <v>2</v>
      </c>
      <c r="C1" s="3" t="s">
        <v>46</v>
      </c>
      <c r="D1" s="3" t="s">
        <v>4</v>
      </c>
      <c r="E1" s="3" t="s">
        <v>5</v>
      </c>
      <c r="F1" s="4" t="s">
        <v>6</v>
      </c>
    </row>
    <row r="2" spans="1:6" ht="15" x14ac:dyDescent="0.2">
      <c r="A2" s="17" t="s">
        <v>68</v>
      </c>
      <c r="B2" s="12"/>
      <c r="C2" s="12"/>
      <c r="D2" s="12"/>
      <c r="E2" s="12"/>
      <c r="F2" s="13"/>
    </row>
    <row r="3" spans="1:6" ht="15" x14ac:dyDescent="0.2">
      <c r="A3" s="26" t="s">
        <v>59</v>
      </c>
      <c r="B3" s="9">
        <v>337</v>
      </c>
      <c r="C3" s="9">
        <v>341</v>
      </c>
      <c r="D3" s="9">
        <v>2490</v>
      </c>
      <c r="E3" s="9">
        <v>3162</v>
      </c>
      <c r="F3" s="10">
        <v>1320</v>
      </c>
    </row>
    <row r="4" spans="1:6" ht="15" x14ac:dyDescent="0.2">
      <c r="A4" s="29" t="s">
        <v>69</v>
      </c>
      <c r="B4" s="12"/>
      <c r="C4" s="12"/>
      <c r="D4" s="12"/>
      <c r="E4" s="12"/>
      <c r="F4" s="13"/>
    </row>
    <row r="5" spans="1:6" ht="15" x14ac:dyDescent="0.2">
      <c r="A5" s="8" t="s">
        <v>70</v>
      </c>
      <c r="B5" s="9">
        <v>170</v>
      </c>
      <c r="C5" s="9">
        <v>222</v>
      </c>
      <c r="D5" s="9">
        <v>312</v>
      </c>
      <c r="E5" s="9">
        <v>407</v>
      </c>
      <c r="F5" s="10">
        <v>4174</v>
      </c>
    </row>
    <row r="6" spans="1:6" ht="15" x14ac:dyDescent="0.2">
      <c r="A6" s="11" t="s">
        <v>71</v>
      </c>
      <c r="B6" s="12">
        <v>137</v>
      </c>
      <c r="C6" s="12">
        <v>197</v>
      </c>
      <c r="D6" s="12">
        <v>274</v>
      </c>
      <c r="E6" s="12">
        <v>379</v>
      </c>
      <c r="F6" s="13">
        <v>1081</v>
      </c>
    </row>
    <row r="7" spans="1:6" ht="15" x14ac:dyDescent="0.2">
      <c r="A7" s="8" t="s">
        <v>72</v>
      </c>
      <c r="B7" s="9">
        <v>38</v>
      </c>
      <c r="C7" s="9">
        <v>30</v>
      </c>
      <c r="D7" s="9">
        <v>14</v>
      </c>
      <c r="E7" s="9">
        <v>5</v>
      </c>
      <c r="F7" s="10">
        <v>0</v>
      </c>
    </row>
    <row r="8" spans="1:6" ht="15" x14ac:dyDescent="0.2">
      <c r="A8" s="11" t="s">
        <v>73</v>
      </c>
      <c r="B8" s="12">
        <v>0</v>
      </c>
      <c r="C8" s="12">
        <v>36</v>
      </c>
      <c r="D8" s="12">
        <v>42</v>
      </c>
      <c r="E8" s="12">
        <v>56</v>
      </c>
      <c r="F8" s="13">
        <v>88</v>
      </c>
    </row>
    <row r="9" spans="1:6" ht="15" x14ac:dyDescent="0.2">
      <c r="A9" s="26" t="s">
        <v>103</v>
      </c>
      <c r="B9" s="9">
        <v>0</v>
      </c>
      <c r="C9" s="9">
        <v>0</v>
      </c>
      <c r="D9" s="9">
        <v>0</v>
      </c>
      <c r="E9" s="9">
        <v>0</v>
      </c>
      <c r="F9" s="10">
        <v>189</v>
      </c>
    </row>
    <row r="10" spans="1:6" ht="15" x14ac:dyDescent="0.2">
      <c r="A10" s="11" t="s">
        <v>74</v>
      </c>
      <c r="B10" s="12">
        <v>12</v>
      </c>
      <c r="C10" s="12">
        <v>176</v>
      </c>
      <c r="D10" s="12">
        <v>54</v>
      </c>
      <c r="E10" s="12">
        <v>7</v>
      </c>
      <c r="F10" s="13">
        <v>0</v>
      </c>
    </row>
    <row r="11" spans="1:6" ht="15" x14ac:dyDescent="0.2">
      <c r="A11" s="8" t="s">
        <v>75</v>
      </c>
      <c r="B11" s="9">
        <v>27</v>
      </c>
      <c r="C11" s="9">
        <v>42</v>
      </c>
      <c r="D11" s="9">
        <v>33</v>
      </c>
      <c r="E11" s="9">
        <v>34</v>
      </c>
      <c r="F11" s="10">
        <v>16</v>
      </c>
    </row>
    <row r="12" spans="1:6" ht="15" x14ac:dyDescent="0.2">
      <c r="A12" s="11" t="s">
        <v>76</v>
      </c>
      <c r="B12" s="12">
        <v>45</v>
      </c>
      <c r="C12" s="12">
        <v>0</v>
      </c>
      <c r="D12" s="12">
        <v>0</v>
      </c>
      <c r="E12" s="12">
        <v>0</v>
      </c>
      <c r="F12" s="13">
        <v>0</v>
      </c>
    </row>
    <row r="13" spans="1:6" ht="15" x14ac:dyDescent="0.2">
      <c r="A13" s="8" t="s">
        <v>77</v>
      </c>
      <c r="B13" s="9">
        <v>-4</v>
      </c>
      <c r="C13" s="9">
        <v>-7</v>
      </c>
      <c r="D13" s="9">
        <v>-1223</v>
      </c>
      <c r="E13" s="9">
        <v>308</v>
      </c>
      <c r="F13" s="10">
        <v>-1505</v>
      </c>
    </row>
    <row r="14" spans="1:6" ht="15" x14ac:dyDescent="0.2">
      <c r="A14" s="11" t="s">
        <v>101</v>
      </c>
      <c r="B14" s="12">
        <v>0</v>
      </c>
      <c r="C14" s="12">
        <v>-1</v>
      </c>
      <c r="D14" s="12">
        <v>-2</v>
      </c>
      <c r="E14" s="12">
        <v>-56</v>
      </c>
      <c r="F14" s="13">
        <v>62</v>
      </c>
    </row>
    <row r="15" spans="1:6" ht="15" x14ac:dyDescent="0.2">
      <c r="A15" s="8" t="s">
        <v>78</v>
      </c>
      <c r="B15" s="9">
        <v>-1</v>
      </c>
      <c r="C15" s="9">
        <v>-1</v>
      </c>
      <c r="D15" s="9">
        <v>8</v>
      </c>
      <c r="E15" s="9">
        <v>-7</v>
      </c>
      <c r="F15" s="10">
        <v>-14</v>
      </c>
    </row>
    <row r="16" spans="1:6" ht="15" x14ac:dyDescent="0.2">
      <c r="A16" s="29" t="s">
        <v>95</v>
      </c>
      <c r="B16" s="12"/>
      <c r="C16" s="12"/>
      <c r="D16" s="12"/>
      <c r="E16" s="12"/>
      <c r="F16" s="13"/>
    </row>
    <row r="17" spans="1:6" ht="15" x14ac:dyDescent="0.2">
      <c r="A17" s="8" t="s">
        <v>79</v>
      </c>
      <c r="B17" s="9">
        <v>-806</v>
      </c>
      <c r="C17" s="9">
        <v>-623</v>
      </c>
      <c r="D17" s="9">
        <v>-219</v>
      </c>
      <c r="E17" s="9">
        <v>-640</v>
      </c>
      <c r="F17" s="10">
        <v>-1091</v>
      </c>
    </row>
    <row r="18" spans="1:6" ht="15" x14ac:dyDescent="0.2">
      <c r="A18" s="11" t="s">
        <v>80</v>
      </c>
      <c r="B18" s="12">
        <v>-151</v>
      </c>
      <c r="C18" s="12">
        <v>-137</v>
      </c>
      <c r="D18" s="12">
        <v>-417</v>
      </c>
      <c r="E18" s="12">
        <v>-556</v>
      </c>
      <c r="F18" s="13">
        <v>-1401</v>
      </c>
    </row>
    <row r="19" spans="1:6" ht="15" x14ac:dyDescent="0.2">
      <c r="A19" s="8" t="s">
        <v>11</v>
      </c>
      <c r="B19" s="9">
        <v>-28</v>
      </c>
      <c r="C19" s="9">
        <v>14</v>
      </c>
      <c r="D19" s="9">
        <v>10</v>
      </c>
      <c r="E19" s="9">
        <v>8</v>
      </c>
      <c r="F19" s="10">
        <v>-13</v>
      </c>
    </row>
    <row r="20" spans="1:6" ht="15" x14ac:dyDescent="0.2">
      <c r="A20" s="11" t="s">
        <v>81</v>
      </c>
      <c r="B20" s="12">
        <v>-70</v>
      </c>
      <c r="C20" s="12">
        <v>-176</v>
      </c>
      <c r="D20" s="12">
        <v>-231</v>
      </c>
      <c r="E20" s="12">
        <v>-920</v>
      </c>
      <c r="F20" s="13">
        <v>-1197</v>
      </c>
    </row>
    <row r="21" spans="1:6" ht="15" x14ac:dyDescent="0.2">
      <c r="A21" s="8" t="s">
        <v>22</v>
      </c>
      <c r="B21" s="9">
        <v>35</v>
      </c>
      <c r="C21" s="9">
        <v>7</v>
      </c>
      <c r="D21" s="9">
        <v>-135</v>
      </c>
      <c r="E21" s="9">
        <v>7</v>
      </c>
      <c r="F21" s="10">
        <v>379</v>
      </c>
    </row>
    <row r="22" spans="1:6" ht="15" x14ac:dyDescent="0.2">
      <c r="A22" s="11" t="s">
        <v>21</v>
      </c>
      <c r="B22" s="12">
        <v>212</v>
      </c>
      <c r="C22" s="12">
        <v>153</v>
      </c>
      <c r="D22" s="12">
        <v>-513</v>
      </c>
      <c r="E22" s="12">
        <v>801</v>
      </c>
      <c r="F22" s="13">
        <v>931</v>
      </c>
    </row>
    <row r="23" spans="1:6" ht="15" x14ac:dyDescent="0.2">
      <c r="A23" s="8" t="s">
        <v>96</v>
      </c>
      <c r="B23" s="9">
        <v>81</v>
      </c>
      <c r="C23" s="9">
        <v>220</v>
      </c>
      <c r="D23" s="9">
        <v>574</v>
      </c>
      <c r="E23" s="9">
        <v>526</v>
      </c>
      <c r="F23" s="10">
        <v>546</v>
      </c>
    </row>
    <row r="24" spans="1:6" ht="15" x14ac:dyDescent="0.2">
      <c r="A24" s="17" t="s">
        <v>82</v>
      </c>
      <c r="B24" s="24">
        <v>34</v>
      </c>
      <c r="C24" s="24">
        <v>493</v>
      </c>
      <c r="D24" s="24">
        <v>1071</v>
      </c>
      <c r="E24" s="24">
        <v>3521</v>
      </c>
      <c r="F24" s="25">
        <v>3565</v>
      </c>
    </row>
    <row r="25" spans="1:6" ht="15" x14ac:dyDescent="0.2">
      <c r="A25" s="18" t="s">
        <v>83</v>
      </c>
      <c r="B25" s="15"/>
      <c r="C25" s="15"/>
      <c r="D25" s="15"/>
      <c r="E25" s="15"/>
      <c r="F25" s="16"/>
    </row>
    <row r="26" spans="1:6" ht="15" x14ac:dyDescent="0.2">
      <c r="A26" s="29" t="s">
        <v>84</v>
      </c>
      <c r="B26" s="12">
        <v>-123</v>
      </c>
      <c r="C26" s="12">
        <v>-284</v>
      </c>
      <c r="D26" s="12">
        <v>-850</v>
      </c>
      <c r="E26" s="12">
        <v>-2056</v>
      </c>
      <c r="F26" s="13">
        <v>-2667</v>
      </c>
    </row>
    <row r="27" spans="1:6" ht="15" x14ac:dyDescent="0.2">
      <c r="A27" s="26" t="s">
        <v>85</v>
      </c>
      <c r="B27" s="9">
        <v>-163</v>
      </c>
      <c r="C27" s="9">
        <v>-217</v>
      </c>
      <c r="D27" s="9">
        <v>-294</v>
      </c>
      <c r="E27" s="9">
        <v>-301</v>
      </c>
      <c r="F27" s="10">
        <v>-450</v>
      </c>
    </row>
    <row r="28" spans="1:6" ht="15" x14ac:dyDescent="0.2">
      <c r="A28" s="29" t="s">
        <v>86</v>
      </c>
      <c r="B28" s="12">
        <v>45</v>
      </c>
      <c r="C28" s="12">
        <v>325</v>
      </c>
      <c r="D28" s="12">
        <v>192</v>
      </c>
      <c r="E28" s="12">
        <v>1678</v>
      </c>
      <c r="F28" s="13">
        <v>4310</v>
      </c>
    </row>
    <row r="29" spans="1:6" ht="15" x14ac:dyDescent="0.2">
      <c r="A29" s="26" t="s">
        <v>104</v>
      </c>
      <c r="B29" s="9">
        <v>0</v>
      </c>
      <c r="C29" s="9">
        <v>0</v>
      </c>
      <c r="D29" s="9">
        <v>0</v>
      </c>
      <c r="E29" s="9">
        <v>0</v>
      </c>
      <c r="F29" s="10">
        <v>2366</v>
      </c>
    </row>
    <row r="30" spans="1:6" ht="15" x14ac:dyDescent="0.2">
      <c r="A30" s="29" t="s">
        <v>105</v>
      </c>
      <c r="B30" s="12">
        <v>0</v>
      </c>
      <c r="C30" s="12">
        <v>0</v>
      </c>
      <c r="D30" s="12">
        <v>0</v>
      </c>
      <c r="E30" s="12">
        <v>0</v>
      </c>
      <c r="F30" s="13">
        <v>-1544</v>
      </c>
    </row>
    <row r="31" spans="1:6" ht="15" x14ac:dyDescent="0.2">
      <c r="A31" s="26" t="s">
        <v>87</v>
      </c>
      <c r="B31" s="9">
        <v>71</v>
      </c>
      <c r="C31" s="9">
        <v>25</v>
      </c>
      <c r="D31" s="9">
        <v>0</v>
      </c>
      <c r="E31" s="9">
        <v>0</v>
      </c>
      <c r="F31" s="10">
        <v>0</v>
      </c>
    </row>
    <row r="32" spans="1:6" ht="15" x14ac:dyDescent="0.2">
      <c r="A32" s="29" t="s">
        <v>78</v>
      </c>
      <c r="B32" s="12">
        <v>0</v>
      </c>
      <c r="C32" s="12">
        <v>2</v>
      </c>
      <c r="D32" s="12">
        <v>0</v>
      </c>
      <c r="E32" s="12">
        <v>-7</v>
      </c>
      <c r="F32" s="13">
        <v>-16</v>
      </c>
    </row>
    <row r="33" spans="1:6" ht="15" x14ac:dyDescent="0.2">
      <c r="A33" s="18" t="s">
        <v>88</v>
      </c>
      <c r="B33" s="15">
        <v>-170</v>
      </c>
      <c r="C33" s="15">
        <v>-149</v>
      </c>
      <c r="D33" s="15">
        <v>-952</v>
      </c>
      <c r="E33" s="15">
        <v>-686</v>
      </c>
      <c r="F33" s="16">
        <v>1999</v>
      </c>
    </row>
    <row r="34" spans="1:6" ht="15" x14ac:dyDescent="0.2">
      <c r="A34" s="17" t="s">
        <v>89</v>
      </c>
      <c r="B34" s="24"/>
      <c r="C34" s="24"/>
      <c r="D34" s="24"/>
      <c r="E34" s="24"/>
      <c r="F34" s="25"/>
    </row>
    <row r="35" spans="1:6" ht="15" x14ac:dyDescent="0.2">
      <c r="A35" s="26" t="s">
        <v>97</v>
      </c>
      <c r="B35" s="9">
        <v>0</v>
      </c>
      <c r="C35" s="9">
        <v>0</v>
      </c>
      <c r="D35" s="9">
        <v>200</v>
      </c>
      <c r="E35" s="9">
        <v>0</v>
      </c>
      <c r="F35" s="10">
        <v>991</v>
      </c>
    </row>
    <row r="36" spans="1:6" ht="15" x14ac:dyDescent="0.2">
      <c r="A36" s="29" t="s">
        <v>98</v>
      </c>
      <c r="B36" s="12">
        <v>-41</v>
      </c>
      <c r="C36" s="12">
        <v>-473</v>
      </c>
      <c r="D36" s="12">
        <v>-200</v>
      </c>
      <c r="E36" s="12">
        <v>0</v>
      </c>
      <c r="F36" s="13">
        <v>-312</v>
      </c>
    </row>
    <row r="37" spans="1:6" ht="15" x14ac:dyDescent="0.2">
      <c r="A37" s="26" t="s">
        <v>90</v>
      </c>
      <c r="B37" s="9">
        <v>0</v>
      </c>
      <c r="C37" s="9">
        <v>449</v>
      </c>
      <c r="D37" s="9">
        <v>0</v>
      </c>
      <c r="E37" s="9">
        <v>0</v>
      </c>
      <c r="F37" s="10">
        <v>0</v>
      </c>
    </row>
    <row r="38" spans="1:6" ht="15" x14ac:dyDescent="0.2">
      <c r="A38" s="29" t="s">
        <v>99</v>
      </c>
      <c r="B38" s="12">
        <v>70</v>
      </c>
      <c r="C38" s="12">
        <v>74</v>
      </c>
      <c r="D38" s="12">
        <v>85</v>
      </c>
      <c r="E38" s="12">
        <v>104</v>
      </c>
      <c r="F38" s="13">
        <v>167</v>
      </c>
    </row>
    <row r="39" spans="1:6" ht="15" x14ac:dyDescent="0.2">
      <c r="A39" s="26" t="s">
        <v>102</v>
      </c>
      <c r="B39" s="9">
        <v>0</v>
      </c>
      <c r="C39" s="9">
        <v>0</v>
      </c>
      <c r="D39" s="9">
        <v>0</v>
      </c>
      <c r="E39" s="9">
        <v>-1762</v>
      </c>
      <c r="F39" s="10">
        <v>-3702</v>
      </c>
    </row>
    <row r="40" spans="1:6" ht="15" x14ac:dyDescent="0.2">
      <c r="A40" s="29" t="s">
        <v>100</v>
      </c>
      <c r="B40" s="12">
        <v>-6</v>
      </c>
      <c r="C40" s="12">
        <v>-6</v>
      </c>
      <c r="D40" s="12">
        <v>-78</v>
      </c>
      <c r="E40" s="12">
        <v>-237</v>
      </c>
      <c r="F40" s="13">
        <v>-406</v>
      </c>
    </row>
    <row r="41" spans="1:6" ht="15" x14ac:dyDescent="0.2">
      <c r="A41" s="26" t="s">
        <v>78</v>
      </c>
      <c r="B41" s="9">
        <v>5</v>
      </c>
      <c r="C41" s="9">
        <v>-1</v>
      </c>
      <c r="D41" s="9">
        <v>-1</v>
      </c>
      <c r="E41" s="9">
        <v>0</v>
      </c>
      <c r="F41" s="10">
        <v>-2</v>
      </c>
    </row>
    <row r="42" spans="1:6" ht="15" x14ac:dyDescent="0.2">
      <c r="A42" s="17" t="s">
        <v>91</v>
      </c>
      <c r="B42" s="24">
        <v>28</v>
      </c>
      <c r="C42" s="24">
        <v>43</v>
      </c>
      <c r="D42" s="24">
        <v>6</v>
      </c>
      <c r="E42" s="24">
        <v>-1895</v>
      </c>
      <c r="F42" s="25">
        <v>-3264</v>
      </c>
    </row>
    <row r="43" spans="1:6" ht="15" x14ac:dyDescent="0.2">
      <c r="A43" s="18" t="s">
        <v>92</v>
      </c>
      <c r="B43" s="15">
        <v>-108</v>
      </c>
      <c r="C43" s="15">
        <v>387</v>
      </c>
      <c r="D43" s="15">
        <v>125</v>
      </c>
      <c r="E43" s="15">
        <v>940</v>
      </c>
      <c r="F43" s="16">
        <v>2300</v>
      </c>
    </row>
    <row r="44" spans="1:6" ht="15" x14ac:dyDescent="0.2">
      <c r="A44" s="17" t="s">
        <v>93</v>
      </c>
      <c r="B44" s="12">
        <v>1191</v>
      </c>
      <c r="C44" s="12">
        <v>1083</v>
      </c>
      <c r="D44" s="12">
        <v>1470</v>
      </c>
      <c r="E44" s="12">
        <v>1595</v>
      </c>
      <c r="F44" s="13">
        <v>2535</v>
      </c>
    </row>
    <row r="45" spans="1:6" ht="15" x14ac:dyDescent="0.2">
      <c r="A45" s="44" t="s">
        <v>94</v>
      </c>
      <c r="B45" s="45">
        <v>1083</v>
      </c>
      <c r="C45" s="45">
        <v>1470</v>
      </c>
      <c r="D45" s="45">
        <v>1595</v>
      </c>
      <c r="E45" s="45">
        <v>2535</v>
      </c>
      <c r="F45" s="46">
        <v>4835</v>
      </c>
    </row>
    <row r="47" spans="1:6" ht="15" x14ac:dyDescent="0.2">
      <c r="A47" s="42" t="s">
        <v>66</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3A61F-918D-45DE-B084-82E227FCB643}">
  <dimension ref="A1:Q63"/>
  <sheetViews>
    <sheetView showGridLines="0" workbookViewId="0">
      <selection activeCell="E25" sqref="E25"/>
    </sheetView>
  </sheetViews>
  <sheetFormatPr defaultRowHeight="14.25" x14ac:dyDescent="0.2"/>
  <cols>
    <col min="1" max="1" width="59.625" customWidth="1"/>
    <col min="2" max="6" width="25.625" customWidth="1"/>
  </cols>
  <sheetData>
    <row r="1" spans="1:6" ht="49.5" customHeight="1" x14ac:dyDescent="0.2">
      <c r="A1" s="2" t="s">
        <v>1</v>
      </c>
      <c r="B1" s="3" t="s">
        <v>2</v>
      </c>
      <c r="C1" s="3" t="s">
        <v>3</v>
      </c>
      <c r="D1" s="3" t="s">
        <v>4</v>
      </c>
      <c r="E1" s="3" t="s">
        <v>5</v>
      </c>
      <c r="F1" s="4" t="s">
        <v>6</v>
      </c>
    </row>
    <row r="2" spans="1:6" ht="15" x14ac:dyDescent="0.2">
      <c r="A2" s="5" t="s">
        <v>7</v>
      </c>
      <c r="B2" s="6"/>
      <c r="C2" s="6"/>
      <c r="D2" s="6"/>
      <c r="E2" s="6"/>
      <c r="F2" s="7"/>
    </row>
    <row r="3" spans="1:6" ht="15" x14ac:dyDescent="0.2">
      <c r="A3" s="35" t="s">
        <v>106</v>
      </c>
      <c r="B3" s="9">
        <f>B45+B46</f>
        <v>1156</v>
      </c>
      <c r="C3" s="9">
        <f>C45+C46</f>
        <v>1503</v>
      </c>
      <c r="D3" s="9">
        <f>D45+D46</f>
        <v>2290</v>
      </c>
      <c r="E3" s="9">
        <f>E45+E46</f>
        <v>3608</v>
      </c>
      <c r="F3" s="10">
        <f>F45+F46</f>
        <v>5855</v>
      </c>
    </row>
    <row r="4" spans="1:6" ht="15" x14ac:dyDescent="0.2">
      <c r="A4" s="11" t="s">
        <v>9</v>
      </c>
      <c r="B4" s="12">
        <v>1235</v>
      </c>
      <c r="C4" s="12">
        <v>1859</v>
      </c>
      <c r="D4" s="12">
        <v>2066</v>
      </c>
      <c r="E4" s="12">
        <v>2706</v>
      </c>
      <c r="F4" s="13">
        <v>4126</v>
      </c>
    </row>
    <row r="5" spans="1:6" ht="15" x14ac:dyDescent="0.2">
      <c r="A5" s="8" t="s">
        <v>10</v>
      </c>
      <c r="B5" s="9">
        <v>845</v>
      </c>
      <c r="C5" s="9">
        <v>982</v>
      </c>
      <c r="D5" s="9">
        <v>1399</v>
      </c>
      <c r="E5" s="9">
        <v>1955</v>
      </c>
      <c r="F5" s="10">
        <v>3771</v>
      </c>
    </row>
    <row r="6" spans="1:6" ht="15" x14ac:dyDescent="0.2">
      <c r="A6" s="11" t="s">
        <v>11</v>
      </c>
      <c r="B6" s="12">
        <v>34</v>
      </c>
      <c r="C6" s="12">
        <v>20</v>
      </c>
      <c r="D6" s="12">
        <v>10</v>
      </c>
      <c r="E6" s="12">
        <v>2</v>
      </c>
      <c r="F6" s="13">
        <v>2</v>
      </c>
    </row>
    <row r="7" spans="1:6" ht="15" x14ac:dyDescent="0.2">
      <c r="A7" s="8" t="s">
        <v>12</v>
      </c>
      <c r="B7" s="9">
        <v>270</v>
      </c>
      <c r="C7" s="9">
        <v>233</v>
      </c>
      <c r="D7" s="9">
        <v>378</v>
      </c>
      <c r="E7" s="9">
        <v>312</v>
      </c>
      <c r="F7" s="10">
        <v>1265</v>
      </c>
    </row>
    <row r="8" spans="1:6" ht="15" x14ac:dyDescent="0.2">
      <c r="A8" s="5" t="s">
        <v>13</v>
      </c>
      <c r="B8" s="24">
        <v>3540</v>
      </c>
      <c r="C8" s="24">
        <v>4597</v>
      </c>
      <c r="D8" s="24">
        <v>6143</v>
      </c>
      <c r="E8" s="24">
        <v>8583</v>
      </c>
      <c r="F8" s="25">
        <v>15019</v>
      </c>
    </row>
    <row r="9" spans="1:6" ht="15" x14ac:dyDescent="0.2">
      <c r="A9" s="89" t="s">
        <v>136</v>
      </c>
      <c r="B9" s="9">
        <f>B48</f>
        <v>442</v>
      </c>
      <c r="C9" s="9">
        <f t="shared" ref="C9:F9" si="0">C48</f>
        <v>642</v>
      </c>
      <c r="D9" s="9">
        <f t="shared" si="0"/>
        <v>858</v>
      </c>
      <c r="E9" s="9">
        <f t="shared" si="0"/>
        <v>998</v>
      </c>
      <c r="F9" s="10">
        <f t="shared" si="0"/>
        <v>1952</v>
      </c>
    </row>
    <row r="10" spans="1:6" ht="15" x14ac:dyDescent="0.2">
      <c r="A10" s="38" t="s">
        <v>135</v>
      </c>
      <c r="B10" s="12">
        <v>94</v>
      </c>
      <c r="C10" s="12">
        <v>142</v>
      </c>
      <c r="D10" s="12">
        <v>217</v>
      </c>
      <c r="E10" s="12">
        <v>296</v>
      </c>
      <c r="F10" s="13">
        <v>439</v>
      </c>
    </row>
    <row r="11" spans="1:6" ht="15" x14ac:dyDescent="0.2">
      <c r="A11" s="89" t="s">
        <v>142</v>
      </c>
      <c r="B11" s="9">
        <f>B9-B10</f>
        <v>348</v>
      </c>
      <c r="C11" s="9">
        <f t="shared" ref="C11:F11" si="1">C9-C10</f>
        <v>500</v>
      </c>
      <c r="D11" s="9">
        <f t="shared" si="1"/>
        <v>641</v>
      </c>
      <c r="E11" s="9">
        <f t="shared" si="1"/>
        <v>702</v>
      </c>
      <c r="F11" s="10">
        <f t="shared" si="1"/>
        <v>1513</v>
      </c>
    </row>
    <row r="12" spans="1:6" ht="15" x14ac:dyDescent="0.2">
      <c r="A12" s="17" t="s">
        <v>15</v>
      </c>
      <c r="B12" s="12">
        <v>0</v>
      </c>
      <c r="C12" s="12">
        <v>205</v>
      </c>
      <c r="D12" s="12">
        <v>208</v>
      </c>
      <c r="E12" s="12">
        <v>367</v>
      </c>
      <c r="F12" s="13">
        <v>460</v>
      </c>
    </row>
    <row r="13" spans="1:6" ht="15" x14ac:dyDescent="0.2">
      <c r="A13" s="18" t="s">
        <v>16</v>
      </c>
      <c r="B13" s="9">
        <v>289</v>
      </c>
      <c r="C13" s="9">
        <v>289</v>
      </c>
      <c r="D13" s="9">
        <v>289</v>
      </c>
      <c r="E13" s="9">
        <v>289</v>
      </c>
      <c r="F13" s="10">
        <v>24177</v>
      </c>
    </row>
    <row r="14" spans="1:6" ht="15" x14ac:dyDescent="0.2">
      <c r="A14" s="17" t="s">
        <v>42</v>
      </c>
      <c r="B14" s="12">
        <v>0</v>
      </c>
      <c r="C14" s="12">
        <v>0</v>
      </c>
      <c r="D14" s="12">
        <v>0</v>
      </c>
      <c r="E14" s="12">
        <v>0</v>
      </c>
      <c r="F14" s="13">
        <v>24118</v>
      </c>
    </row>
    <row r="15" spans="1:6" ht="15" x14ac:dyDescent="0.2">
      <c r="A15" s="18" t="s">
        <v>37</v>
      </c>
      <c r="B15" s="9">
        <v>15</v>
      </c>
      <c r="C15" s="9">
        <v>22</v>
      </c>
      <c r="D15" s="9">
        <v>1245</v>
      </c>
      <c r="E15" s="9">
        <v>931</v>
      </c>
      <c r="F15" s="10">
        <v>58</v>
      </c>
    </row>
    <row r="16" spans="1:6" ht="15" x14ac:dyDescent="0.2">
      <c r="A16" s="38" t="s">
        <v>137</v>
      </c>
      <c r="B16" s="12">
        <f>B53+B54</f>
        <v>364</v>
      </c>
      <c r="C16" s="12">
        <f>C53+C54</f>
        <v>415</v>
      </c>
      <c r="D16" s="12">
        <f>D53+D54</f>
        <v>436</v>
      </c>
      <c r="E16" s="12">
        <f>E53+E54</f>
        <v>1547</v>
      </c>
      <c r="F16" s="37">
        <f>F53+F54</f>
        <v>2235</v>
      </c>
    </row>
    <row r="17" spans="1:6" ht="15" x14ac:dyDescent="0.2">
      <c r="A17" s="14" t="s">
        <v>18</v>
      </c>
      <c r="B17" s="15">
        <v>4556</v>
      </c>
      <c r="C17" s="15">
        <v>6028</v>
      </c>
      <c r="D17" s="15">
        <v>8962</v>
      </c>
      <c r="E17" s="15">
        <v>12419</v>
      </c>
      <c r="F17" s="16">
        <v>67580</v>
      </c>
    </row>
    <row r="18" spans="1:6" ht="15" x14ac:dyDescent="0.2">
      <c r="A18" s="5" t="s">
        <v>19</v>
      </c>
      <c r="B18" s="12"/>
      <c r="C18" s="12"/>
      <c r="D18" s="12"/>
      <c r="E18" s="6"/>
      <c r="F18" s="7"/>
    </row>
    <row r="19" spans="1:6" ht="15" x14ac:dyDescent="0.2">
      <c r="A19" s="8" t="s">
        <v>20</v>
      </c>
      <c r="B19" s="9">
        <v>136</v>
      </c>
      <c r="C19" s="9">
        <v>0</v>
      </c>
      <c r="D19" s="9">
        <v>0</v>
      </c>
      <c r="E19" s="9">
        <v>0</v>
      </c>
      <c r="F19" s="10">
        <v>0</v>
      </c>
    </row>
    <row r="20" spans="1:6" ht="15" x14ac:dyDescent="0.2">
      <c r="A20" s="11" t="s">
        <v>21</v>
      </c>
      <c r="B20" s="12">
        <v>834</v>
      </c>
      <c r="C20" s="12">
        <v>988</v>
      </c>
      <c r="D20" s="12">
        <v>468</v>
      </c>
      <c r="E20" s="12">
        <v>1321</v>
      </c>
      <c r="F20" s="13">
        <v>2493</v>
      </c>
    </row>
    <row r="21" spans="1:6" ht="15" x14ac:dyDescent="0.2">
      <c r="A21" s="8" t="s">
        <v>22</v>
      </c>
      <c r="B21" s="9">
        <v>207</v>
      </c>
      <c r="C21" s="9">
        <v>213</v>
      </c>
      <c r="D21" s="9">
        <v>78</v>
      </c>
      <c r="E21" s="9">
        <v>85</v>
      </c>
      <c r="F21" s="10">
        <v>463</v>
      </c>
    </row>
    <row r="22" spans="1:6" ht="15" x14ac:dyDescent="0.2">
      <c r="A22" s="11" t="s">
        <v>23</v>
      </c>
      <c r="B22" s="12">
        <v>783</v>
      </c>
      <c r="C22" s="12">
        <v>1084</v>
      </c>
      <c r="D22" s="12">
        <v>1796</v>
      </c>
      <c r="E22" s="12">
        <v>2424</v>
      </c>
      <c r="F22" s="13">
        <v>3077</v>
      </c>
    </row>
    <row r="23" spans="1:6" ht="15" x14ac:dyDescent="0.2">
      <c r="A23" s="8" t="s">
        <v>39</v>
      </c>
      <c r="B23" s="9">
        <v>0</v>
      </c>
      <c r="C23" s="9">
        <v>0</v>
      </c>
      <c r="D23" s="9">
        <v>0</v>
      </c>
      <c r="E23" s="9">
        <v>312</v>
      </c>
      <c r="F23" s="10">
        <v>0</v>
      </c>
    </row>
    <row r="24" spans="1:6" ht="15" x14ac:dyDescent="0.2">
      <c r="A24" s="11" t="s">
        <v>24</v>
      </c>
      <c r="B24" s="12">
        <v>24</v>
      </c>
      <c r="C24" s="12">
        <v>74</v>
      </c>
      <c r="D24" s="12">
        <v>75</v>
      </c>
      <c r="E24" s="12">
        <v>98</v>
      </c>
      <c r="F24" s="13">
        <v>336</v>
      </c>
    </row>
    <row r="25" spans="1:6" ht="15" x14ac:dyDescent="0.2">
      <c r="A25" s="14" t="s">
        <v>25</v>
      </c>
      <c r="B25" s="15">
        <v>1984</v>
      </c>
      <c r="C25" s="15">
        <v>2359</v>
      </c>
      <c r="D25" s="15">
        <v>2417</v>
      </c>
      <c r="E25" s="15">
        <v>4240</v>
      </c>
      <c r="F25" s="16">
        <v>6369</v>
      </c>
    </row>
    <row r="26" spans="1:6" ht="15" x14ac:dyDescent="0.2">
      <c r="A26" s="17" t="s">
        <v>40</v>
      </c>
      <c r="B26" s="12">
        <v>1114</v>
      </c>
      <c r="C26" s="12">
        <v>486</v>
      </c>
      <c r="D26" s="12">
        <v>330</v>
      </c>
      <c r="E26" s="12">
        <v>1</v>
      </c>
      <c r="F26" s="13">
        <v>2467</v>
      </c>
    </row>
    <row r="27" spans="1:6" ht="15" x14ac:dyDescent="0.2">
      <c r="A27" s="18" t="s">
        <v>26</v>
      </c>
      <c r="B27" s="9">
        <v>0</v>
      </c>
      <c r="C27" s="9">
        <v>199</v>
      </c>
      <c r="D27" s="9">
        <v>201</v>
      </c>
      <c r="E27" s="9">
        <v>348</v>
      </c>
      <c r="F27" s="10">
        <v>396</v>
      </c>
    </row>
    <row r="28" spans="1:6" ht="15" x14ac:dyDescent="0.2">
      <c r="A28" s="125" t="s">
        <v>234</v>
      </c>
      <c r="B28" s="143">
        <v>0</v>
      </c>
      <c r="C28" s="143">
        <v>0</v>
      </c>
      <c r="D28" s="143">
        <v>0</v>
      </c>
      <c r="E28" s="143">
        <v>0</v>
      </c>
      <c r="F28" s="130">
        <v>0</v>
      </c>
    </row>
    <row r="29" spans="1:6" ht="15" x14ac:dyDescent="0.2">
      <c r="A29" s="18" t="s">
        <v>43</v>
      </c>
      <c r="B29" s="9">
        <v>11</v>
      </c>
      <c r="C29" s="9">
        <v>11</v>
      </c>
      <c r="D29" s="9">
        <v>11</v>
      </c>
      <c r="E29" s="9">
        <v>12</v>
      </c>
      <c r="F29" s="10">
        <v>1934</v>
      </c>
    </row>
    <row r="30" spans="1:6" ht="15" x14ac:dyDescent="0.2">
      <c r="A30" s="17" t="s">
        <v>27</v>
      </c>
      <c r="B30" s="12">
        <v>181</v>
      </c>
      <c r="C30" s="12">
        <v>146</v>
      </c>
      <c r="D30" s="12">
        <v>166</v>
      </c>
      <c r="E30" s="12">
        <v>321</v>
      </c>
      <c r="F30" s="13">
        <v>1664</v>
      </c>
    </row>
    <row r="31" spans="1:6" ht="15" x14ac:dyDescent="0.2">
      <c r="A31" s="14" t="s">
        <v>28</v>
      </c>
      <c r="B31" s="9"/>
      <c r="C31" s="9"/>
      <c r="D31" s="9"/>
      <c r="E31" s="19"/>
      <c r="F31" s="20"/>
    </row>
    <row r="32" spans="1:6" ht="15" x14ac:dyDescent="0.2">
      <c r="A32" s="17" t="s">
        <v>29</v>
      </c>
      <c r="B32" s="12"/>
      <c r="C32" s="12"/>
      <c r="D32" s="12"/>
      <c r="E32" s="6"/>
      <c r="F32" s="7"/>
    </row>
    <row r="33" spans="1:17" ht="15" x14ac:dyDescent="0.2">
      <c r="A33" s="35" t="s">
        <v>143</v>
      </c>
      <c r="B33" s="9">
        <f>B57+B58</f>
        <v>8760</v>
      </c>
      <c r="C33" s="9">
        <f>C57+C58</f>
        <v>9975</v>
      </c>
      <c r="D33" s="9">
        <f>D57+D58</f>
        <v>10556</v>
      </c>
      <c r="E33" s="9">
        <f>E57+E58</f>
        <v>11081</v>
      </c>
      <c r="F33" s="10">
        <f>F57+F58</f>
        <v>58021</v>
      </c>
    </row>
    <row r="34" spans="1:17" ht="15" x14ac:dyDescent="0.2">
      <c r="A34" s="11" t="s">
        <v>32</v>
      </c>
      <c r="B34" s="12">
        <v>-50</v>
      </c>
      <c r="C34" s="12">
        <v>-53</v>
      </c>
      <c r="D34" s="12">
        <v>-131</v>
      </c>
      <c r="E34" s="12">
        <v>-2130</v>
      </c>
      <c r="F34" s="13">
        <v>-3099</v>
      </c>
    </row>
    <row r="35" spans="1:17" ht="15" x14ac:dyDescent="0.2">
      <c r="A35" s="50" t="s">
        <v>33</v>
      </c>
      <c r="B35" s="9">
        <v>-7436</v>
      </c>
      <c r="C35" s="9">
        <v>-7095</v>
      </c>
      <c r="D35" s="9">
        <v>-4605</v>
      </c>
      <c r="E35" s="9">
        <v>-1451</v>
      </c>
      <c r="F35" s="10">
        <v>-131</v>
      </c>
    </row>
    <row r="36" spans="1:17" ht="15" x14ac:dyDescent="0.2">
      <c r="A36" s="49" t="s">
        <v>34</v>
      </c>
      <c r="B36" s="36">
        <v>-8</v>
      </c>
      <c r="C36" s="36">
        <v>0</v>
      </c>
      <c r="D36" s="36">
        <v>17</v>
      </c>
      <c r="E36" s="36">
        <v>-3</v>
      </c>
      <c r="F36" s="37">
        <v>-41</v>
      </c>
    </row>
    <row r="37" spans="1:17" ht="15" x14ac:dyDescent="0.2">
      <c r="A37" s="14" t="s">
        <v>35</v>
      </c>
      <c r="B37" s="15">
        <v>1266</v>
      </c>
      <c r="C37" s="15">
        <v>2827</v>
      </c>
      <c r="D37" s="15">
        <v>5837</v>
      </c>
      <c r="E37" s="15">
        <v>7497</v>
      </c>
      <c r="F37" s="16">
        <v>54750</v>
      </c>
    </row>
    <row r="38" spans="1:17" ht="15" x14ac:dyDescent="0.2">
      <c r="A38" s="162" t="s">
        <v>36</v>
      </c>
      <c r="B38" s="163">
        <v>4556</v>
      </c>
      <c r="C38" s="163">
        <v>6028</v>
      </c>
      <c r="D38" s="163">
        <v>8962</v>
      </c>
      <c r="E38" s="163">
        <v>12419</v>
      </c>
      <c r="F38" s="161">
        <v>67580</v>
      </c>
    </row>
    <row r="40" spans="1:17" ht="15" x14ac:dyDescent="0.2">
      <c r="A40" s="42" t="s">
        <v>109</v>
      </c>
    </row>
    <row r="42" spans="1:17" x14ac:dyDescent="0.2">
      <c r="A42" s="1" t="s">
        <v>107</v>
      </c>
    </row>
    <row r="43" spans="1:17" x14ac:dyDescent="0.2">
      <c r="A43" s="1" t="s">
        <v>108</v>
      </c>
    </row>
    <row r="44" spans="1:17" ht="15" x14ac:dyDescent="0.2">
      <c r="A44" s="39" t="s">
        <v>106</v>
      </c>
      <c r="B44" s="24">
        <f>B45+B46</f>
        <v>1156</v>
      </c>
      <c r="C44" s="24">
        <f t="shared" ref="C44:F44" si="2">C45+C46</f>
        <v>1503</v>
      </c>
      <c r="D44" s="24">
        <f t="shared" si="2"/>
        <v>2290</v>
      </c>
      <c r="E44" s="24">
        <f t="shared" si="2"/>
        <v>3608</v>
      </c>
      <c r="F44" s="25">
        <f t="shared" si="2"/>
        <v>5855</v>
      </c>
      <c r="G44" s="271" t="s">
        <v>112</v>
      </c>
      <c r="H44" s="272"/>
      <c r="I44" s="272"/>
      <c r="J44" s="272"/>
      <c r="K44" s="272"/>
      <c r="L44" s="272"/>
      <c r="M44" s="272"/>
      <c r="N44" s="272"/>
      <c r="O44" s="272"/>
      <c r="P44" s="272"/>
      <c r="Q44" s="272"/>
    </row>
    <row r="45" spans="1:17" ht="15" x14ac:dyDescent="0.2">
      <c r="A45" s="40" t="s">
        <v>8</v>
      </c>
      <c r="B45" s="9">
        <v>1078</v>
      </c>
      <c r="C45" s="9">
        <v>1466</v>
      </c>
      <c r="D45" s="9">
        <v>1595</v>
      </c>
      <c r="E45" s="9">
        <v>2535</v>
      </c>
      <c r="F45" s="10">
        <v>4835</v>
      </c>
      <c r="G45" s="271"/>
      <c r="H45" s="272"/>
      <c r="I45" s="272"/>
      <c r="J45" s="272"/>
      <c r="K45" s="272"/>
      <c r="L45" s="272"/>
      <c r="M45" s="272"/>
      <c r="N45" s="272"/>
      <c r="O45" s="272"/>
      <c r="P45" s="272"/>
      <c r="Q45" s="272"/>
    </row>
    <row r="46" spans="1:17" ht="15" x14ac:dyDescent="0.2">
      <c r="A46" s="41" t="s">
        <v>41</v>
      </c>
      <c r="B46" s="36">
        <v>78</v>
      </c>
      <c r="C46" s="36">
        <v>37</v>
      </c>
      <c r="D46" s="36">
        <v>695</v>
      </c>
      <c r="E46" s="36">
        <v>1073</v>
      </c>
      <c r="F46" s="37">
        <v>1020</v>
      </c>
      <c r="G46" s="271"/>
      <c r="H46" s="272"/>
      <c r="I46" s="272"/>
      <c r="J46" s="272"/>
      <c r="K46" s="272"/>
      <c r="L46" s="272"/>
      <c r="M46" s="272"/>
      <c r="N46" s="272"/>
      <c r="O46" s="272"/>
      <c r="P46" s="272"/>
      <c r="Q46" s="272"/>
    </row>
    <row r="47" spans="1:17" ht="15" x14ac:dyDescent="0.2">
      <c r="A47" s="6"/>
      <c r="B47" s="6"/>
      <c r="C47" s="6"/>
      <c r="D47" s="6"/>
      <c r="E47" s="6"/>
      <c r="F47" s="6"/>
      <c r="G47" s="6"/>
      <c r="H47" s="6"/>
      <c r="I47" s="6"/>
      <c r="J47" s="6"/>
      <c r="K47" s="6"/>
      <c r="L47" s="6"/>
      <c r="M47" s="6"/>
      <c r="N47" s="6"/>
      <c r="O47" s="6"/>
      <c r="P47" s="6"/>
      <c r="Q47" s="6"/>
    </row>
    <row r="48" spans="1:17" ht="15" x14ac:dyDescent="0.2">
      <c r="A48" s="39" t="s">
        <v>136</v>
      </c>
      <c r="B48" s="24">
        <f>B49+B50</f>
        <v>442</v>
      </c>
      <c r="C48" s="24">
        <f t="shared" ref="C48:F48" si="3">C49+C50</f>
        <v>642</v>
      </c>
      <c r="D48" s="24">
        <f t="shared" si="3"/>
        <v>858</v>
      </c>
      <c r="E48" s="24">
        <f t="shared" si="3"/>
        <v>998</v>
      </c>
      <c r="F48" s="25">
        <f t="shared" si="3"/>
        <v>1952</v>
      </c>
      <c r="G48" s="289" t="s">
        <v>196</v>
      </c>
      <c r="H48" s="290"/>
      <c r="I48" s="290"/>
      <c r="J48" s="290"/>
      <c r="K48" s="290"/>
      <c r="L48" s="290"/>
      <c r="M48" s="290"/>
      <c r="N48" s="290"/>
      <c r="O48" s="290"/>
      <c r="P48" s="290"/>
      <c r="Q48" s="290"/>
    </row>
    <row r="49" spans="1:17" ht="15" x14ac:dyDescent="0.2">
      <c r="A49" s="164" t="s">
        <v>140</v>
      </c>
      <c r="B49" s="9">
        <v>94</v>
      </c>
      <c r="C49" s="9">
        <v>142</v>
      </c>
      <c r="D49" s="9">
        <v>217</v>
      </c>
      <c r="E49" s="9">
        <v>296</v>
      </c>
      <c r="F49" s="10">
        <v>439</v>
      </c>
      <c r="G49" s="289"/>
      <c r="H49" s="290"/>
      <c r="I49" s="290"/>
      <c r="J49" s="290"/>
      <c r="K49" s="290"/>
      <c r="L49" s="290"/>
      <c r="M49" s="290"/>
      <c r="N49" s="290"/>
      <c r="O49" s="290"/>
      <c r="P49" s="290"/>
      <c r="Q49" s="290"/>
    </row>
    <row r="50" spans="1:17" ht="15" x14ac:dyDescent="0.2">
      <c r="A50" s="41" t="s">
        <v>141</v>
      </c>
      <c r="B50" s="36">
        <v>348</v>
      </c>
      <c r="C50" s="36">
        <v>500</v>
      </c>
      <c r="D50" s="36">
        <v>641</v>
      </c>
      <c r="E50" s="36">
        <v>702</v>
      </c>
      <c r="F50" s="37">
        <v>1513</v>
      </c>
      <c r="G50" s="289"/>
      <c r="H50" s="290"/>
      <c r="I50" s="290"/>
      <c r="J50" s="290"/>
      <c r="K50" s="290"/>
      <c r="L50" s="290"/>
      <c r="M50" s="290"/>
      <c r="N50" s="290"/>
      <c r="O50" s="290"/>
      <c r="P50" s="290"/>
      <c r="Q50" s="290"/>
    </row>
    <row r="51" spans="1:17" ht="15" x14ac:dyDescent="0.2">
      <c r="A51" s="6"/>
      <c r="B51" s="6"/>
      <c r="C51" s="6"/>
      <c r="D51" s="6"/>
      <c r="E51" s="6"/>
      <c r="F51" s="6"/>
      <c r="G51" s="6"/>
      <c r="H51" s="6"/>
      <c r="I51" s="6"/>
      <c r="J51" s="6"/>
      <c r="K51" s="6"/>
      <c r="L51" s="6"/>
      <c r="M51" s="6"/>
      <c r="N51" s="6"/>
      <c r="O51" s="6"/>
      <c r="P51" s="6"/>
      <c r="Q51" s="6"/>
    </row>
    <row r="52" spans="1:17" ht="15" x14ac:dyDescent="0.2">
      <c r="A52" s="39" t="s">
        <v>137</v>
      </c>
      <c r="B52" s="24">
        <f>B53+B54</f>
        <v>364</v>
      </c>
      <c r="C52" s="24">
        <f t="shared" ref="C52:F52" si="4">C53+C54</f>
        <v>415</v>
      </c>
      <c r="D52" s="24">
        <f t="shared" si="4"/>
        <v>436</v>
      </c>
      <c r="E52" s="24">
        <f t="shared" si="4"/>
        <v>1547</v>
      </c>
      <c r="F52" s="25">
        <f t="shared" si="4"/>
        <v>2235</v>
      </c>
      <c r="G52" s="271" t="s">
        <v>195</v>
      </c>
      <c r="H52" s="272"/>
      <c r="I52" s="272"/>
      <c r="J52" s="272"/>
      <c r="K52" s="272"/>
      <c r="L52" s="272"/>
      <c r="M52" s="272"/>
      <c r="N52" s="272"/>
      <c r="O52" s="272"/>
      <c r="P52" s="272"/>
      <c r="Q52" s="272"/>
    </row>
    <row r="53" spans="1:17" ht="15" x14ac:dyDescent="0.2">
      <c r="A53" s="40" t="s">
        <v>17</v>
      </c>
      <c r="B53" s="9">
        <v>58</v>
      </c>
      <c r="C53" s="9">
        <v>58</v>
      </c>
      <c r="D53" s="9">
        <v>63</v>
      </c>
      <c r="E53" s="9">
        <v>69</v>
      </c>
      <c r="F53" s="10">
        <v>83</v>
      </c>
      <c r="G53" s="271"/>
      <c r="H53" s="272"/>
      <c r="I53" s="272"/>
      <c r="J53" s="272"/>
      <c r="K53" s="272"/>
      <c r="L53" s="272"/>
      <c r="M53" s="272"/>
      <c r="N53" s="272"/>
      <c r="O53" s="272"/>
      <c r="P53" s="272"/>
      <c r="Q53" s="272"/>
    </row>
    <row r="54" spans="1:17" ht="15" x14ac:dyDescent="0.2">
      <c r="A54" s="41" t="s">
        <v>38</v>
      </c>
      <c r="B54" s="36">
        <v>306</v>
      </c>
      <c r="C54" s="36">
        <v>357</v>
      </c>
      <c r="D54" s="36">
        <v>373</v>
      </c>
      <c r="E54" s="36">
        <v>1478</v>
      </c>
      <c r="F54" s="37">
        <v>2152</v>
      </c>
      <c r="G54" s="271"/>
      <c r="H54" s="272"/>
      <c r="I54" s="272"/>
      <c r="J54" s="272"/>
      <c r="K54" s="272"/>
      <c r="L54" s="272"/>
      <c r="M54" s="272"/>
      <c r="N54" s="272"/>
      <c r="O54" s="272"/>
      <c r="P54" s="272"/>
      <c r="Q54" s="272"/>
    </row>
    <row r="55" spans="1:17" ht="15" x14ac:dyDescent="0.2">
      <c r="A55" s="6"/>
      <c r="B55" s="6"/>
      <c r="C55" s="6"/>
      <c r="D55" s="6"/>
      <c r="E55" s="6"/>
      <c r="F55" s="6"/>
      <c r="G55" s="6"/>
      <c r="H55" s="6"/>
      <c r="I55" s="6"/>
      <c r="J55" s="6"/>
      <c r="K55" s="6"/>
      <c r="L55" s="6"/>
      <c r="M55" s="6"/>
      <c r="N55" s="6"/>
      <c r="O55" s="6"/>
      <c r="P55" s="6"/>
      <c r="Q55" s="6"/>
    </row>
    <row r="56" spans="1:17" ht="15" x14ac:dyDescent="0.2">
      <c r="A56" s="39" t="s">
        <v>138</v>
      </c>
      <c r="B56" s="24">
        <f>B57+B58</f>
        <v>8760</v>
      </c>
      <c r="C56" s="24">
        <f t="shared" ref="C56:F56" si="5">C57+C58</f>
        <v>9975</v>
      </c>
      <c r="D56" s="24">
        <f t="shared" si="5"/>
        <v>10556</v>
      </c>
      <c r="E56" s="24">
        <f t="shared" si="5"/>
        <v>11081</v>
      </c>
      <c r="F56" s="25">
        <f t="shared" si="5"/>
        <v>58021</v>
      </c>
      <c r="G56" s="271" t="s">
        <v>114</v>
      </c>
      <c r="H56" s="272"/>
      <c r="I56" s="272"/>
      <c r="J56" s="272"/>
      <c r="K56" s="272"/>
      <c r="L56" s="272"/>
      <c r="M56" s="272"/>
      <c r="N56" s="272"/>
      <c r="O56" s="272"/>
      <c r="P56" s="272"/>
      <c r="Q56" s="272"/>
    </row>
    <row r="57" spans="1:17" ht="15" x14ac:dyDescent="0.2">
      <c r="A57" s="40" t="s">
        <v>30</v>
      </c>
      <c r="B57" s="9">
        <v>10</v>
      </c>
      <c r="C57" s="9">
        <v>12</v>
      </c>
      <c r="D57" s="9">
        <v>12</v>
      </c>
      <c r="E57" s="9">
        <v>12</v>
      </c>
      <c r="F57" s="10">
        <v>16</v>
      </c>
      <c r="G57" s="271"/>
      <c r="H57" s="272"/>
      <c r="I57" s="272"/>
      <c r="J57" s="272"/>
      <c r="K57" s="272"/>
      <c r="L57" s="272"/>
      <c r="M57" s="272"/>
      <c r="N57" s="272"/>
      <c r="O57" s="272"/>
      <c r="P57" s="272"/>
      <c r="Q57" s="272"/>
    </row>
    <row r="58" spans="1:17" ht="15" x14ac:dyDescent="0.2">
      <c r="A58" s="41" t="s">
        <v>31</v>
      </c>
      <c r="B58" s="47">
        <v>8750</v>
      </c>
      <c r="C58" s="47">
        <v>9963</v>
      </c>
      <c r="D58" s="47">
        <v>10544</v>
      </c>
      <c r="E58" s="47">
        <v>11069</v>
      </c>
      <c r="F58" s="48">
        <v>58005</v>
      </c>
      <c r="G58" s="271"/>
      <c r="H58" s="272"/>
      <c r="I58" s="272"/>
      <c r="J58" s="272"/>
      <c r="K58" s="272"/>
      <c r="L58" s="272"/>
      <c r="M58" s="272"/>
      <c r="N58" s="272"/>
      <c r="O58" s="272"/>
      <c r="P58" s="272"/>
      <c r="Q58" s="272"/>
    </row>
    <row r="61" spans="1:17" x14ac:dyDescent="0.2">
      <c r="A61" s="288" t="s">
        <v>235</v>
      </c>
      <c r="B61" s="291" t="s">
        <v>236</v>
      </c>
      <c r="C61" s="291"/>
      <c r="D61" s="291"/>
      <c r="E61" s="291"/>
      <c r="F61" s="291"/>
    </row>
    <row r="62" spans="1:17" x14ac:dyDescent="0.2">
      <c r="A62" s="288"/>
      <c r="B62" s="291"/>
      <c r="C62" s="291"/>
      <c r="D62" s="291"/>
      <c r="E62" s="291"/>
      <c r="F62" s="291"/>
    </row>
    <row r="63" spans="1:17" x14ac:dyDescent="0.2">
      <c r="A63" s="288"/>
      <c r="B63" s="291"/>
      <c r="C63" s="291"/>
      <c r="D63" s="291"/>
      <c r="E63" s="291"/>
      <c r="F63" s="291"/>
    </row>
  </sheetData>
  <mergeCells count="6">
    <mergeCell ref="A61:A63"/>
    <mergeCell ref="G44:Q46"/>
    <mergeCell ref="G52:Q54"/>
    <mergeCell ref="G56:Q58"/>
    <mergeCell ref="G48:Q50"/>
    <mergeCell ref="B61:F63"/>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9CBA2-8DA5-4EE1-B14F-A571BD13BD64}">
  <dimension ref="A1:F30"/>
  <sheetViews>
    <sheetView showGridLines="0" workbookViewId="0">
      <selection activeCell="H23" sqref="H23"/>
    </sheetView>
  </sheetViews>
  <sheetFormatPr defaultRowHeight="14.25" x14ac:dyDescent="0.2"/>
  <cols>
    <col min="1" max="1" width="54.875" customWidth="1"/>
    <col min="2" max="6" width="25.625" customWidth="1"/>
  </cols>
  <sheetData>
    <row r="1" spans="1:6" ht="30" customHeight="1" x14ac:dyDescent="0.2">
      <c r="A1" s="2" t="s">
        <v>45</v>
      </c>
      <c r="B1" s="3" t="s">
        <v>2</v>
      </c>
      <c r="C1" s="3" t="s">
        <v>46</v>
      </c>
      <c r="D1" s="3" t="s">
        <v>4</v>
      </c>
      <c r="E1" s="3" t="s">
        <v>5</v>
      </c>
      <c r="F1" s="4" t="s">
        <v>6</v>
      </c>
    </row>
    <row r="2" spans="1:6" ht="15" x14ac:dyDescent="0.2">
      <c r="A2" s="17" t="s">
        <v>48</v>
      </c>
      <c r="B2" s="12">
        <v>6475</v>
      </c>
      <c r="C2" s="12">
        <v>6731</v>
      </c>
      <c r="D2" s="12">
        <v>9763</v>
      </c>
      <c r="E2" s="12">
        <v>16434</v>
      </c>
      <c r="F2" s="13">
        <v>23601</v>
      </c>
    </row>
    <row r="3" spans="1:6" ht="15" x14ac:dyDescent="0.2">
      <c r="A3" s="18" t="s">
        <v>47</v>
      </c>
      <c r="B3" s="9">
        <v>4028</v>
      </c>
      <c r="C3" s="9">
        <v>3863</v>
      </c>
      <c r="D3" s="9">
        <v>5416</v>
      </c>
      <c r="E3" s="9">
        <v>8505</v>
      </c>
      <c r="F3" s="10">
        <v>11550</v>
      </c>
    </row>
    <row r="4" spans="1:6" ht="15" x14ac:dyDescent="0.2">
      <c r="A4" s="17" t="s">
        <v>64</v>
      </c>
      <c r="B4" s="12">
        <v>0</v>
      </c>
      <c r="C4" s="12">
        <v>0</v>
      </c>
      <c r="D4" s="12">
        <v>0</v>
      </c>
      <c r="E4" s="12">
        <v>0</v>
      </c>
      <c r="F4" s="13">
        <v>1448</v>
      </c>
    </row>
    <row r="5" spans="1:6" ht="15" x14ac:dyDescent="0.2">
      <c r="A5" s="18" t="s">
        <v>65</v>
      </c>
      <c r="B5" s="15">
        <v>4028</v>
      </c>
      <c r="C5" s="15">
        <v>3863</v>
      </c>
      <c r="D5" s="15">
        <v>5416</v>
      </c>
      <c r="E5" s="15">
        <v>8505</v>
      </c>
      <c r="F5" s="16">
        <v>12998</v>
      </c>
    </row>
    <row r="6" spans="1:6" ht="15" x14ac:dyDescent="0.2">
      <c r="A6" s="17" t="s">
        <v>49</v>
      </c>
      <c r="B6" s="24">
        <v>2447</v>
      </c>
      <c r="C6" s="24">
        <v>2868</v>
      </c>
      <c r="D6" s="24">
        <v>4347</v>
      </c>
      <c r="E6" s="24">
        <v>7929</v>
      </c>
      <c r="F6" s="25">
        <v>10603</v>
      </c>
    </row>
    <row r="7" spans="1:6" ht="15" x14ac:dyDescent="0.2">
      <c r="A7" s="18" t="s">
        <v>50</v>
      </c>
      <c r="B7" s="9">
        <v>1434</v>
      </c>
      <c r="C7" s="9">
        <v>1547</v>
      </c>
      <c r="D7" s="9">
        <v>1983</v>
      </c>
      <c r="E7" s="9">
        <v>2845</v>
      </c>
      <c r="F7" s="10">
        <v>5005</v>
      </c>
    </row>
    <row r="8" spans="1:6" ht="15" x14ac:dyDescent="0.2">
      <c r="A8" s="17" t="s">
        <v>51</v>
      </c>
      <c r="B8" s="12">
        <v>562</v>
      </c>
      <c r="C8" s="12">
        <v>750</v>
      </c>
      <c r="D8" s="12">
        <v>995</v>
      </c>
      <c r="E8" s="12">
        <v>1448</v>
      </c>
      <c r="F8" s="13">
        <v>2336</v>
      </c>
    </row>
    <row r="9" spans="1:6" ht="15" x14ac:dyDescent="0.2">
      <c r="A9" s="18" t="s">
        <v>64</v>
      </c>
      <c r="B9" s="9">
        <v>0</v>
      </c>
      <c r="C9" s="9">
        <v>0</v>
      </c>
      <c r="D9" s="9">
        <v>0</v>
      </c>
      <c r="E9" s="9">
        <v>0</v>
      </c>
      <c r="F9" s="10">
        <v>2100</v>
      </c>
    </row>
    <row r="10" spans="1:6" ht="15" x14ac:dyDescent="0.2">
      <c r="A10" s="17" t="s">
        <v>52</v>
      </c>
      <c r="B10" s="12">
        <v>0</v>
      </c>
      <c r="C10" s="12">
        <v>-60</v>
      </c>
      <c r="D10" s="12">
        <v>0</v>
      </c>
      <c r="E10" s="12">
        <v>-12</v>
      </c>
      <c r="F10" s="13">
        <v>-102</v>
      </c>
    </row>
    <row r="11" spans="1:6" ht="15" x14ac:dyDescent="0.2">
      <c r="A11" s="18" t="s">
        <v>53</v>
      </c>
      <c r="B11" s="15">
        <v>451</v>
      </c>
      <c r="C11" s="15">
        <v>631</v>
      </c>
      <c r="D11" s="15">
        <v>1369</v>
      </c>
      <c r="E11" s="15">
        <v>3648</v>
      </c>
      <c r="F11" s="16">
        <v>1264</v>
      </c>
    </row>
    <row r="12" spans="1:6" ht="15" x14ac:dyDescent="0.2">
      <c r="A12" s="17" t="s">
        <v>54</v>
      </c>
      <c r="B12" s="12">
        <v>-121</v>
      </c>
      <c r="C12" s="12">
        <v>-94</v>
      </c>
      <c r="D12" s="12">
        <v>-47</v>
      </c>
      <c r="E12" s="12">
        <v>-34</v>
      </c>
      <c r="F12" s="13">
        <v>-88</v>
      </c>
    </row>
    <row r="13" spans="1:6" ht="15" x14ac:dyDescent="0.2">
      <c r="A13" s="18" t="s">
        <v>55</v>
      </c>
      <c r="B13" s="9">
        <v>0</v>
      </c>
      <c r="C13" s="9">
        <v>-165</v>
      </c>
      <c r="D13" s="9">
        <v>-47</v>
      </c>
      <c r="E13" s="9">
        <v>55</v>
      </c>
      <c r="F13" s="10">
        <v>8</v>
      </c>
    </row>
    <row r="14" spans="1:6" ht="15" x14ac:dyDescent="0.2">
      <c r="A14" s="17" t="s">
        <v>56</v>
      </c>
      <c r="B14" s="24">
        <v>330</v>
      </c>
      <c r="C14" s="24">
        <v>372</v>
      </c>
      <c r="D14" s="24">
        <v>1275</v>
      </c>
      <c r="E14" s="24">
        <v>3669</v>
      </c>
      <c r="F14" s="25">
        <v>1184</v>
      </c>
    </row>
    <row r="15" spans="1:6" ht="15" x14ac:dyDescent="0.2">
      <c r="A15" s="18" t="s">
        <v>57</v>
      </c>
      <c r="B15" s="9">
        <v>-9</v>
      </c>
      <c r="C15" s="9">
        <v>31</v>
      </c>
      <c r="D15" s="9">
        <v>-1210</v>
      </c>
      <c r="E15" s="9">
        <v>513</v>
      </c>
      <c r="F15" s="10">
        <v>-122</v>
      </c>
    </row>
    <row r="16" spans="1:6" ht="15" x14ac:dyDescent="0.2">
      <c r="A16" s="17" t="s">
        <v>58</v>
      </c>
      <c r="B16" s="12">
        <v>-2</v>
      </c>
      <c r="C16" s="12">
        <v>0</v>
      </c>
      <c r="D16" s="12">
        <v>5</v>
      </c>
      <c r="E16" s="12">
        <v>6</v>
      </c>
      <c r="F16" s="13">
        <v>14</v>
      </c>
    </row>
    <row r="17" spans="1:6" ht="15" x14ac:dyDescent="0.2">
      <c r="A17" s="18" t="s">
        <v>59</v>
      </c>
      <c r="B17" s="15">
        <v>337</v>
      </c>
      <c r="C17" s="15">
        <v>341</v>
      </c>
      <c r="D17" s="15">
        <v>2490</v>
      </c>
      <c r="E17" s="15">
        <v>3162</v>
      </c>
      <c r="F17" s="16">
        <v>1320</v>
      </c>
    </row>
    <row r="18" spans="1:6" ht="15" x14ac:dyDescent="0.2">
      <c r="A18" s="17" t="s">
        <v>60</v>
      </c>
      <c r="B18" s="12"/>
      <c r="C18" s="12"/>
      <c r="D18" s="12"/>
      <c r="E18" s="12"/>
      <c r="F18" s="13"/>
    </row>
    <row r="19" spans="1:6" ht="15" x14ac:dyDescent="0.2">
      <c r="A19" s="26" t="s">
        <v>61</v>
      </c>
      <c r="B19" s="27">
        <v>0.34</v>
      </c>
      <c r="C19" s="27">
        <v>0.31</v>
      </c>
      <c r="D19" s="27">
        <v>2.1</v>
      </c>
      <c r="E19" s="27">
        <v>2.61</v>
      </c>
      <c r="F19" s="28">
        <v>0.85</v>
      </c>
    </row>
    <row r="20" spans="1:6" ht="15" x14ac:dyDescent="0.2">
      <c r="A20" s="29" t="s">
        <v>62</v>
      </c>
      <c r="B20" s="30">
        <v>0.32</v>
      </c>
      <c r="C20" s="30">
        <v>0.3</v>
      </c>
      <c r="D20" s="30">
        <v>2.06</v>
      </c>
      <c r="E20" s="30">
        <v>2.57</v>
      </c>
      <c r="F20" s="31">
        <v>0.84</v>
      </c>
    </row>
    <row r="21" spans="1:6" ht="15" x14ac:dyDescent="0.2">
      <c r="A21" s="18" t="s">
        <v>63</v>
      </c>
      <c r="B21" s="9"/>
      <c r="C21" s="9"/>
      <c r="D21" s="9"/>
      <c r="E21" s="9"/>
      <c r="F21" s="10"/>
    </row>
    <row r="22" spans="1:6" ht="15" x14ac:dyDescent="0.2">
      <c r="A22" s="29" t="s">
        <v>61</v>
      </c>
      <c r="B22" s="12">
        <v>982</v>
      </c>
      <c r="C22" s="12">
        <v>1091</v>
      </c>
      <c r="D22" s="12">
        <v>1184</v>
      </c>
      <c r="E22" s="12">
        <v>1213</v>
      </c>
      <c r="F22" s="13">
        <v>1561</v>
      </c>
    </row>
    <row r="23" spans="1:6" ht="15" x14ac:dyDescent="0.2">
      <c r="A23" s="32" t="s">
        <v>62</v>
      </c>
      <c r="B23" s="33">
        <v>1064</v>
      </c>
      <c r="C23" s="33">
        <v>1120</v>
      </c>
      <c r="D23" s="33">
        <v>1207</v>
      </c>
      <c r="E23" s="33">
        <v>1229</v>
      </c>
      <c r="F23" s="34">
        <v>1571</v>
      </c>
    </row>
    <row r="25" spans="1:6" ht="15" x14ac:dyDescent="0.2">
      <c r="A25" s="42" t="s">
        <v>109</v>
      </c>
      <c r="B25" s="6"/>
    </row>
    <row r="26" spans="1:6" ht="15" x14ac:dyDescent="0.2">
      <c r="A26" s="6"/>
      <c r="B26" s="6"/>
    </row>
    <row r="27" spans="1:6" ht="15" x14ac:dyDescent="0.2">
      <c r="A27" s="43" t="s">
        <v>110</v>
      </c>
      <c r="B27" s="6"/>
    </row>
    <row r="28" spans="1:6" ht="15" x14ac:dyDescent="0.2">
      <c r="A28" s="292" t="s">
        <v>111</v>
      </c>
      <c r="B28" s="292"/>
    </row>
    <row r="29" spans="1:6" ht="15" x14ac:dyDescent="0.2">
      <c r="A29" s="6"/>
      <c r="B29" s="6"/>
    </row>
    <row r="30" spans="1:6" ht="15" x14ac:dyDescent="0.2">
      <c r="A30" s="6"/>
      <c r="B30" s="6"/>
    </row>
  </sheetData>
  <mergeCells count="1">
    <mergeCell ref="A28:B28"/>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881EE-08AA-4B00-8C92-8A20748C00B7}">
  <dimension ref="B2:AE75"/>
  <sheetViews>
    <sheetView showGridLines="0" topLeftCell="A3" workbookViewId="0">
      <pane xSplit="2" ySplit="5" topLeftCell="O8" activePane="bottomRight" state="frozen"/>
      <selection activeCell="A3" sqref="A3"/>
      <selection pane="topRight" activeCell="C3" sqref="C3"/>
      <selection pane="bottomLeft" activeCell="A8" sqref="A8"/>
      <selection pane="bottomRight" activeCell="T83" sqref="T83"/>
    </sheetView>
  </sheetViews>
  <sheetFormatPr defaultRowHeight="14.25" x14ac:dyDescent="0.2"/>
  <cols>
    <col min="1" max="1" width="9" customWidth="1"/>
    <col min="2" max="2" width="45.875" customWidth="1"/>
    <col min="3" max="3" width="9" customWidth="1"/>
    <col min="4" max="4" width="11.125" customWidth="1"/>
    <col min="5" max="6" width="9" customWidth="1"/>
    <col min="7" max="7" width="11.125" customWidth="1"/>
    <col min="8" max="9" width="9" customWidth="1"/>
    <col min="10" max="10" width="11.125" customWidth="1"/>
    <col min="11" max="12" width="9" customWidth="1"/>
    <col min="13" max="13" width="11.125" customWidth="1"/>
    <col min="14" max="15" width="9" customWidth="1"/>
    <col min="16" max="16" width="11.125" customWidth="1"/>
    <col min="18" max="19" width="16.875" customWidth="1"/>
    <col min="20" max="23" width="9.875" bestFit="1" customWidth="1"/>
    <col min="24" max="24" width="10.625" customWidth="1"/>
  </cols>
  <sheetData>
    <row r="2" spans="2:31" x14ac:dyDescent="0.2">
      <c r="B2" s="1" t="s">
        <v>115</v>
      </c>
    </row>
    <row r="3" spans="2:31" x14ac:dyDescent="0.2">
      <c r="B3" s="1" t="s">
        <v>116</v>
      </c>
    </row>
    <row r="4" spans="2:31" ht="15" x14ac:dyDescent="0.2">
      <c r="B4" s="43" t="s">
        <v>117</v>
      </c>
      <c r="C4" s="6"/>
      <c r="D4" s="6"/>
      <c r="E4" s="6"/>
      <c r="F4" s="6"/>
      <c r="G4" s="6"/>
      <c r="H4" s="6"/>
      <c r="I4" s="6"/>
      <c r="J4" s="6"/>
      <c r="K4" s="6"/>
      <c r="L4" s="6"/>
      <c r="M4" s="6"/>
      <c r="N4" s="6"/>
      <c r="O4" s="6"/>
      <c r="P4" s="6"/>
      <c r="Q4" s="6"/>
    </row>
    <row r="5" spans="2:31" ht="15" x14ac:dyDescent="0.2">
      <c r="B5" s="6"/>
      <c r="C5" s="6"/>
      <c r="D5" s="6"/>
      <c r="E5" s="6"/>
      <c r="F5" s="6"/>
      <c r="G5" s="6"/>
      <c r="H5" s="6"/>
      <c r="I5" s="6"/>
      <c r="J5" s="6"/>
      <c r="K5" s="6"/>
      <c r="L5" s="6"/>
      <c r="M5" s="6"/>
      <c r="N5" s="6"/>
      <c r="O5" s="6"/>
      <c r="P5" s="6"/>
      <c r="Q5" s="6"/>
    </row>
    <row r="6" spans="2:31" ht="15" x14ac:dyDescent="0.2">
      <c r="B6" s="61"/>
      <c r="C6" s="278" t="s">
        <v>118</v>
      </c>
      <c r="D6" s="278"/>
      <c r="E6" s="278"/>
      <c r="F6" s="278"/>
      <c r="G6" s="278"/>
      <c r="H6" s="278"/>
      <c r="I6" s="278"/>
      <c r="J6" s="278"/>
      <c r="K6" s="278"/>
      <c r="L6" s="278"/>
      <c r="M6" s="278"/>
      <c r="N6" s="278"/>
      <c r="O6" s="278"/>
      <c r="P6" s="278"/>
      <c r="Q6" s="279"/>
      <c r="R6" s="277" t="s">
        <v>121</v>
      </c>
      <c r="S6" s="279"/>
      <c r="T6" s="278" t="s">
        <v>123</v>
      </c>
      <c r="U6" s="278"/>
      <c r="V6" s="278"/>
      <c r="W6" s="278"/>
      <c r="X6" s="279"/>
      <c r="Y6" s="6"/>
      <c r="Z6" s="6"/>
      <c r="AA6" s="6"/>
      <c r="AB6" s="6"/>
      <c r="AC6" s="6"/>
      <c r="AD6" s="6"/>
      <c r="AE6" s="6"/>
    </row>
    <row r="7" spans="2:31" ht="15" x14ac:dyDescent="0.2">
      <c r="B7" s="91" t="s">
        <v>232</v>
      </c>
      <c r="C7" s="283">
        <v>2018</v>
      </c>
      <c r="D7" s="283"/>
      <c r="E7" s="141"/>
      <c r="F7" s="283">
        <v>2019</v>
      </c>
      <c r="G7" s="283"/>
      <c r="H7" s="141"/>
      <c r="I7" s="283">
        <v>2020</v>
      </c>
      <c r="J7" s="283"/>
      <c r="K7" s="141"/>
      <c r="L7" s="283">
        <v>2021</v>
      </c>
      <c r="M7" s="283"/>
      <c r="N7" s="141"/>
      <c r="O7" s="283">
        <v>2022</v>
      </c>
      <c r="P7" s="283"/>
      <c r="Q7" s="142"/>
      <c r="R7" s="280" t="s">
        <v>122</v>
      </c>
      <c r="S7" s="281"/>
      <c r="T7" s="43">
        <v>2023</v>
      </c>
      <c r="U7" s="43">
        <v>2024</v>
      </c>
      <c r="V7" s="43">
        <v>2025</v>
      </c>
      <c r="W7" s="43">
        <v>2026</v>
      </c>
      <c r="X7" s="133">
        <v>2027</v>
      </c>
      <c r="Y7" s="6"/>
      <c r="Z7" s="6"/>
      <c r="AA7" s="6"/>
      <c r="AB7" s="6"/>
      <c r="AC7" s="6"/>
      <c r="AD7" s="6"/>
      <c r="AE7" s="6"/>
    </row>
    <row r="8" spans="2:31" ht="15" x14ac:dyDescent="0.2">
      <c r="B8" s="60"/>
      <c r="C8" s="61"/>
      <c r="D8" s="61" t="s">
        <v>119</v>
      </c>
      <c r="E8" s="62" t="s">
        <v>120</v>
      </c>
      <c r="F8" s="61"/>
      <c r="G8" s="61" t="s">
        <v>119</v>
      </c>
      <c r="H8" s="62" t="s">
        <v>120</v>
      </c>
      <c r="I8" s="61"/>
      <c r="J8" s="61" t="s">
        <v>119</v>
      </c>
      <c r="K8" s="62" t="s">
        <v>120</v>
      </c>
      <c r="L8" s="61"/>
      <c r="M8" s="61" t="s">
        <v>119</v>
      </c>
      <c r="N8" s="62" t="s">
        <v>120</v>
      </c>
      <c r="O8" s="61"/>
      <c r="P8" s="61" t="s">
        <v>119</v>
      </c>
      <c r="Q8" s="63"/>
      <c r="R8" s="100"/>
      <c r="S8" s="101"/>
      <c r="T8" s="100"/>
      <c r="U8" s="102"/>
      <c r="V8" s="102"/>
      <c r="W8" s="102"/>
      <c r="X8" s="101"/>
      <c r="Y8" s="6"/>
      <c r="Z8" s="6"/>
      <c r="AA8" s="6"/>
      <c r="AB8" s="6"/>
      <c r="AC8" s="6"/>
      <c r="AD8" s="6"/>
      <c r="AE8" s="6"/>
    </row>
    <row r="9" spans="2:31" ht="15" x14ac:dyDescent="0.2">
      <c r="B9" s="17" t="s">
        <v>48</v>
      </c>
      <c r="C9" s="51">
        <v>6475</v>
      </c>
      <c r="D9" s="64">
        <f>C9/$C$9</f>
        <v>1</v>
      </c>
      <c r="E9" s="65">
        <f>F9/C9-1</f>
        <v>3.9536679536679609E-2</v>
      </c>
      <c r="F9" s="51">
        <v>6731</v>
      </c>
      <c r="G9" s="64">
        <f>F9/$F$9</f>
        <v>1</v>
      </c>
      <c r="H9" s="65">
        <f>I9/F9-1</f>
        <v>0.45045312732134901</v>
      </c>
      <c r="I9" s="51">
        <v>9763</v>
      </c>
      <c r="J9" s="57">
        <f>I9/$I$9</f>
        <v>1</v>
      </c>
      <c r="K9" s="65">
        <f>L9/I9-1</f>
        <v>0.68329406944586712</v>
      </c>
      <c r="L9" s="51">
        <v>16434</v>
      </c>
      <c r="M9" s="57">
        <f>L9/$L$9</f>
        <v>1</v>
      </c>
      <c r="N9" s="65">
        <f>O9/L9-1</f>
        <v>0.43610806863818907</v>
      </c>
      <c r="O9" s="51">
        <v>23601</v>
      </c>
      <c r="P9" s="64">
        <f>O9/$O$9</f>
        <v>1</v>
      </c>
      <c r="Q9" s="7"/>
      <c r="R9" s="61" t="s">
        <v>124</v>
      </c>
      <c r="S9" s="103">
        <v>0.15</v>
      </c>
      <c r="T9" s="25">
        <f>O9*(1+$S$9)</f>
        <v>27141.149999999998</v>
      </c>
      <c r="U9" s="104">
        <f>T9*(1+$S$9)</f>
        <v>31212.322499999995</v>
      </c>
      <c r="V9" s="104">
        <f>U9*(1+$S$9)</f>
        <v>35894.170874999989</v>
      </c>
      <c r="W9" s="104">
        <f t="shared" ref="W9:X9" si="0">V9*(1+$S$9)</f>
        <v>41278.296506249986</v>
      </c>
      <c r="X9" s="13">
        <f t="shared" si="0"/>
        <v>47470.040982187478</v>
      </c>
      <c r="Y9" s="293" t="s">
        <v>146</v>
      </c>
      <c r="Z9" s="269"/>
      <c r="AA9" s="269"/>
      <c r="AB9" s="269"/>
      <c r="AC9" s="269"/>
      <c r="AD9" s="269"/>
      <c r="AE9" s="270"/>
    </row>
    <row r="10" spans="2:31" ht="15" x14ac:dyDescent="0.2">
      <c r="B10" s="18" t="s">
        <v>47</v>
      </c>
      <c r="C10" s="52">
        <v>4028</v>
      </c>
      <c r="D10" s="66">
        <f t="shared" ref="D10:D24" si="1">C10/$C$9</f>
        <v>0.62208494208494214</v>
      </c>
      <c r="E10" s="19"/>
      <c r="F10" s="52">
        <v>3863</v>
      </c>
      <c r="G10" s="66">
        <f t="shared" ref="G10:G24" si="2">F10/$F$9</f>
        <v>0.57391175159708807</v>
      </c>
      <c r="H10" s="19"/>
      <c r="I10" s="52">
        <v>5416</v>
      </c>
      <c r="J10" s="58">
        <f t="shared" ref="J10:J24" si="3">I10/$I$9</f>
        <v>0.55474751613233642</v>
      </c>
      <c r="K10" s="19"/>
      <c r="L10" s="52">
        <v>8505</v>
      </c>
      <c r="M10" s="58">
        <f t="shared" ref="M10:M24" si="4">L10/$L$9</f>
        <v>0.51752464403066811</v>
      </c>
      <c r="N10" s="19"/>
      <c r="O10" s="52">
        <v>11550</v>
      </c>
      <c r="P10" s="66">
        <f t="shared" ref="P10:P24" si="5">O10/$O$9</f>
        <v>0.48938604296428118</v>
      </c>
      <c r="Q10" s="20"/>
      <c r="R10" s="84" t="s">
        <v>119</v>
      </c>
      <c r="S10" s="58">
        <f>AVERAGE(J10,M10,P10)</f>
        <v>0.52055273437576188</v>
      </c>
      <c r="T10" s="10">
        <f>T9*$S$10</f>
        <v>14128.399846602708</v>
      </c>
      <c r="U10" s="52">
        <f t="shared" ref="U10:X10" si="6">U9*$S$10</f>
        <v>16247.659823593114</v>
      </c>
      <c r="V10" s="52">
        <f t="shared" si="6"/>
        <v>18684.808797132078</v>
      </c>
      <c r="W10" s="52">
        <f t="shared" si="6"/>
        <v>21487.530116701888</v>
      </c>
      <c r="X10" s="10">
        <f t="shared" si="6"/>
        <v>24710.659634207168</v>
      </c>
      <c r="Y10" s="300" t="s">
        <v>147</v>
      </c>
      <c r="Z10" s="301"/>
      <c r="AA10" s="301"/>
      <c r="AB10" s="301"/>
      <c r="AC10" s="301"/>
      <c r="AD10" s="301"/>
      <c r="AE10" s="302"/>
    </row>
    <row r="11" spans="2:31" ht="15" x14ac:dyDescent="0.2">
      <c r="B11" s="17" t="s">
        <v>64</v>
      </c>
      <c r="C11" s="51">
        <v>0</v>
      </c>
      <c r="D11" s="67">
        <f t="shared" si="1"/>
        <v>0</v>
      </c>
      <c r="E11" s="6"/>
      <c r="F11" s="51">
        <v>0</v>
      </c>
      <c r="G11" s="68">
        <f t="shared" si="2"/>
        <v>0</v>
      </c>
      <c r="H11" s="6"/>
      <c r="I11" s="51">
        <v>0</v>
      </c>
      <c r="J11" s="69">
        <f t="shared" si="3"/>
        <v>0</v>
      </c>
      <c r="K11" s="6"/>
      <c r="L11" s="51">
        <v>0</v>
      </c>
      <c r="M11" s="51">
        <f t="shared" si="4"/>
        <v>0</v>
      </c>
      <c r="N11" s="6"/>
      <c r="O11" s="51">
        <v>1448</v>
      </c>
      <c r="P11" s="64">
        <f t="shared" si="5"/>
        <v>6.1353332485911613E-2</v>
      </c>
      <c r="Q11" s="7"/>
      <c r="R11" s="83" t="s">
        <v>126</v>
      </c>
      <c r="S11" s="83">
        <v>0</v>
      </c>
      <c r="T11" s="13">
        <v>0</v>
      </c>
      <c r="U11" s="13">
        <v>0</v>
      </c>
      <c r="V11" s="13">
        <v>0</v>
      </c>
      <c r="W11" s="13">
        <v>0</v>
      </c>
      <c r="X11" s="13">
        <v>0</v>
      </c>
      <c r="Y11" s="297" t="s">
        <v>148</v>
      </c>
      <c r="Z11" s="298"/>
      <c r="AA11" s="298"/>
      <c r="AB11" s="298"/>
      <c r="AC11" s="298"/>
      <c r="AD11" s="298"/>
      <c r="AE11" s="299"/>
    </row>
    <row r="12" spans="2:31" ht="15" x14ac:dyDescent="0.2">
      <c r="B12" s="18" t="s">
        <v>65</v>
      </c>
      <c r="C12" s="52">
        <v>4028</v>
      </c>
      <c r="D12" s="66">
        <f t="shared" si="1"/>
        <v>0.62208494208494214</v>
      </c>
      <c r="E12" s="19"/>
      <c r="F12" s="52">
        <v>3863</v>
      </c>
      <c r="G12" s="66">
        <f t="shared" si="2"/>
        <v>0.57391175159708807</v>
      </c>
      <c r="H12" s="19"/>
      <c r="I12" s="52">
        <v>5416</v>
      </c>
      <c r="J12" s="58">
        <f t="shared" si="3"/>
        <v>0.55474751613233642</v>
      </c>
      <c r="K12" s="19"/>
      <c r="L12" s="52">
        <v>8505</v>
      </c>
      <c r="M12" s="58">
        <f t="shared" si="4"/>
        <v>0.51752464403066811</v>
      </c>
      <c r="N12" s="19"/>
      <c r="O12" s="52">
        <v>12998</v>
      </c>
      <c r="P12" s="66">
        <f t="shared" si="5"/>
        <v>0.5507393754501928</v>
      </c>
      <c r="Q12" s="20"/>
      <c r="R12" s="84"/>
      <c r="S12" s="58"/>
      <c r="T12" s="10">
        <f>T10+T11</f>
        <v>14128.399846602708</v>
      </c>
      <c r="U12" s="10">
        <f t="shared" ref="U12:X12" si="7">U10+U11</f>
        <v>16247.659823593114</v>
      </c>
      <c r="V12" s="10">
        <f t="shared" si="7"/>
        <v>18684.808797132078</v>
      </c>
      <c r="W12" s="10">
        <f t="shared" si="7"/>
        <v>21487.530116701888</v>
      </c>
      <c r="X12" s="10">
        <f t="shared" si="7"/>
        <v>24710.659634207168</v>
      </c>
      <c r="Y12" s="300"/>
      <c r="Z12" s="301"/>
      <c r="AA12" s="301"/>
      <c r="AB12" s="301"/>
      <c r="AC12" s="301"/>
      <c r="AD12" s="301"/>
      <c r="AE12" s="302"/>
    </row>
    <row r="13" spans="2:31" ht="15" x14ac:dyDescent="0.2">
      <c r="B13" s="17" t="s">
        <v>49</v>
      </c>
      <c r="C13" s="51">
        <v>2447</v>
      </c>
      <c r="D13" s="64">
        <f t="shared" si="1"/>
        <v>0.37791505791505792</v>
      </c>
      <c r="E13" s="6"/>
      <c r="F13" s="51">
        <v>2868</v>
      </c>
      <c r="G13" s="64">
        <f t="shared" si="2"/>
        <v>0.42608824840291187</v>
      </c>
      <c r="H13" s="6"/>
      <c r="I13" s="51">
        <v>4347</v>
      </c>
      <c r="J13" s="57">
        <f t="shared" si="3"/>
        <v>0.44525248386766364</v>
      </c>
      <c r="K13" s="6"/>
      <c r="L13" s="51">
        <v>7929</v>
      </c>
      <c r="M13" s="57">
        <f t="shared" si="4"/>
        <v>0.48247535596933189</v>
      </c>
      <c r="N13" s="6"/>
      <c r="O13" s="51">
        <v>10603</v>
      </c>
      <c r="P13" s="64">
        <f t="shared" si="5"/>
        <v>0.4492606245498072</v>
      </c>
      <c r="Q13" s="7"/>
      <c r="R13" s="83"/>
      <c r="S13" s="83"/>
      <c r="T13" s="13">
        <f>T9-T12</f>
        <v>13012.75015339729</v>
      </c>
      <c r="U13" s="13">
        <f t="shared" ref="U13:X13" si="8">U9-U12</f>
        <v>14964.662676406881</v>
      </c>
      <c r="V13" s="13">
        <f t="shared" si="8"/>
        <v>17209.362077867911</v>
      </c>
      <c r="W13" s="13">
        <f t="shared" si="8"/>
        <v>19790.766389548098</v>
      </c>
      <c r="X13" s="13">
        <f t="shared" si="8"/>
        <v>22759.38134798031</v>
      </c>
      <c r="Y13" s="17"/>
      <c r="Z13" s="6"/>
      <c r="AA13" s="6"/>
      <c r="AB13" s="6"/>
      <c r="AC13" s="6"/>
      <c r="AD13" s="6"/>
      <c r="AE13" s="7"/>
    </row>
    <row r="14" spans="2:31" ht="15" x14ac:dyDescent="0.2">
      <c r="B14" s="18" t="s">
        <v>50</v>
      </c>
      <c r="C14" s="52">
        <v>1434</v>
      </c>
      <c r="D14" s="66">
        <f t="shared" si="1"/>
        <v>0.22146718146718147</v>
      </c>
      <c r="E14" s="19"/>
      <c r="F14" s="52">
        <v>1547</v>
      </c>
      <c r="G14" s="66">
        <f t="shared" si="2"/>
        <v>0.22983212004159859</v>
      </c>
      <c r="H14" s="19"/>
      <c r="I14" s="52">
        <v>1983</v>
      </c>
      <c r="J14" s="58">
        <f t="shared" si="3"/>
        <v>0.20311379698863055</v>
      </c>
      <c r="K14" s="19"/>
      <c r="L14" s="52">
        <v>2845</v>
      </c>
      <c r="M14" s="58">
        <f t="shared" si="4"/>
        <v>0.17311670926128758</v>
      </c>
      <c r="N14" s="19"/>
      <c r="O14" s="52">
        <v>5005</v>
      </c>
      <c r="P14" s="66">
        <f t="shared" si="5"/>
        <v>0.21206728528452184</v>
      </c>
      <c r="Q14" s="20"/>
      <c r="R14" s="84" t="s">
        <v>134</v>
      </c>
      <c r="S14" s="84">
        <v>5200</v>
      </c>
      <c r="T14" s="20">
        <v>5200</v>
      </c>
      <c r="U14" s="84">
        <v>5200</v>
      </c>
      <c r="V14" s="84">
        <v>5200</v>
      </c>
      <c r="W14" s="84">
        <v>5200</v>
      </c>
      <c r="X14" s="20">
        <v>5200</v>
      </c>
      <c r="Y14" s="294" t="s">
        <v>149</v>
      </c>
      <c r="Z14" s="295"/>
      <c r="AA14" s="295"/>
      <c r="AB14" s="295"/>
      <c r="AC14" s="295"/>
      <c r="AD14" s="295"/>
      <c r="AE14" s="296"/>
    </row>
    <row r="15" spans="2:31" ht="15" x14ac:dyDescent="0.2">
      <c r="B15" s="17" t="s">
        <v>51</v>
      </c>
      <c r="C15" s="51">
        <v>562</v>
      </c>
      <c r="D15" s="64">
        <f t="shared" si="1"/>
        <v>8.6795366795366799E-2</v>
      </c>
      <c r="E15" s="6"/>
      <c r="F15" s="51">
        <v>750</v>
      </c>
      <c r="G15" s="64">
        <f t="shared" si="2"/>
        <v>0.1114247511513891</v>
      </c>
      <c r="H15" s="6"/>
      <c r="I15" s="51">
        <v>995</v>
      </c>
      <c r="J15" s="57">
        <f t="shared" si="3"/>
        <v>0.10191539485813787</v>
      </c>
      <c r="K15" s="6"/>
      <c r="L15" s="51">
        <v>1448</v>
      </c>
      <c r="M15" s="57">
        <f t="shared" si="4"/>
        <v>8.81100158208592E-2</v>
      </c>
      <c r="N15" s="6"/>
      <c r="O15" s="51">
        <v>2336</v>
      </c>
      <c r="P15" s="64">
        <f t="shared" si="5"/>
        <v>9.8978856828100509E-2</v>
      </c>
      <c r="Q15" s="7"/>
      <c r="R15" s="83" t="s">
        <v>119</v>
      </c>
      <c r="S15" s="64">
        <f>AVERAGE(J15,M15,P15)</f>
        <v>9.6334755835699212E-2</v>
      </c>
      <c r="T15" s="13">
        <f>$S$15*T9</f>
        <v>2614.6360583500873</v>
      </c>
      <c r="U15" s="51">
        <f t="shared" ref="U15:X15" si="9">$S$15*U9</f>
        <v>3006.8314671026005</v>
      </c>
      <c r="V15" s="51">
        <f t="shared" si="9"/>
        <v>3457.8561871679899</v>
      </c>
      <c r="W15" s="51">
        <f t="shared" si="9"/>
        <v>3976.5346152431885</v>
      </c>
      <c r="X15" s="13">
        <f t="shared" si="9"/>
        <v>4573.0148075296656</v>
      </c>
      <c r="Y15" s="271" t="s">
        <v>147</v>
      </c>
      <c r="Z15" s="272"/>
      <c r="AA15" s="272"/>
      <c r="AB15" s="272"/>
      <c r="AC15" s="272"/>
      <c r="AD15" s="272"/>
      <c r="AE15" s="273"/>
    </row>
    <row r="16" spans="2:31" ht="15" x14ac:dyDescent="0.2">
      <c r="B16" s="18" t="s">
        <v>64</v>
      </c>
      <c r="C16" s="52">
        <v>0</v>
      </c>
      <c r="D16" s="70">
        <f t="shared" si="1"/>
        <v>0</v>
      </c>
      <c r="E16" s="19"/>
      <c r="F16" s="52">
        <v>0</v>
      </c>
      <c r="G16" s="71">
        <f t="shared" si="2"/>
        <v>0</v>
      </c>
      <c r="H16" s="19"/>
      <c r="I16" s="52">
        <v>0</v>
      </c>
      <c r="J16" s="72">
        <f t="shared" si="3"/>
        <v>0</v>
      </c>
      <c r="K16" s="19"/>
      <c r="L16" s="52">
        <v>0</v>
      </c>
      <c r="M16" s="52">
        <f t="shared" si="4"/>
        <v>0</v>
      </c>
      <c r="N16" s="19"/>
      <c r="O16" s="52">
        <v>2100</v>
      </c>
      <c r="P16" s="66">
        <f t="shared" si="5"/>
        <v>8.8979280538960218E-2</v>
      </c>
      <c r="Q16" s="20"/>
      <c r="R16" s="84" t="s">
        <v>126</v>
      </c>
      <c r="S16" s="84">
        <v>2100</v>
      </c>
      <c r="T16" s="10">
        <v>2100</v>
      </c>
      <c r="U16" s="52">
        <v>2100</v>
      </c>
      <c r="V16" s="52">
        <v>2100</v>
      </c>
      <c r="W16" s="52">
        <v>2100</v>
      </c>
      <c r="X16" s="10">
        <v>2100</v>
      </c>
      <c r="Y16" s="294" t="s">
        <v>150</v>
      </c>
      <c r="Z16" s="295"/>
      <c r="AA16" s="295"/>
      <c r="AB16" s="295"/>
      <c r="AC16" s="295"/>
      <c r="AD16" s="295"/>
      <c r="AE16" s="296"/>
    </row>
    <row r="17" spans="2:31" ht="15" x14ac:dyDescent="0.2">
      <c r="B17" s="17" t="s">
        <v>52</v>
      </c>
      <c r="C17" s="51">
        <v>0</v>
      </c>
      <c r="D17" s="68">
        <f t="shared" si="1"/>
        <v>0</v>
      </c>
      <c r="E17" s="6"/>
      <c r="F17" s="51">
        <v>-60</v>
      </c>
      <c r="G17" s="64">
        <f t="shared" si="2"/>
        <v>-8.9139800921111279E-3</v>
      </c>
      <c r="H17" s="6"/>
      <c r="I17" s="51">
        <v>0</v>
      </c>
      <c r="J17" s="69">
        <f t="shared" si="3"/>
        <v>0</v>
      </c>
      <c r="K17" s="6"/>
      <c r="L17" s="51">
        <v>-12</v>
      </c>
      <c r="M17" s="55">
        <f t="shared" si="4"/>
        <v>-7.3019350127783865E-4</v>
      </c>
      <c r="N17" s="6"/>
      <c r="O17" s="51">
        <v>-102</v>
      </c>
      <c r="P17" s="73">
        <f t="shared" si="5"/>
        <v>-4.32185076903521E-3</v>
      </c>
      <c r="Q17" s="7"/>
      <c r="R17" s="83" t="s">
        <v>127</v>
      </c>
      <c r="S17" s="83">
        <v>0</v>
      </c>
      <c r="T17" s="13">
        <v>0</v>
      </c>
      <c r="U17" s="51">
        <v>0</v>
      </c>
      <c r="V17" s="51">
        <v>0</v>
      </c>
      <c r="W17" s="51">
        <v>0</v>
      </c>
      <c r="X17" s="13">
        <v>0</v>
      </c>
      <c r="Y17" s="271" t="s">
        <v>151</v>
      </c>
      <c r="Z17" s="272"/>
      <c r="AA17" s="272"/>
      <c r="AB17" s="272"/>
      <c r="AC17" s="272"/>
      <c r="AD17" s="272"/>
      <c r="AE17" s="273"/>
    </row>
    <row r="18" spans="2:31" ht="15" x14ac:dyDescent="0.2">
      <c r="B18" s="18" t="s">
        <v>53</v>
      </c>
      <c r="C18" s="52">
        <v>451</v>
      </c>
      <c r="D18" s="66">
        <f t="shared" si="1"/>
        <v>6.9652509652509659E-2</v>
      </c>
      <c r="E18" s="19"/>
      <c r="F18" s="52">
        <v>631</v>
      </c>
      <c r="G18" s="66">
        <f t="shared" si="2"/>
        <v>9.3745357302035356E-2</v>
      </c>
      <c r="H18" s="19"/>
      <c r="I18" s="52">
        <v>1369</v>
      </c>
      <c r="J18" s="58">
        <f t="shared" si="3"/>
        <v>0.14022329202089523</v>
      </c>
      <c r="K18" s="19"/>
      <c r="L18" s="52">
        <v>3648</v>
      </c>
      <c r="M18" s="58">
        <f t="shared" si="4"/>
        <v>0.22197882438846295</v>
      </c>
      <c r="N18" s="19"/>
      <c r="O18" s="52">
        <v>1264</v>
      </c>
      <c r="P18" s="66">
        <f t="shared" si="5"/>
        <v>5.3557052667259859E-2</v>
      </c>
      <c r="Q18" s="20"/>
      <c r="R18" s="84"/>
      <c r="S18" s="84"/>
      <c r="T18" s="10">
        <f>T13-T14-T15-T16-T17</f>
        <v>3098.1140950472027</v>
      </c>
      <c r="U18" s="52">
        <f t="shared" ref="U18:X18" si="10">U13-U14-U15-U16-U17</f>
        <v>4657.8312093042805</v>
      </c>
      <c r="V18" s="52">
        <f t="shared" si="10"/>
        <v>6451.5058906999202</v>
      </c>
      <c r="W18" s="52">
        <f t="shared" si="10"/>
        <v>8514.2317743049098</v>
      </c>
      <c r="X18" s="10">
        <f t="shared" si="10"/>
        <v>10886.366540450645</v>
      </c>
      <c r="Y18" s="18"/>
      <c r="Z18" s="19"/>
      <c r="AA18" s="19"/>
      <c r="AB18" s="19"/>
      <c r="AC18" s="19"/>
      <c r="AD18" s="19"/>
      <c r="AE18" s="20"/>
    </row>
    <row r="19" spans="2:31" ht="15" x14ac:dyDescent="0.2">
      <c r="B19" s="17" t="s">
        <v>54</v>
      </c>
      <c r="C19" s="51">
        <v>-121</v>
      </c>
      <c r="D19" s="64">
        <f t="shared" si="1"/>
        <v>-1.8687258687258686E-2</v>
      </c>
      <c r="E19" s="6"/>
      <c r="F19" s="51">
        <v>-94</v>
      </c>
      <c r="G19" s="73">
        <f t="shared" si="2"/>
        <v>-1.3965235477640767E-2</v>
      </c>
      <c r="H19" s="6"/>
      <c r="I19" s="51">
        <v>-47</v>
      </c>
      <c r="J19" s="55">
        <f t="shared" si="3"/>
        <v>-4.8140940284748541E-3</v>
      </c>
      <c r="K19" s="6"/>
      <c r="L19" s="51">
        <v>-34</v>
      </c>
      <c r="M19" s="55">
        <f t="shared" si="4"/>
        <v>-2.068881586953876E-3</v>
      </c>
      <c r="N19" s="6"/>
      <c r="O19" s="51">
        <v>-88</v>
      </c>
      <c r="P19" s="73">
        <f t="shared" si="5"/>
        <v>-3.7286555654421423E-3</v>
      </c>
      <c r="Q19" s="7"/>
      <c r="R19" s="83" t="s">
        <v>125</v>
      </c>
      <c r="S19" s="78">
        <v>4.1599999999999998E-2</v>
      </c>
      <c r="T19" s="13">
        <f ca="1">-'Support tab'!F74-$S$19*T59</f>
        <v>-81.543749999999989</v>
      </c>
      <c r="U19" s="13">
        <f ca="1">-'Support tab'!G74-$S$19*U59</f>
        <v>-59.418750000000003</v>
      </c>
      <c r="V19" s="13">
        <f ca="1">-'Support tab'!H74-$S$19*V59</f>
        <v>-59.418750000000003</v>
      </c>
      <c r="W19" s="13">
        <f ca="1">-'Support tab'!I74-$S$19*W59</f>
        <v>-59.397499999999994</v>
      </c>
      <c r="X19" s="13">
        <f ca="1">-'Support tab'!J74-$S$19*X59</f>
        <v>-59.397499999999994</v>
      </c>
      <c r="Y19" s="297" t="s">
        <v>152</v>
      </c>
      <c r="Z19" s="298"/>
      <c r="AA19" s="298"/>
      <c r="AB19" s="298"/>
      <c r="AC19" s="298"/>
      <c r="AD19" s="298"/>
      <c r="AE19" s="299"/>
    </row>
    <row r="20" spans="2:31" ht="15" x14ac:dyDescent="0.2">
      <c r="B20" s="18" t="s">
        <v>55</v>
      </c>
      <c r="C20" s="52">
        <v>0</v>
      </c>
      <c r="D20" s="70">
        <f t="shared" si="1"/>
        <v>0</v>
      </c>
      <c r="E20" s="19"/>
      <c r="F20" s="52">
        <v>-165</v>
      </c>
      <c r="G20" s="74">
        <f t="shared" si="2"/>
        <v>-2.45134452533056E-2</v>
      </c>
      <c r="H20" s="19"/>
      <c r="I20" s="52">
        <v>-47</v>
      </c>
      <c r="J20" s="56">
        <f t="shared" si="3"/>
        <v>-4.8140940284748541E-3</v>
      </c>
      <c r="K20" s="19"/>
      <c r="L20" s="52">
        <v>55</v>
      </c>
      <c r="M20" s="56">
        <f t="shared" si="4"/>
        <v>3.3467202141900937E-3</v>
      </c>
      <c r="N20" s="19"/>
      <c r="O20" s="52">
        <v>8</v>
      </c>
      <c r="P20" s="75">
        <f t="shared" si="5"/>
        <v>3.3896868776746747E-4</v>
      </c>
      <c r="Q20" s="20"/>
      <c r="R20" s="84" t="s">
        <v>119</v>
      </c>
      <c r="S20" s="105">
        <v>0.05</v>
      </c>
      <c r="T20" s="10">
        <f>'Support tab'!F80</f>
        <v>122</v>
      </c>
      <c r="U20" s="10">
        <f>'Support tab'!G80</f>
        <v>122</v>
      </c>
      <c r="V20" s="10">
        <f>'Support tab'!H80</f>
        <v>122</v>
      </c>
      <c r="W20" s="10">
        <f>'Support tab'!I80</f>
        <v>122</v>
      </c>
      <c r="X20" s="10">
        <f>'Support tab'!J80</f>
        <v>122</v>
      </c>
      <c r="Y20" s="294" t="s">
        <v>153</v>
      </c>
      <c r="Z20" s="295"/>
      <c r="AA20" s="295"/>
      <c r="AB20" s="295"/>
      <c r="AC20" s="295"/>
      <c r="AD20" s="295"/>
      <c r="AE20" s="296"/>
    </row>
    <row r="21" spans="2:31" ht="15" x14ac:dyDescent="0.2">
      <c r="B21" s="17" t="s">
        <v>56</v>
      </c>
      <c r="C21" s="51">
        <v>330</v>
      </c>
      <c r="D21" s="64">
        <f t="shared" si="1"/>
        <v>5.0965250965250966E-2</v>
      </c>
      <c r="E21" s="6"/>
      <c r="F21" s="51">
        <v>372</v>
      </c>
      <c r="G21" s="64">
        <f t="shared" si="2"/>
        <v>5.5266676571088989E-2</v>
      </c>
      <c r="H21" s="6"/>
      <c r="I21" s="51">
        <v>1275</v>
      </c>
      <c r="J21" s="57">
        <f t="shared" si="3"/>
        <v>0.1305951039639455</v>
      </c>
      <c r="K21" s="6"/>
      <c r="L21" s="51">
        <v>3669</v>
      </c>
      <c r="M21" s="57">
        <f t="shared" si="4"/>
        <v>0.22325666301569916</v>
      </c>
      <c r="N21" s="6"/>
      <c r="O21" s="51">
        <v>1184</v>
      </c>
      <c r="P21" s="64">
        <f t="shared" si="5"/>
        <v>5.0167365789585187E-2</v>
      </c>
      <c r="Q21" s="7"/>
      <c r="R21" s="83"/>
      <c r="S21" s="83"/>
      <c r="T21" s="13">
        <f ca="1">T18+T19+T20</f>
        <v>3138.5703450472029</v>
      </c>
      <c r="U21" s="13">
        <f t="shared" ref="U21:X21" ca="1" si="11">U18+U19+U20</f>
        <v>4720.4124593042807</v>
      </c>
      <c r="V21" s="13">
        <f t="shared" ca="1" si="11"/>
        <v>6514.0871406999204</v>
      </c>
      <c r="W21" s="13">
        <f t="shared" ca="1" si="11"/>
        <v>8576.8342743049107</v>
      </c>
      <c r="X21" s="13">
        <f t="shared" ca="1" si="11"/>
        <v>10948.969040450645</v>
      </c>
      <c r="Y21" s="17"/>
      <c r="Z21" s="6"/>
      <c r="AA21" s="6"/>
      <c r="AB21" s="6"/>
      <c r="AC21" s="6"/>
      <c r="AD21" s="6"/>
      <c r="AE21" s="7"/>
    </row>
    <row r="22" spans="2:31" ht="15" x14ac:dyDescent="0.2">
      <c r="B22" s="18" t="s">
        <v>57</v>
      </c>
      <c r="C22" s="52">
        <v>-9</v>
      </c>
      <c r="D22" s="75">
        <f t="shared" si="1"/>
        <v>-1.3899613899613899E-3</v>
      </c>
      <c r="E22" s="19"/>
      <c r="F22" s="52">
        <v>31</v>
      </c>
      <c r="G22" s="75">
        <f t="shared" si="2"/>
        <v>4.6055563809240824E-3</v>
      </c>
      <c r="H22" s="19"/>
      <c r="I22" s="52">
        <v>-1210</v>
      </c>
      <c r="J22" s="58">
        <f t="shared" si="3"/>
        <v>-0.12393731435009731</v>
      </c>
      <c r="K22" s="19"/>
      <c r="L22" s="52">
        <v>513</v>
      </c>
      <c r="M22" s="58">
        <f t="shared" si="4"/>
        <v>3.12157721796276E-2</v>
      </c>
      <c r="N22" s="19"/>
      <c r="O22" s="52">
        <v>-122</v>
      </c>
      <c r="P22" s="66">
        <f t="shared" si="5"/>
        <v>-5.1692724884538788E-3</v>
      </c>
      <c r="Q22" s="20"/>
      <c r="R22" s="84" t="s">
        <v>130</v>
      </c>
      <c r="S22" s="58">
        <v>0.14000000000000001</v>
      </c>
      <c r="T22" s="10">
        <f ca="1">$S$22*T21</f>
        <v>439.39984830660842</v>
      </c>
      <c r="U22" s="52">
        <f t="shared" ref="U22:X22" ca="1" si="12">$S$22*U21</f>
        <v>660.85774430259937</v>
      </c>
      <c r="V22" s="52">
        <f t="shared" ca="1" si="12"/>
        <v>911.97219969798891</v>
      </c>
      <c r="W22" s="52">
        <f t="shared" ca="1" si="12"/>
        <v>1200.7567984026875</v>
      </c>
      <c r="X22" s="10">
        <f t="shared" ca="1" si="12"/>
        <v>1532.8556656630906</v>
      </c>
      <c r="Y22" s="300" t="s">
        <v>154</v>
      </c>
      <c r="Z22" s="301"/>
      <c r="AA22" s="301"/>
      <c r="AB22" s="301"/>
      <c r="AC22" s="301"/>
      <c r="AD22" s="301"/>
      <c r="AE22" s="302"/>
    </row>
    <row r="23" spans="2:31" ht="15" x14ac:dyDescent="0.2">
      <c r="B23" s="17" t="s">
        <v>58</v>
      </c>
      <c r="C23" s="51">
        <v>-2</v>
      </c>
      <c r="D23" s="76">
        <f t="shared" si="1"/>
        <v>-3.088803088803089E-4</v>
      </c>
      <c r="E23" s="6"/>
      <c r="F23" s="51">
        <v>0</v>
      </c>
      <c r="G23" s="77">
        <f t="shared" si="2"/>
        <v>0</v>
      </c>
      <c r="H23" s="6"/>
      <c r="I23" s="51">
        <v>5</v>
      </c>
      <c r="J23" s="78">
        <f t="shared" si="3"/>
        <v>5.1213766260370787E-4</v>
      </c>
      <c r="K23" s="6"/>
      <c r="L23" s="51">
        <v>6</v>
      </c>
      <c r="M23" s="78">
        <f t="shared" si="4"/>
        <v>3.6509675063891932E-4</v>
      </c>
      <c r="N23" s="6"/>
      <c r="O23" s="51">
        <v>14</v>
      </c>
      <c r="P23" s="76">
        <f t="shared" si="5"/>
        <v>5.9319520359306811E-4</v>
      </c>
      <c r="Q23" s="7"/>
      <c r="R23" s="83" t="s">
        <v>119</v>
      </c>
      <c r="S23" s="78">
        <f>AVERAGE(J23,M23,P23)</f>
        <v>4.9014320561189845E-4</v>
      </c>
      <c r="T23" s="13">
        <f>$S$23*T9</f>
        <v>13.303050264993377</v>
      </c>
      <c r="U23" s="51">
        <f t="shared" ref="U23:X23" si="13">$S$23*U9</f>
        <v>15.298507804742382</v>
      </c>
      <c r="V23" s="51">
        <f t="shared" si="13"/>
        <v>17.593283975453737</v>
      </c>
      <c r="W23" s="51">
        <f t="shared" si="13"/>
        <v>20.232276571771795</v>
      </c>
      <c r="X23" s="13">
        <f t="shared" si="13"/>
        <v>23.267118057537562</v>
      </c>
      <c r="Y23" s="271" t="s">
        <v>147</v>
      </c>
      <c r="Z23" s="272"/>
      <c r="AA23" s="272"/>
      <c r="AB23" s="272"/>
      <c r="AC23" s="272"/>
      <c r="AD23" s="272"/>
      <c r="AE23" s="273"/>
    </row>
    <row r="24" spans="2:31" ht="15" x14ac:dyDescent="0.2">
      <c r="B24" s="18" t="s">
        <v>59</v>
      </c>
      <c r="C24" s="52">
        <v>337</v>
      </c>
      <c r="D24" s="66">
        <f t="shared" si="1"/>
        <v>5.2046332046332043E-2</v>
      </c>
      <c r="E24" s="19"/>
      <c r="F24" s="52">
        <v>341</v>
      </c>
      <c r="G24" s="66">
        <f t="shared" si="2"/>
        <v>5.0661120190164909E-2</v>
      </c>
      <c r="H24" s="19"/>
      <c r="I24" s="52">
        <v>2490</v>
      </c>
      <c r="J24" s="58">
        <f t="shared" si="3"/>
        <v>0.25504455597664655</v>
      </c>
      <c r="K24" s="19"/>
      <c r="L24" s="52">
        <v>3162</v>
      </c>
      <c r="M24" s="58">
        <f t="shared" si="4"/>
        <v>0.19240598758671049</v>
      </c>
      <c r="N24" s="19"/>
      <c r="O24" s="52">
        <v>1320</v>
      </c>
      <c r="P24" s="66">
        <f t="shared" si="5"/>
        <v>5.5929833481632135E-2</v>
      </c>
      <c r="Q24" s="20"/>
      <c r="R24" s="84"/>
      <c r="S24" s="84"/>
      <c r="T24" s="10">
        <f ca="1">T21-T22-T23</f>
        <v>2685.8674464756009</v>
      </c>
      <c r="U24" s="52">
        <f t="shared" ref="U24:X24" ca="1" si="14">U21-U22-U23</f>
        <v>4044.2562071969392</v>
      </c>
      <c r="V24" s="52">
        <f t="shared" ca="1" si="14"/>
        <v>5584.5216570264774</v>
      </c>
      <c r="W24" s="52">
        <f t="shared" ca="1" si="14"/>
        <v>7355.8451993304516</v>
      </c>
      <c r="X24" s="10">
        <f t="shared" ca="1" si="14"/>
        <v>9392.8462567300176</v>
      </c>
      <c r="Y24" s="18"/>
      <c r="Z24" s="19"/>
      <c r="AA24" s="19"/>
      <c r="AB24" s="19"/>
      <c r="AC24" s="19"/>
      <c r="AD24" s="19"/>
      <c r="AE24" s="20"/>
    </row>
    <row r="25" spans="2:31" ht="15" x14ac:dyDescent="0.2">
      <c r="B25" s="17" t="s">
        <v>60</v>
      </c>
      <c r="C25" s="51"/>
      <c r="D25" s="79"/>
      <c r="E25" s="6"/>
      <c r="F25" s="51"/>
      <c r="G25" s="80"/>
      <c r="H25" s="6"/>
      <c r="I25" s="51"/>
      <c r="J25" s="57"/>
      <c r="K25" s="6"/>
      <c r="L25" s="51"/>
      <c r="M25" s="57"/>
      <c r="N25" s="6"/>
      <c r="O25" s="51"/>
      <c r="P25" s="64"/>
      <c r="Q25" s="7"/>
      <c r="R25" s="83"/>
      <c r="S25" s="83"/>
      <c r="T25" s="13"/>
      <c r="U25" s="51"/>
      <c r="V25" s="51"/>
      <c r="W25" s="51"/>
      <c r="X25" s="13"/>
      <c r="Y25" s="17"/>
      <c r="Z25" s="6"/>
      <c r="AA25" s="6"/>
      <c r="AB25" s="6"/>
      <c r="AC25" s="6"/>
      <c r="AD25" s="6"/>
      <c r="AE25" s="7"/>
    </row>
    <row r="26" spans="2:31" ht="15" x14ac:dyDescent="0.2">
      <c r="B26" s="26" t="s">
        <v>61</v>
      </c>
      <c r="C26" s="53">
        <v>0.34</v>
      </c>
      <c r="D26" s="81"/>
      <c r="E26" s="19"/>
      <c r="F26" s="53">
        <v>0.31</v>
      </c>
      <c r="G26" s="82"/>
      <c r="H26" s="19"/>
      <c r="I26" s="53">
        <v>2.1</v>
      </c>
      <c r="J26" s="58"/>
      <c r="K26" s="19"/>
      <c r="L26" s="53">
        <v>2.61</v>
      </c>
      <c r="M26" s="58"/>
      <c r="N26" s="19"/>
      <c r="O26" s="53">
        <v>0.85</v>
      </c>
      <c r="P26" s="66"/>
      <c r="Q26" s="20"/>
      <c r="R26" s="84"/>
      <c r="S26" s="84"/>
      <c r="T26" s="28">
        <f ca="1">T24/T29</f>
        <v>1.6892248091041515</v>
      </c>
      <c r="U26" s="53">
        <f t="shared" ref="U26:X26" ca="1" si="15">U24/U29</f>
        <v>2.543557363016943</v>
      </c>
      <c r="V26" s="53">
        <f t="shared" ca="1" si="15"/>
        <v>3.5122777717147655</v>
      </c>
      <c r="W26" s="53">
        <f t="shared" ca="1" si="15"/>
        <v>4.626317735427957</v>
      </c>
      <c r="X26" s="28">
        <f t="shared" ca="1" si="15"/>
        <v>5.9074504759308288</v>
      </c>
      <c r="Y26" s="300" t="s">
        <v>155</v>
      </c>
      <c r="Z26" s="301"/>
      <c r="AA26" s="301"/>
      <c r="AB26" s="301"/>
      <c r="AC26" s="301"/>
      <c r="AD26" s="301"/>
      <c r="AE26" s="302"/>
    </row>
    <row r="27" spans="2:31" ht="15" x14ac:dyDescent="0.2">
      <c r="B27" s="29" t="s">
        <v>62</v>
      </c>
      <c r="C27" s="54">
        <v>0.32</v>
      </c>
      <c r="D27" s="79"/>
      <c r="E27" s="6"/>
      <c r="F27" s="54">
        <v>0.3</v>
      </c>
      <c r="G27" s="80"/>
      <c r="H27" s="6"/>
      <c r="I27" s="54">
        <v>2.06</v>
      </c>
      <c r="J27" s="57"/>
      <c r="K27" s="6"/>
      <c r="L27" s="54">
        <v>2.57</v>
      </c>
      <c r="M27" s="57"/>
      <c r="N27" s="6"/>
      <c r="O27" s="54">
        <v>0.84</v>
      </c>
      <c r="P27" s="64"/>
      <c r="Q27" s="7"/>
      <c r="R27" s="83"/>
      <c r="S27" s="83"/>
      <c r="T27" s="31">
        <f ca="1">T24/T30</f>
        <v>1.6786671540472506</v>
      </c>
      <c r="U27" s="54">
        <f t="shared" ref="U27:X27" ca="1" si="16">U24/U30</f>
        <v>2.5276601294980869</v>
      </c>
      <c r="V27" s="54">
        <f t="shared" ca="1" si="16"/>
        <v>3.4903260356415484</v>
      </c>
      <c r="W27" s="54">
        <f t="shared" ca="1" si="16"/>
        <v>4.5974032495815322</v>
      </c>
      <c r="X27" s="31">
        <f t="shared" ca="1" si="16"/>
        <v>5.8705289104562608</v>
      </c>
      <c r="Y27" s="271" t="s">
        <v>156</v>
      </c>
      <c r="Z27" s="272"/>
      <c r="AA27" s="272"/>
      <c r="AB27" s="272"/>
      <c r="AC27" s="272"/>
      <c r="AD27" s="272"/>
      <c r="AE27" s="273"/>
    </row>
    <row r="28" spans="2:31" ht="15" x14ac:dyDescent="0.2">
      <c r="B28" s="18" t="s">
        <v>63</v>
      </c>
      <c r="C28" s="52"/>
      <c r="D28" s="81"/>
      <c r="E28" s="19"/>
      <c r="F28" s="52"/>
      <c r="G28" s="82"/>
      <c r="H28" s="19"/>
      <c r="I28" s="52"/>
      <c r="J28" s="58"/>
      <c r="K28" s="19"/>
      <c r="L28" s="52"/>
      <c r="M28" s="58"/>
      <c r="N28" s="19"/>
      <c r="O28" s="52"/>
      <c r="P28" s="66"/>
      <c r="Q28" s="20"/>
      <c r="R28" s="84"/>
      <c r="S28" s="84"/>
      <c r="T28" s="10"/>
      <c r="U28" s="52"/>
      <c r="V28" s="52"/>
      <c r="W28" s="52"/>
      <c r="X28" s="10"/>
      <c r="Y28" s="18"/>
      <c r="Z28" s="19"/>
      <c r="AA28" s="19"/>
      <c r="AB28" s="19"/>
      <c r="AC28" s="19"/>
      <c r="AD28" s="19"/>
      <c r="AE28" s="20"/>
    </row>
    <row r="29" spans="2:31" ht="15" x14ac:dyDescent="0.2">
      <c r="B29" s="29" t="s">
        <v>61</v>
      </c>
      <c r="C29" s="51">
        <v>982</v>
      </c>
      <c r="D29" s="79"/>
      <c r="E29" s="6"/>
      <c r="F29" s="51">
        <v>1091</v>
      </c>
      <c r="G29" s="80"/>
      <c r="H29" s="6"/>
      <c r="I29" s="51">
        <v>1184</v>
      </c>
      <c r="J29" s="57"/>
      <c r="K29" s="6"/>
      <c r="L29" s="51">
        <v>1213</v>
      </c>
      <c r="M29" s="57"/>
      <c r="N29" s="6"/>
      <c r="O29" s="51">
        <v>1561</v>
      </c>
      <c r="P29" s="64"/>
      <c r="Q29" s="7"/>
      <c r="R29" s="83" t="s">
        <v>127</v>
      </c>
      <c r="S29" s="83">
        <v>1590</v>
      </c>
      <c r="T29" s="7">
        <v>1590</v>
      </c>
      <c r="U29" s="83">
        <v>1590</v>
      </c>
      <c r="V29" s="83">
        <v>1590</v>
      </c>
      <c r="W29" s="83">
        <v>1590</v>
      </c>
      <c r="X29" s="7">
        <v>1590</v>
      </c>
      <c r="Y29" s="289" t="s">
        <v>157</v>
      </c>
      <c r="Z29" s="290"/>
      <c r="AA29" s="290"/>
      <c r="AB29" s="290"/>
      <c r="AC29" s="290"/>
      <c r="AD29" s="290"/>
      <c r="AE29" s="303"/>
    </row>
    <row r="30" spans="2:31" ht="15" x14ac:dyDescent="0.2">
      <c r="B30" s="26" t="s">
        <v>62</v>
      </c>
      <c r="C30" s="52">
        <v>1064</v>
      </c>
      <c r="D30" s="81"/>
      <c r="E30" s="19"/>
      <c r="F30" s="52">
        <v>1120</v>
      </c>
      <c r="G30" s="82"/>
      <c r="H30" s="19"/>
      <c r="I30" s="52">
        <v>1207</v>
      </c>
      <c r="J30" s="58"/>
      <c r="K30" s="19"/>
      <c r="L30" s="52">
        <v>1229</v>
      </c>
      <c r="M30" s="58"/>
      <c r="N30" s="19"/>
      <c r="O30" s="52">
        <v>1571</v>
      </c>
      <c r="P30" s="66"/>
      <c r="Q30" s="20"/>
      <c r="R30" s="84" t="s">
        <v>127</v>
      </c>
      <c r="S30" s="84">
        <v>1600</v>
      </c>
      <c r="T30" s="20">
        <v>1600</v>
      </c>
      <c r="U30" s="84">
        <v>1600</v>
      </c>
      <c r="V30" s="84">
        <v>1600</v>
      </c>
      <c r="W30" s="84">
        <v>1600</v>
      </c>
      <c r="X30" s="20">
        <v>1600</v>
      </c>
      <c r="Y30" s="289"/>
      <c r="Z30" s="290"/>
      <c r="AA30" s="290"/>
      <c r="AB30" s="290"/>
      <c r="AC30" s="290"/>
      <c r="AD30" s="290"/>
      <c r="AE30" s="303"/>
    </row>
    <row r="31" spans="2:31" ht="15" x14ac:dyDescent="0.2">
      <c r="B31" s="100"/>
      <c r="C31" s="96"/>
      <c r="D31" s="96"/>
      <c r="E31" s="96"/>
      <c r="F31" s="96"/>
      <c r="G31" s="100"/>
      <c r="H31" s="96"/>
      <c r="I31" s="96"/>
      <c r="J31" s="96"/>
      <c r="K31" s="96"/>
      <c r="L31" s="96"/>
      <c r="M31" s="96"/>
      <c r="N31" s="96"/>
      <c r="O31" s="96"/>
      <c r="P31" s="96"/>
      <c r="Q31" s="101"/>
      <c r="R31" s="96"/>
      <c r="S31" s="96"/>
      <c r="T31" s="23"/>
      <c r="U31" s="85"/>
      <c r="V31" s="85"/>
      <c r="W31" s="85"/>
      <c r="X31" s="23"/>
      <c r="Y31" s="106"/>
      <c r="Z31" s="107"/>
      <c r="AA31" s="107"/>
      <c r="AB31" s="107"/>
      <c r="AC31" s="107"/>
      <c r="AD31" s="107"/>
      <c r="AE31" s="108"/>
    </row>
    <row r="32" spans="2:31" ht="15" x14ac:dyDescent="0.2">
      <c r="B32" s="14" t="s">
        <v>233</v>
      </c>
      <c r="C32" s="84"/>
      <c r="D32" s="84"/>
      <c r="E32" s="84"/>
      <c r="F32" s="84"/>
      <c r="G32" s="18"/>
      <c r="H32" s="84"/>
      <c r="I32" s="84"/>
      <c r="J32" s="84"/>
      <c r="K32" s="84"/>
      <c r="L32" s="84"/>
      <c r="M32" s="84"/>
      <c r="N32" s="84"/>
      <c r="O32" s="84"/>
      <c r="P32" s="84"/>
      <c r="Q32" s="20"/>
      <c r="R32" s="84"/>
      <c r="S32" s="84"/>
      <c r="T32" s="10"/>
      <c r="U32" s="52"/>
      <c r="V32" s="52"/>
      <c r="W32" s="52"/>
      <c r="X32" s="10"/>
      <c r="Y32" s="18"/>
      <c r="Z32" s="19"/>
      <c r="AA32" s="19"/>
      <c r="AB32" s="19"/>
      <c r="AC32" s="19"/>
      <c r="AD32" s="19"/>
      <c r="AE32" s="20"/>
    </row>
    <row r="33" spans="2:31" ht="15" x14ac:dyDescent="0.2">
      <c r="B33" s="5" t="s">
        <v>7</v>
      </c>
      <c r="C33" s="83"/>
      <c r="D33" s="83"/>
      <c r="E33" s="83"/>
      <c r="F33" s="83"/>
      <c r="G33" s="17"/>
      <c r="H33" s="83"/>
      <c r="I33" s="83"/>
      <c r="J33" s="83"/>
      <c r="K33" s="83"/>
      <c r="L33" s="83"/>
      <c r="M33" s="83"/>
      <c r="N33" s="83"/>
      <c r="O33" s="7"/>
      <c r="P33" s="83"/>
      <c r="Q33" s="7"/>
      <c r="R33" s="83"/>
      <c r="S33" s="83"/>
      <c r="T33" s="13"/>
      <c r="U33" s="51"/>
      <c r="V33" s="51"/>
      <c r="W33" s="51"/>
      <c r="X33" s="13"/>
      <c r="Y33" s="106"/>
      <c r="Z33" s="107"/>
      <c r="AA33" s="107"/>
      <c r="AB33" s="107"/>
      <c r="AC33" s="107"/>
      <c r="AD33" s="107"/>
      <c r="AE33" s="108"/>
    </row>
    <row r="34" spans="2:31" ht="15" x14ac:dyDescent="0.2">
      <c r="B34" s="132" t="s">
        <v>8</v>
      </c>
      <c r="C34" s="126">
        <v>1156</v>
      </c>
      <c r="D34" s="127">
        <f>C34/$C$9</f>
        <v>0.17853281853281852</v>
      </c>
      <c r="E34" s="128"/>
      <c r="F34" s="126">
        <v>1503</v>
      </c>
      <c r="G34" s="129">
        <f>F34/$F$9</f>
        <v>0.22329520130738376</v>
      </c>
      <c r="H34" s="128"/>
      <c r="I34" s="126">
        <v>2290</v>
      </c>
      <c r="J34" s="127">
        <f>I34/$I$9</f>
        <v>0.2345590494724982</v>
      </c>
      <c r="K34" s="128"/>
      <c r="L34" s="126">
        <v>3608</v>
      </c>
      <c r="M34" s="127">
        <f>L34/$L$9</f>
        <v>0.21954484605087016</v>
      </c>
      <c r="N34" s="128"/>
      <c r="O34" s="130">
        <v>5855</v>
      </c>
      <c r="P34" s="127">
        <f>O34/$O$9</f>
        <v>0.24808270835981527</v>
      </c>
      <c r="Q34" s="131"/>
      <c r="R34" s="128" t="s">
        <v>129</v>
      </c>
      <c r="S34" s="128">
        <v>1500</v>
      </c>
      <c r="T34" s="130">
        <f ca="1">IF(T73&lt;-$S$34,-T73,$S$34)</f>
        <v>8958.3659468197729</v>
      </c>
      <c r="U34" s="130">
        <f t="shared" ref="U34:X34" ca="1" si="17">IF(U73&lt;-$S$34,-U73,$S$34)</f>
        <v>11911.659741568335</v>
      </c>
      <c r="V34" s="130">
        <f t="shared" ca="1" si="17"/>
        <v>17059.137436779187</v>
      </c>
      <c r="W34" s="130">
        <f t="shared" ca="1" si="17"/>
        <v>23864.216142521662</v>
      </c>
      <c r="X34" s="130">
        <f t="shared" ca="1" si="17"/>
        <v>32575.390556625498</v>
      </c>
      <c r="Y34" s="304" t="s">
        <v>158</v>
      </c>
      <c r="Z34" s="305"/>
      <c r="AA34" s="305"/>
      <c r="AB34" s="305"/>
      <c r="AC34" s="305"/>
      <c r="AD34" s="305"/>
      <c r="AE34" s="306"/>
    </row>
    <row r="35" spans="2:31" ht="15" x14ac:dyDescent="0.2">
      <c r="B35" s="11" t="s">
        <v>9</v>
      </c>
      <c r="C35" s="51">
        <v>1235</v>
      </c>
      <c r="D35" s="64">
        <f t="shared" ref="D35:D69" si="18">C35/$C$9</f>
        <v>0.19073359073359072</v>
      </c>
      <c r="E35" s="83"/>
      <c r="F35" s="51">
        <v>1859</v>
      </c>
      <c r="G35" s="110">
        <f t="shared" ref="G35:G69" si="19">F35/$F$9</f>
        <v>0.27618481652057641</v>
      </c>
      <c r="H35" s="83"/>
      <c r="I35" s="51">
        <v>2066</v>
      </c>
      <c r="J35" s="64">
        <f t="shared" ref="J35:J69" si="20">I35/$I$9</f>
        <v>0.21161528218785208</v>
      </c>
      <c r="K35" s="83"/>
      <c r="L35" s="51">
        <v>2706</v>
      </c>
      <c r="M35" s="64">
        <f t="shared" ref="M35:M69" si="21">L35/$L$9</f>
        <v>0.1646586345381526</v>
      </c>
      <c r="N35" s="83"/>
      <c r="O35" s="13">
        <v>4126</v>
      </c>
      <c r="P35" s="64">
        <f t="shared" ref="P35:P69" si="22">O35/$O$9</f>
        <v>0.17482310071607135</v>
      </c>
      <c r="Q35" s="7"/>
      <c r="R35" s="83" t="s">
        <v>119</v>
      </c>
      <c r="S35" s="57">
        <f>AVERAGE(J35,M35,P35)</f>
        <v>0.18369900581402535</v>
      </c>
      <c r="T35" s="13">
        <f>$S$35*T9</f>
        <v>4985.8022716493333</v>
      </c>
      <c r="U35" s="51">
        <f t="shared" ref="U35:X35" si="23">$S$35*U9</f>
        <v>5733.6726123967328</v>
      </c>
      <c r="V35" s="51">
        <f t="shared" si="23"/>
        <v>6593.7235042562424</v>
      </c>
      <c r="W35" s="51">
        <f t="shared" si="23"/>
        <v>7582.7820298946781</v>
      </c>
      <c r="X35" s="13">
        <f t="shared" si="23"/>
        <v>8720.1993343788781</v>
      </c>
      <c r="Y35" s="307" t="s">
        <v>147</v>
      </c>
      <c r="Z35" s="308"/>
      <c r="AA35" s="308"/>
      <c r="AB35" s="308"/>
      <c r="AC35" s="308"/>
      <c r="AD35" s="308"/>
      <c r="AE35" s="309"/>
    </row>
    <row r="36" spans="2:31" ht="15" x14ac:dyDescent="0.2">
      <c r="B36" s="8" t="s">
        <v>10</v>
      </c>
      <c r="C36" s="52">
        <v>845</v>
      </c>
      <c r="D36" s="66">
        <f t="shared" si="18"/>
        <v>0.13050193050193051</v>
      </c>
      <c r="E36" s="84"/>
      <c r="F36" s="52">
        <v>982</v>
      </c>
      <c r="G36" s="109">
        <f t="shared" si="19"/>
        <v>0.14589214084088545</v>
      </c>
      <c r="H36" s="84"/>
      <c r="I36" s="52">
        <v>1399</v>
      </c>
      <c r="J36" s="66">
        <f t="shared" si="20"/>
        <v>0.14329611799651745</v>
      </c>
      <c r="K36" s="84"/>
      <c r="L36" s="52">
        <v>1955</v>
      </c>
      <c r="M36" s="66">
        <f t="shared" si="21"/>
        <v>0.11896069124984787</v>
      </c>
      <c r="N36" s="84"/>
      <c r="O36" s="10">
        <v>3771</v>
      </c>
      <c r="P36" s="66">
        <f t="shared" si="22"/>
        <v>0.15978136519639</v>
      </c>
      <c r="Q36" s="20"/>
      <c r="R36" s="84" t="s">
        <v>119</v>
      </c>
      <c r="S36" s="58">
        <f>AVERAGE(J36,M36,P36)</f>
        <v>0.14067939148091843</v>
      </c>
      <c r="T36" s="10">
        <f>$S$36*T9</f>
        <v>3818.200466092329</v>
      </c>
      <c r="U36" s="52">
        <f t="shared" ref="U36:X36" si="24">$S$36*U9</f>
        <v>4390.930536006178</v>
      </c>
      <c r="V36" s="52">
        <f t="shared" si="24"/>
        <v>5049.5701164071043</v>
      </c>
      <c r="W36" s="52">
        <f t="shared" si="24"/>
        <v>5807.0056338681698</v>
      </c>
      <c r="X36" s="10">
        <f t="shared" si="24"/>
        <v>6678.0564789483942</v>
      </c>
      <c r="Y36" s="300" t="s">
        <v>147</v>
      </c>
      <c r="Z36" s="301"/>
      <c r="AA36" s="301"/>
      <c r="AB36" s="301"/>
      <c r="AC36" s="301"/>
      <c r="AD36" s="301"/>
      <c r="AE36" s="302"/>
    </row>
    <row r="37" spans="2:31" ht="15" x14ac:dyDescent="0.2">
      <c r="B37" s="11" t="s">
        <v>11</v>
      </c>
      <c r="C37" s="51">
        <v>34</v>
      </c>
      <c r="D37" s="64">
        <f t="shared" si="18"/>
        <v>5.250965250965251E-3</v>
      </c>
      <c r="E37" s="83"/>
      <c r="F37" s="51">
        <v>20</v>
      </c>
      <c r="G37" s="111">
        <f t="shared" si="19"/>
        <v>2.9713266973703757E-3</v>
      </c>
      <c r="H37" s="83"/>
      <c r="I37" s="51">
        <v>10</v>
      </c>
      <c r="J37" s="73">
        <f t="shared" si="20"/>
        <v>1.0242753252074157E-3</v>
      </c>
      <c r="K37" s="83"/>
      <c r="L37" s="51">
        <v>2</v>
      </c>
      <c r="M37" s="76">
        <f t="shared" si="21"/>
        <v>1.2169891687963977E-4</v>
      </c>
      <c r="N37" s="83"/>
      <c r="O37" s="13">
        <v>2</v>
      </c>
      <c r="P37" s="76">
        <f t="shared" si="22"/>
        <v>8.4742171941866868E-5</v>
      </c>
      <c r="Q37" s="7"/>
      <c r="R37" s="83" t="s">
        <v>119</v>
      </c>
      <c r="S37" s="78">
        <v>1E-4</v>
      </c>
      <c r="T37" s="13">
        <f>$S$37*T9</f>
        <v>2.7141150000000001</v>
      </c>
      <c r="U37" s="51">
        <f t="shared" ref="U37:X37" si="25">$S$37*U9</f>
        <v>3.1212322499999998</v>
      </c>
      <c r="V37" s="51">
        <f t="shared" si="25"/>
        <v>3.5894170874999989</v>
      </c>
      <c r="W37" s="51">
        <f t="shared" si="25"/>
        <v>4.1278296506249985</v>
      </c>
      <c r="X37" s="13">
        <f t="shared" si="25"/>
        <v>4.7470040982187482</v>
      </c>
      <c r="Y37" s="307" t="s">
        <v>147</v>
      </c>
      <c r="Z37" s="308"/>
      <c r="AA37" s="308"/>
      <c r="AB37" s="308"/>
      <c r="AC37" s="308"/>
      <c r="AD37" s="308"/>
      <c r="AE37" s="309"/>
    </row>
    <row r="38" spans="2:31" ht="15" x14ac:dyDescent="0.2">
      <c r="B38" s="8" t="s">
        <v>12</v>
      </c>
      <c r="C38" s="59">
        <v>270</v>
      </c>
      <c r="D38" s="112">
        <f t="shared" si="18"/>
        <v>4.16988416988417E-2</v>
      </c>
      <c r="E38" s="113"/>
      <c r="F38" s="59">
        <v>233</v>
      </c>
      <c r="G38" s="114">
        <f t="shared" si="19"/>
        <v>3.4615956024364881E-2</v>
      </c>
      <c r="H38" s="113"/>
      <c r="I38" s="59">
        <v>378</v>
      </c>
      <c r="J38" s="112">
        <f t="shared" si="20"/>
        <v>3.8717607292840316E-2</v>
      </c>
      <c r="K38" s="113"/>
      <c r="L38" s="59">
        <v>312</v>
      </c>
      <c r="M38" s="112">
        <f t="shared" si="21"/>
        <v>1.8985031033223805E-2</v>
      </c>
      <c r="N38" s="113"/>
      <c r="O38" s="34">
        <v>1265</v>
      </c>
      <c r="P38" s="112">
        <f t="shared" si="22"/>
        <v>5.3599423753230797E-2</v>
      </c>
      <c r="Q38" s="20"/>
      <c r="R38" s="113" t="s">
        <v>119</v>
      </c>
      <c r="S38" s="115">
        <f>AVERAGE(J38,M38,P38)</f>
        <v>3.7100687359764968E-2</v>
      </c>
      <c r="T38" s="34">
        <f>$S$38*T9</f>
        <v>1006.9553207344849</v>
      </c>
      <c r="U38" s="59">
        <f t="shared" ref="U38:X38" si="26">$S$38*U9</f>
        <v>1157.9986188446576</v>
      </c>
      <c r="V38" s="59">
        <f t="shared" si="26"/>
        <v>1331.6984116713559</v>
      </c>
      <c r="W38" s="59">
        <f t="shared" si="26"/>
        <v>1531.4531734220593</v>
      </c>
      <c r="X38" s="34">
        <f t="shared" si="26"/>
        <v>1761.1711494353681</v>
      </c>
      <c r="Y38" s="300" t="s">
        <v>147</v>
      </c>
      <c r="Z38" s="301"/>
      <c r="AA38" s="301"/>
      <c r="AB38" s="301"/>
      <c r="AC38" s="301"/>
      <c r="AD38" s="301"/>
      <c r="AE38" s="302"/>
    </row>
    <row r="39" spans="2:31" ht="15" x14ac:dyDescent="0.2">
      <c r="B39" s="5" t="s">
        <v>13</v>
      </c>
      <c r="C39" s="51">
        <v>3540</v>
      </c>
      <c r="D39" s="64">
        <f t="shared" si="18"/>
        <v>0.54671814671814667</v>
      </c>
      <c r="E39" s="83"/>
      <c r="F39" s="51">
        <v>4597</v>
      </c>
      <c r="G39" s="110">
        <f t="shared" si="19"/>
        <v>0.68295944139058085</v>
      </c>
      <c r="H39" s="83"/>
      <c r="I39" s="51">
        <v>6143</v>
      </c>
      <c r="J39" s="64">
        <f t="shared" si="20"/>
        <v>0.62921233227491546</v>
      </c>
      <c r="K39" s="83"/>
      <c r="L39" s="51">
        <v>8583</v>
      </c>
      <c r="M39" s="64">
        <f t="shared" si="21"/>
        <v>0.52227090178897406</v>
      </c>
      <c r="N39" s="83"/>
      <c r="O39" s="13">
        <v>15019</v>
      </c>
      <c r="P39" s="64">
        <f t="shared" si="22"/>
        <v>0.63637134019744923</v>
      </c>
      <c r="Q39" s="7"/>
      <c r="R39" s="83"/>
      <c r="S39" s="83"/>
      <c r="T39" s="13">
        <f ca="1">SUM(T34,T35,T36,T37,T38)</f>
        <v>18772.038120295918</v>
      </c>
      <c r="U39" s="51">
        <f t="shared" ref="U39:X39" ca="1" si="27">SUM(U34,U35,U36,U37,U38)</f>
        <v>23197.3827410659</v>
      </c>
      <c r="V39" s="51">
        <f t="shared" ca="1" si="27"/>
        <v>30037.71888620139</v>
      </c>
      <c r="W39" s="51">
        <f t="shared" ca="1" si="27"/>
        <v>38789.584809357199</v>
      </c>
      <c r="X39" s="13">
        <f t="shared" ca="1" si="27"/>
        <v>49739.564523486348</v>
      </c>
      <c r="Y39" s="106"/>
      <c r="Z39" s="107"/>
      <c r="AA39" s="107"/>
      <c r="AB39" s="107"/>
      <c r="AC39" s="107"/>
      <c r="AD39" s="107"/>
      <c r="AE39" s="108"/>
    </row>
    <row r="40" spans="2:31" ht="15" x14ac:dyDescent="0.2">
      <c r="B40" s="18" t="s">
        <v>139</v>
      </c>
      <c r="C40" s="52">
        <v>442</v>
      </c>
      <c r="D40" s="66">
        <f t="shared" si="18"/>
        <v>6.8262548262548267E-2</v>
      </c>
      <c r="E40" s="84"/>
      <c r="F40" s="52">
        <v>642</v>
      </c>
      <c r="G40" s="109">
        <f>F40/F9</f>
        <v>9.5379586985589071E-2</v>
      </c>
      <c r="H40" s="84"/>
      <c r="I40" s="52">
        <v>858</v>
      </c>
      <c r="J40" s="66">
        <f>I40/I9</f>
        <v>8.7882822902796268E-2</v>
      </c>
      <c r="K40" s="84"/>
      <c r="L40" s="52">
        <v>998</v>
      </c>
      <c r="M40" s="66">
        <f>L40/L9</f>
        <v>6.0727759522940246E-2</v>
      </c>
      <c r="N40" s="84"/>
      <c r="O40" s="10">
        <v>1952</v>
      </c>
      <c r="P40" s="66">
        <f>O40/O9</f>
        <v>8.2708359815262061E-2</v>
      </c>
      <c r="Q40" s="20"/>
      <c r="R40" s="84" t="s">
        <v>119</v>
      </c>
      <c r="S40" s="58">
        <f>AVERAGE(J40,M40,P40)</f>
        <v>7.7106314080332861E-2</v>
      </c>
      <c r="T40" s="10">
        <f>$S$40*T9</f>
        <v>2092.7540364014262</v>
      </c>
      <c r="U40" s="52">
        <f t="shared" ref="U40:X40" si="28">$S$40*U9</f>
        <v>2406.6671418616397</v>
      </c>
      <c r="V40" s="52">
        <f t="shared" si="28"/>
        <v>2767.6672131408855</v>
      </c>
      <c r="W40" s="52">
        <f t="shared" si="28"/>
        <v>3182.8172951120182</v>
      </c>
      <c r="X40" s="10">
        <f t="shared" si="28"/>
        <v>3660.2398893788204</v>
      </c>
      <c r="Y40" s="300" t="s">
        <v>147</v>
      </c>
      <c r="Z40" s="301"/>
      <c r="AA40" s="301"/>
      <c r="AB40" s="301"/>
      <c r="AC40" s="301"/>
      <c r="AD40" s="301"/>
      <c r="AE40" s="302"/>
    </row>
    <row r="41" spans="2:31" ht="15" x14ac:dyDescent="0.2">
      <c r="B41" s="17" t="s">
        <v>140</v>
      </c>
      <c r="C41" s="51">
        <v>94</v>
      </c>
      <c r="D41" s="64">
        <f t="shared" si="18"/>
        <v>1.4517374517374518E-2</v>
      </c>
      <c r="E41" s="83"/>
      <c r="F41" s="51">
        <v>142</v>
      </c>
      <c r="G41" s="110"/>
      <c r="H41" s="83"/>
      <c r="I41" s="51">
        <v>217</v>
      </c>
      <c r="J41" s="64"/>
      <c r="K41" s="83"/>
      <c r="L41" s="51">
        <v>296</v>
      </c>
      <c r="M41" s="64"/>
      <c r="N41" s="83"/>
      <c r="O41" s="13">
        <v>439</v>
      </c>
      <c r="P41" s="64"/>
      <c r="Q41" s="7"/>
      <c r="R41" s="83" t="s">
        <v>145</v>
      </c>
      <c r="S41" s="57">
        <v>0.23</v>
      </c>
      <c r="T41" s="13">
        <f>$S$41*T40</f>
        <v>481.33342837232806</v>
      </c>
      <c r="U41" s="51">
        <f t="shared" ref="U41:X41" si="29">$S$41*U40</f>
        <v>553.53344262817711</v>
      </c>
      <c r="V41" s="51">
        <f t="shared" si="29"/>
        <v>636.56345902240366</v>
      </c>
      <c r="W41" s="51">
        <f t="shared" si="29"/>
        <v>732.04797787576422</v>
      </c>
      <c r="X41" s="13">
        <f t="shared" si="29"/>
        <v>841.85517455712875</v>
      </c>
      <c r="Y41" s="310" t="s">
        <v>159</v>
      </c>
      <c r="Z41" s="311"/>
      <c r="AA41" s="311"/>
      <c r="AB41" s="311"/>
      <c r="AC41" s="311"/>
      <c r="AD41" s="311"/>
      <c r="AE41" s="312"/>
    </row>
    <row r="42" spans="2:31" ht="15" x14ac:dyDescent="0.2">
      <c r="B42" s="18" t="s">
        <v>144</v>
      </c>
      <c r="C42" s="52">
        <v>348</v>
      </c>
      <c r="D42" s="66">
        <f t="shared" si="18"/>
        <v>5.3745173745173742E-2</v>
      </c>
      <c r="E42" s="84"/>
      <c r="F42" s="52">
        <v>500</v>
      </c>
      <c r="G42" s="109">
        <f t="shared" si="19"/>
        <v>7.4283167434259403E-2</v>
      </c>
      <c r="H42" s="84"/>
      <c r="I42" s="52">
        <v>641</v>
      </c>
      <c r="J42" s="66">
        <f t="shared" si="20"/>
        <v>6.5656048345795345E-2</v>
      </c>
      <c r="K42" s="84"/>
      <c r="L42" s="52">
        <v>702</v>
      </c>
      <c r="M42" s="66">
        <f t="shared" si="21"/>
        <v>4.271631982475356E-2</v>
      </c>
      <c r="N42" s="84"/>
      <c r="O42" s="10">
        <v>1513</v>
      </c>
      <c r="P42" s="66">
        <f t="shared" si="22"/>
        <v>6.4107453074022283E-2</v>
      </c>
      <c r="Q42" s="20"/>
      <c r="R42" s="84"/>
      <c r="S42" s="58"/>
      <c r="T42" s="10">
        <f>T40-T41</f>
        <v>1611.4206080290983</v>
      </c>
      <c r="U42" s="52">
        <f t="shared" ref="U42:X42" si="30">U40-U41</f>
        <v>1853.1336992334627</v>
      </c>
      <c r="V42" s="52">
        <f t="shared" si="30"/>
        <v>2131.1037541184819</v>
      </c>
      <c r="W42" s="52">
        <f t="shared" si="30"/>
        <v>2450.7693172362542</v>
      </c>
      <c r="X42" s="10">
        <f t="shared" si="30"/>
        <v>2818.3847148216919</v>
      </c>
      <c r="Y42" s="18"/>
      <c r="Z42" s="19"/>
      <c r="AA42" s="19"/>
      <c r="AB42" s="19"/>
      <c r="AC42" s="19"/>
      <c r="AD42" s="19"/>
      <c r="AE42" s="20"/>
    </row>
    <row r="43" spans="2:31" ht="15" x14ac:dyDescent="0.2">
      <c r="B43" s="17" t="s">
        <v>15</v>
      </c>
      <c r="C43" s="51">
        <v>0</v>
      </c>
      <c r="D43" s="77">
        <f t="shared" si="18"/>
        <v>0</v>
      </c>
      <c r="E43" s="83"/>
      <c r="F43" s="51">
        <v>205</v>
      </c>
      <c r="G43" s="110">
        <f t="shared" si="19"/>
        <v>3.0456098648046354E-2</v>
      </c>
      <c r="H43" s="83"/>
      <c r="I43" s="51">
        <v>208</v>
      </c>
      <c r="J43" s="64">
        <f t="shared" si="20"/>
        <v>2.1304926764314249E-2</v>
      </c>
      <c r="K43" s="83"/>
      <c r="L43" s="51">
        <v>367</v>
      </c>
      <c r="M43" s="64">
        <f t="shared" si="21"/>
        <v>2.2331751247413899E-2</v>
      </c>
      <c r="N43" s="83"/>
      <c r="O43" s="13">
        <v>460</v>
      </c>
      <c r="P43" s="64">
        <f t="shared" si="22"/>
        <v>1.9490699546629381E-2</v>
      </c>
      <c r="Q43" s="7"/>
      <c r="R43" s="83" t="s">
        <v>119</v>
      </c>
      <c r="S43" s="57">
        <f>AVERAGE(J43,M43,P43)</f>
        <v>2.1042459186119175E-2</v>
      </c>
      <c r="T43" s="13">
        <f>$S$43*T9</f>
        <v>571.11654113933844</v>
      </c>
      <c r="U43" s="51">
        <f t="shared" ref="U43:X43" si="31">$S$43*U9</f>
        <v>656.78402231023915</v>
      </c>
      <c r="V43" s="51">
        <f t="shared" si="31"/>
        <v>755.30162565677483</v>
      </c>
      <c r="W43" s="51">
        <f t="shared" si="31"/>
        <v>868.59686950529112</v>
      </c>
      <c r="X43" s="13">
        <f t="shared" si="31"/>
        <v>998.88639993108461</v>
      </c>
      <c r="Y43" s="307" t="s">
        <v>147</v>
      </c>
      <c r="Z43" s="308"/>
      <c r="AA43" s="308"/>
      <c r="AB43" s="308"/>
      <c r="AC43" s="308"/>
      <c r="AD43" s="308"/>
      <c r="AE43" s="309"/>
    </row>
    <row r="44" spans="2:31" ht="15" x14ac:dyDescent="0.2">
      <c r="B44" s="18" t="s">
        <v>16</v>
      </c>
      <c r="C44" s="52">
        <v>289</v>
      </c>
      <c r="D44" s="66">
        <f t="shared" si="18"/>
        <v>4.463320463320463E-2</v>
      </c>
      <c r="E44" s="84"/>
      <c r="F44" s="52">
        <v>289</v>
      </c>
      <c r="G44" s="109">
        <f t="shared" si="19"/>
        <v>4.293567077700193E-2</v>
      </c>
      <c r="H44" s="84"/>
      <c r="I44" s="52">
        <v>289</v>
      </c>
      <c r="J44" s="66">
        <f t="shared" si="20"/>
        <v>2.9601556898494315E-2</v>
      </c>
      <c r="K44" s="84"/>
      <c r="L44" s="52">
        <v>289</v>
      </c>
      <c r="M44" s="66">
        <f t="shared" si="21"/>
        <v>1.7585493489107946E-2</v>
      </c>
      <c r="N44" s="84"/>
      <c r="O44" s="10">
        <v>24177</v>
      </c>
      <c r="P44" s="66">
        <f t="shared" si="22"/>
        <v>1.0244057455192577</v>
      </c>
      <c r="Q44" s="20"/>
      <c r="R44" s="84" t="s">
        <v>126</v>
      </c>
      <c r="S44" s="52">
        <f>O44</f>
        <v>24177</v>
      </c>
      <c r="T44" s="10">
        <f>$S$44</f>
        <v>24177</v>
      </c>
      <c r="U44" s="52">
        <f t="shared" ref="U44:X44" si="32">$S$44</f>
        <v>24177</v>
      </c>
      <c r="V44" s="52">
        <f t="shared" si="32"/>
        <v>24177</v>
      </c>
      <c r="W44" s="52">
        <f t="shared" si="32"/>
        <v>24177</v>
      </c>
      <c r="X44" s="10">
        <f t="shared" si="32"/>
        <v>24177</v>
      </c>
      <c r="Y44" s="300" t="s">
        <v>160</v>
      </c>
      <c r="Z44" s="301"/>
      <c r="AA44" s="301"/>
      <c r="AB44" s="301"/>
      <c r="AC44" s="301"/>
      <c r="AD44" s="301"/>
      <c r="AE44" s="302"/>
    </row>
    <row r="45" spans="2:31" ht="15" x14ac:dyDescent="0.2">
      <c r="B45" s="17" t="s">
        <v>42</v>
      </c>
      <c r="C45" s="51">
        <v>0</v>
      </c>
      <c r="D45" s="68">
        <f t="shared" si="18"/>
        <v>0</v>
      </c>
      <c r="E45" s="51"/>
      <c r="F45" s="51">
        <v>0</v>
      </c>
      <c r="G45" s="116">
        <f t="shared" si="19"/>
        <v>0</v>
      </c>
      <c r="H45" s="51"/>
      <c r="I45" s="51">
        <v>0</v>
      </c>
      <c r="J45" s="68">
        <f t="shared" si="20"/>
        <v>0</v>
      </c>
      <c r="K45" s="51"/>
      <c r="L45" s="51">
        <v>0</v>
      </c>
      <c r="M45" s="68">
        <f t="shared" si="21"/>
        <v>0</v>
      </c>
      <c r="N45" s="83"/>
      <c r="O45" s="13">
        <v>24118</v>
      </c>
      <c r="P45" s="64">
        <f t="shared" si="22"/>
        <v>1.0219058514469725</v>
      </c>
      <c r="Q45" s="7"/>
      <c r="R45" s="83" t="s">
        <v>126</v>
      </c>
      <c r="S45" s="51">
        <f>O45</f>
        <v>24118</v>
      </c>
      <c r="T45" s="13">
        <f>$S$45</f>
        <v>24118</v>
      </c>
      <c r="U45" s="51">
        <f t="shared" ref="U45:X45" si="33">$S$45</f>
        <v>24118</v>
      </c>
      <c r="V45" s="51">
        <f t="shared" si="33"/>
        <v>24118</v>
      </c>
      <c r="W45" s="51">
        <f t="shared" si="33"/>
        <v>24118</v>
      </c>
      <c r="X45" s="13">
        <f t="shared" si="33"/>
        <v>24118</v>
      </c>
      <c r="Y45" s="307" t="s">
        <v>161</v>
      </c>
      <c r="Z45" s="308"/>
      <c r="AA45" s="308"/>
      <c r="AB45" s="308"/>
      <c r="AC45" s="308"/>
      <c r="AD45" s="308"/>
      <c r="AE45" s="309"/>
    </row>
    <row r="46" spans="2:31" ht="15" x14ac:dyDescent="0.2">
      <c r="B46" s="18" t="s">
        <v>37</v>
      </c>
      <c r="C46" s="52">
        <v>15</v>
      </c>
      <c r="D46" s="75">
        <f t="shared" si="18"/>
        <v>2.3166023166023165E-3</v>
      </c>
      <c r="E46" s="84"/>
      <c r="F46" s="52">
        <v>22</v>
      </c>
      <c r="G46" s="117">
        <f t="shared" si="19"/>
        <v>3.2684593671074135E-3</v>
      </c>
      <c r="H46" s="84"/>
      <c r="I46" s="52">
        <v>1245</v>
      </c>
      <c r="J46" s="66">
        <f t="shared" si="20"/>
        <v>0.12752227798832327</v>
      </c>
      <c r="K46" s="84"/>
      <c r="L46" s="52">
        <v>931</v>
      </c>
      <c r="M46" s="66">
        <f t="shared" si="21"/>
        <v>5.6650845807472316E-2</v>
      </c>
      <c r="N46" s="84"/>
      <c r="O46" s="10">
        <v>58</v>
      </c>
      <c r="P46" s="75">
        <f t="shared" si="22"/>
        <v>2.457522986314139E-3</v>
      </c>
      <c r="Q46" s="20"/>
      <c r="R46" s="84" t="s">
        <v>119</v>
      </c>
      <c r="S46" s="105">
        <f>AVERAGE(P46,G46,D46)</f>
        <v>2.6808615566746227E-3</v>
      </c>
      <c r="T46" s="10">
        <f>$S$46*T9</f>
        <v>72.761665638939434</v>
      </c>
      <c r="U46" s="52">
        <f t="shared" ref="U46:X46" si="34">$S$46*U9</f>
        <v>83.675915484780333</v>
      </c>
      <c r="V46" s="52">
        <f t="shared" si="34"/>
        <v>96.227302807497381</v>
      </c>
      <c r="W46" s="52">
        <f t="shared" si="34"/>
        <v>110.66139822862198</v>
      </c>
      <c r="X46" s="10">
        <f t="shared" si="34"/>
        <v>127.26060796291526</v>
      </c>
      <c r="Y46" s="294" t="s">
        <v>162</v>
      </c>
      <c r="Z46" s="295"/>
      <c r="AA46" s="295"/>
      <c r="AB46" s="295"/>
      <c r="AC46" s="295"/>
      <c r="AD46" s="295"/>
      <c r="AE46" s="296"/>
    </row>
    <row r="47" spans="2:31" ht="15" x14ac:dyDescent="0.2">
      <c r="B47" s="49" t="s">
        <v>38</v>
      </c>
      <c r="C47" s="86">
        <v>364</v>
      </c>
      <c r="D47" s="118">
        <f t="shared" si="18"/>
        <v>5.6216216216216218E-2</v>
      </c>
      <c r="E47" s="119"/>
      <c r="F47" s="86">
        <v>415</v>
      </c>
      <c r="G47" s="120">
        <f t="shared" si="19"/>
        <v>6.1655028970435302E-2</v>
      </c>
      <c r="H47" s="119"/>
      <c r="I47" s="86">
        <v>436</v>
      </c>
      <c r="J47" s="118">
        <f t="shared" si="20"/>
        <v>4.4658404179043328E-2</v>
      </c>
      <c r="K47" s="119"/>
      <c r="L47" s="86">
        <v>1547</v>
      </c>
      <c r="M47" s="118">
        <f t="shared" si="21"/>
        <v>9.413411220640136E-2</v>
      </c>
      <c r="N47" s="119"/>
      <c r="O47" s="37">
        <v>2235</v>
      </c>
      <c r="P47" s="118">
        <f t="shared" si="22"/>
        <v>9.469937714503622E-2</v>
      </c>
      <c r="Q47" s="7"/>
      <c r="R47" s="119" t="s">
        <v>119</v>
      </c>
      <c r="S47" s="121">
        <f>AVERAGE(M47,P47)</f>
        <v>9.4416744675718783E-2</v>
      </c>
      <c r="T47" s="37">
        <f>$S$47*T9</f>
        <v>2562.5790297553845</v>
      </c>
      <c r="U47" s="86">
        <f t="shared" ref="U47:X47" si="35">$S$47*U9</f>
        <v>2946.9658842186923</v>
      </c>
      <c r="V47" s="86">
        <f t="shared" si="35"/>
        <v>3389.0107668514956</v>
      </c>
      <c r="W47" s="86">
        <f t="shared" si="35"/>
        <v>3897.3623818792198</v>
      </c>
      <c r="X47" s="37">
        <f t="shared" si="35"/>
        <v>4481.9667391611019</v>
      </c>
      <c r="Y47" s="307" t="s">
        <v>163</v>
      </c>
      <c r="Z47" s="308"/>
      <c r="AA47" s="308"/>
      <c r="AB47" s="308"/>
      <c r="AC47" s="308"/>
      <c r="AD47" s="308"/>
      <c r="AE47" s="309"/>
    </row>
    <row r="48" spans="2:31" ht="15" x14ac:dyDescent="0.2">
      <c r="B48" s="14" t="s">
        <v>18</v>
      </c>
      <c r="C48" s="52">
        <v>4556</v>
      </c>
      <c r="D48" s="66">
        <f t="shared" si="18"/>
        <v>0.7036293436293436</v>
      </c>
      <c r="E48" s="84"/>
      <c r="F48" s="52">
        <v>6028</v>
      </c>
      <c r="G48" s="109">
        <f t="shared" si="19"/>
        <v>0.89555786658743131</v>
      </c>
      <c r="H48" s="84"/>
      <c r="I48" s="52">
        <v>8962</v>
      </c>
      <c r="J48" s="66">
        <f t="shared" si="20"/>
        <v>0.91795554645088595</v>
      </c>
      <c r="K48" s="84"/>
      <c r="L48" s="52">
        <v>12419</v>
      </c>
      <c r="M48" s="66">
        <f t="shared" si="21"/>
        <v>0.75568942436412312</v>
      </c>
      <c r="N48" s="84"/>
      <c r="O48" s="10">
        <v>67580</v>
      </c>
      <c r="P48" s="66">
        <f t="shared" si="22"/>
        <v>2.8634379899156817</v>
      </c>
      <c r="Q48" s="20"/>
      <c r="R48" s="84"/>
      <c r="S48" s="84"/>
      <c r="T48" s="10">
        <f ca="1">SUM(T39,T42:T47)</f>
        <v>71884.915964858679</v>
      </c>
      <c r="U48" s="52">
        <f t="shared" ref="U48:X48" ca="1" si="36">SUM(U39,U42:U47)</f>
        <v>77032.942262313067</v>
      </c>
      <c r="V48" s="52">
        <f t="shared" ca="1" si="36"/>
        <v>84704.36233563564</v>
      </c>
      <c r="W48" s="52">
        <f t="shared" ca="1" si="36"/>
        <v>94411.974776206596</v>
      </c>
      <c r="X48" s="10">
        <f t="shared" ca="1" si="36"/>
        <v>106461.06298536314</v>
      </c>
      <c r="Y48" s="18"/>
      <c r="Z48" s="19"/>
      <c r="AA48" s="19"/>
      <c r="AB48" s="19"/>
      <c r="AC48" s="19"/>
      <c r="AD48" s="19"/>
      <c r="AE48" s="20"/>
    </row>
    <row r="49" spans="2:31" ht="15" x14ac:dyDescent="0.2">
      <c r="B49" s="5" t="s">
        <v>19</v>
      </c>
      <c r="C49" s="51"/>
      <c r="D49" s="64"/>
      <c r="E49" s="83"/>
      <c r="F49" s="51"/>
      <c r="G49" s="110"/>
      <c r="H49" s="83"/>
      <c r="I49" s="51"/>
      <c r="J49" s="64"/>
      <c r="K49" s="83"/>
      <c r="L49" s="83"/>
      <c r="M49" s="64"/>
      <c r="N49" s="83"/>
      <c r="O49" s="7"/>
      <c r="P49" s="64"/>
      <c r="Q49" s="7"/>
      <c r="R49" s="83"/>
      <c r="S49" s="83"/>
      <c r="T49" s="13"/>
      <c r="U49" s="51"/>
      <c r="V49" s="51"/>
      <c r="W49" s="51"/>
      <c r="X49" s="13"/>
      <c r="Y49" s="106"/>
      <c r="Z49" s="107"/>
      <c r="AA49" s="107"/>
      <c r="AB49" s="107"/>
      <c r="AC49" s="6"/>
      <c r="AD49" s="6"/>
      <c r="AE49" s="7"/>
    </row>
    <row r="50" spans="2:31" ht="15" x14ac:dyDescent="0.2">
      <c r="B50" s="8" t="s">
        <v>20</v>
      </c>
      <c r="C50" s="52">
        <v>136</v>
      </c>
      <c r="D50" s="66">
        <f t="shared" si="18"/>
        <v>2.1003861003861004E-2</v>
      </c>
      <c r="E50" s="84"/>
      <c r="F50" s="52">
        <v>0</v>
      </c>
      <c r="G50" s="122">
        <f t="shared" si="19"/>
        <v>0</v>
      </c>
      <c r="H50" s="52"/>
      <c r="I50" s="52">
        <v>0</v>
      </c>
      <c r="J50" s="71">
        <f t="shared" si="20"/>
        <v>0</v>
      </c>
      <c r="K50" s="52"/>
      <c r="L50" s="52">
        <v>0</v>
      </c>
      <c r="M50" s="71">
        <f t="shared" si="21"/>
        <v>0</v>
      </c>
      <c r="N50" s="52"/>
      <c r="O50" s="10">
        <v>0</v>
      </c>
      <c r="P50" s="71">
        <f t="shared" si="22"/>
        <v>0</v>
      </c>
      <c r="Q50" s="20"/>
      <c r="R50" s="84" t="s">
        <v>128</v>
      </c>
      <c r="S50" s="58">
        <v>0</v>
      </c>
      <c r="T50" s="10">
        <f>$S$50*T9</f>
        <v>0</v>
      </c>
      <c r="U50" s="52">
        <f t="shared" ref="U50:X50" si="37">$S$50*U9</f>
        <v>0</v>
      </c>
      <c r="V50" s="52">
        <f t="shared" si="37"/>
        <v>0</v>
      </c>
      <c r="W50" s="52">
        <f t="shared" si="37"/>
        <v>0</v>
      </c>
      <c r="X50" s="10">
        <f t="shared" si="37"/>
        <v>0</v>
      </c>
      <c r="Y50" s="294" t="s">
        <v>164</v>
      </c>
      <c r="Z50" s="301"/>
      <c r="AA50" s="301"/>
      <c r="AB50" s="301"/>
      <c r="AC50" s="301"/>
      <c r="AD50" s="301"/>
      <c r="AE50" s="302"/>
    </row>
    <row r="51" spans="2:31" ht="15" x14ac:dyDescent="0.2">
      <c r="B51" s="11" t="s">
        <v>21</v>
      </c>
      <c r="C51" s="51">
        <v>834</v>
      </c>
      <c r="D51" s="64">
        <f t="shared" si="18"/>
        <v>0.1288030888030888</v>
      </c>
      <c r="E51" s="83"/>
      <c r="F51" s="51">
        <v>988</v>
      </c>
      <c r="G51" s="110">
        <f t="shared" si="19"/>
        <v>0.14678353885009657</v>
      </c>
      <c r="H51" s="83"/>
      <c r="I51" s="51">
        <v>468</v>
      </c>
      <c r="J51" s="64">
        <f t="shared" si="20"/>
        <v>4.7936085219707054E-2</v>
      </c>
      <c r="K51" s="83"/>
      <c r="L51" s="51">
        <v>1321</v>
      </c>
      <c r="M51" s="64">
        <f t="shared" si="21"/>
        <v>8.0382134599002064E-2</v>
      </c>
      <c r="N51" s="83"/>
      <c r="O51" s="13">
        <v>2493</v>
      </c>
      <c r="P51" s="64">
        <f t="shared" si="22"/>
        <v>0.10563111732553705</v>
      </c>
      <c r="Q51" s="7"/>
      <c r="R51" s="83" t="s">
        <v>119</v>
      </c>
      <c r="S51" s="57">
        <f>AVERAGE(M51,P51)</f>
        <v>9.3006625962269551E-2</v>
      </c>
      <c r="T51" s="13">
        <f>$S$51*T9</f>
        <v>2524.3067862358521</v>
      </c>
      <c r="U51" s="51">
        <f t="shared" ref="U51:X51" si="38">$S$51*U9</f>
        <v>2902.9528041712297</v>
      </c>
      <c r="V51" s="51">
        <f t="shared" si="38"/>
        <v>3338.3957247969133</v>
      </c>
      <c r="W51" s="51">
        <f t="shared" si="38"/>
        <v>3839.1550835164503</v>
      </c>
      <c r="X51" s="13">
        <f t="shared" si="38"/>
        <v>4415.0283460439177</v>
      </c>
      <c r="Y51" s="271" t="s">
        <v>163</v>
      </c>
      <c r="Z51" s="272"/>
      <c r="AA51" s="272"/>
      <c r="AB51" s="272"/>
      <c r="AC51" s="272"/>
      <c r="AD51" s="272"/>
      <c r="AE51" s="273"/>
    </row>
    <row r="52" spans="2:31" ht="15" x14ac:dyDescent="0.2">
      <c r="B52" s="8" t="s">
        <v>22</v>
      </c>
      <c r="C52" s="52">
        <v>207</v>
      </c>
      <c r="D52" s="66">
        <f t="shared" si="18"/>
        <v>3.1969111969111966E-2</v>
      </c>
      <c r="E52" s="84"/>
      <c r="F52" s="52">
        <v>213</v>
      </c>
      <c r="G52" s="109">
        <f t="shared" si="19"/>
        <v>3.1644629326994501E-2</v>
      </c>
      <c r="H52" s="84"/>
      <c r="I52" s="52">
        <v>78</v>
      </c>
      <c r="J52" s="66">
        <f t="shared" si="20"/>
        <v>7.989347536617843E-3</v>
      </c>
      <c r="K52" s="84"/>
      <c r="L52" s="52">
        <v>85</v>
      </c>
      <c r="M52" s="66">
        <f t="shared" si="21"/>
        <v>5.1722039673846899E-3</v>
      </c>
      <c r="N52" s="84"/>
      <c r="O52" s="10">
        <v>463</v>
      </c>
      <c r="P52" s="66">
        <f t="shared" si="22"/>
        <v>1.9617812804542181E-2</v>
      </c>
      <c r="Q52" s="20"/>
      <c r="R52" s="84" t="s">
        <v>119</v>
      </c>
      <c r="S52" s="58">
        <f>AVERAGE(J52,M52,P52)</f>
        <v>1.0926454769514905E-2</v>
      </c>
      <c r="T52" s="10">
        <f>$S$52*T9</f>
        <v>296.55654786761943</v>
      </c>
      <c r="U52" s="52">
        <f t="shared" ref="U52:X52" si="39">$S$52*U9</f>
        <v>341.04003004776234</v>
      </c>
      <c r="V52" s="52">
        <f t="shared" si="39"/>
        <v>392.19603455492665</v>
      </c>
      <c r="W52" s="52">
        <f t="shared" si="39"/>
        <v>451.02543973816563</v>
      </c>
      <c r="X52" s="10">
        <f t="shared" si="39"/>
        <v>518.67925569889042</v>
      </c>
      <c r="Y52" s="300" t="s">
        <v>147</v>
      </c>
      <c r="Z52" s="301"/>
      <c r="AA52" s="301"/>
      <c r="AB52" s="301"/>
      <c r="AC52" s="301"/>
      <c r="AD52" s="301"/>
      <c r="AE52" s="302"/>
    </row>
    <row r="53" spans="2:31" ht="15" x14ac:dyDescent="0.2">
      <c r="B53" s="11" t="s">
        <v>23</v>
      </c>
      <c r="C53" s="51">
        <v>783</v>
      </c>
      <c r="D53" s="64">
        <f t="shared" si="18"/>
        <v>0.12092664092664093</v>
      </c>
      <c r="E53" s="83"/>
      <c r="F53" s="51">
        <v>1084</v>
      </c>
      <c r="G53" s="110">
        <f t="shared" si="19"/>
        <v>0.16104590699747437</v>
      </c>
      <c r="H53" s="83"/>
      <c r="I53" s="51">
        <v>1796</v>
      </c>
      <c r="J53" s="64">
        <f t="shared" si="20"/>
        <v>0.18395984840725188</v>
      </c>
      <c r="K53" s="83"/>
      <c r="L53" s="51">
        <v>2424</v>
      </c>
      <c r="M53" s="64">
        <f t="shared" si="21"/>
        <v>0.14749908725812341</v>
      </c>
      <c r="N53" s="83"/>
      <c r="O53" s="13">
        <v>3077</v>
      </c>
      <c r="P53" s="64">
        <f t="shared" si="22"/>
        <v>0.13037583153256219</v>
      </c>
      <c r="Q53" s="7"/>
      <c r="R53" s="83" t="s">
        <v>119</v>
      </c>
      <c r="S53" s="57">
        <f>AVERAGE(J53,M53,P53)</f>
        <v>0.15394492239931248</v>
      </c>
      <c r="T53" s="13">
        <f>$S$53*T9</f>
        <v>4178.2422305781001</v>
      </c>
      <c r="U53" s="51">
        <f t="shared" ref="U53:X53" si="40">$S$53*U9</f>
        <v>4804.9785651648144</v>
      </c>
      <c r="V53" s="51">
        <f t="shared" si="40"/>
        <v>5525.7253499395356</v>
      </c>
      <c r="W53" s="51">
        <f t="shared" si="40"/>
        <v>6354.584152430466</v>
      </c>
      <c r="X53" s="13">
        <f t="shared" si="40"/>
        <v>7307.7717752950348</v>
      </c>
      <c r="Y53" s="271" t="s">
        <v>147</v>
      </c>
      <c r="Z53" s="272"/>
      <c r="AA53" s="272"/>
      <c r="AB53" s="272"/>
      <c r="AC53" s="272"/>
      <c r="AD53" s="272"/>
      <c r="AE53" s="273"/>
    </row>
    <row r="54" spans="2:31" ht="15" x14ac:dyDescent="0.2">
      <c r="B54" s="8" t="s">
        <v>39</v>
      </c>
      <c r="C54" s="52">
        <v>0</v>
      </c>
      <c r="D54" s="71">
        <f t="shared" si="18"/>
        <v>0</v>
      </c>
      <c r="E54" s="52"/>
      <c r="F54" s="52">
        <v>0</v>
      </c>
      <c r="G54" s="122">
        <f t="shared" si="19"/>
        <v>0</v>
      </c>
      <c r="H54" s="52"/>
      <c r="I54" s="52">
        <v>0</v>
      </c>
      <c r="J54" s="71">
        <f t="shared" si="20"/>
        <v>0</v>
      </c>
      <c r="K54" s="52"/>
      <c r="L54" s="52">
        <v>312</v>
      </c>
      <c r="M54" s="66">
        <f t="shared" si="21"/>
        <v>1.8985031033223805E-2</v>
      </c>
      <c r="N54" s="52"/>
      <c r="O54" s="10">
        <v>0</v>
      </c>
      <c r="P54" s="71">
        <f t="shared" si="22"/>
        <v>0</v>
      </c>
      <c r="Q54" s="20"/>
      <c r="R54" s="84"/>
      <c r="S54" s="58"/>
      <c r="T54" s="10">
        <v>750</v>
      </c>
      <c r="U54" s="52">
        <v>0</v>
      </c>
      <c r="V54" s="52">
        <v>1</v>
      </c>
      <c r="W54" s="52">
        <v>0</v>
      </c>
      <c r="X54" s="52">
        <v>0</v>
      </c>
      <c r="Y54" s="300" t="s">
        <v>242</v>
      </c>
      <c r="Z54" s="301"/>
      <c r="AA54" s="301"/>
      <c r="AB54" s="301"/>
      <c r="AC54" s="301"/>
      <c r="AD54" s="301"/>
      <c r="AE54" s="302"/>
    </row>
    <row r="55" spans="2:31" ht="15" x14ac:dyDescent="0.2">
      <c r="B55" s="11" t="s">
        <v>24</v>
      </c>
      <c r="C55" s="85">
        <v>24</v>
      </c>
      <c r="D55" s="123">
        <f t="shared" si="18"/>
        <v>3.7065637065637064E-3</v>
      </c>
      <c r="E55" s="96"/>
      <c r="F55" s="85">
        <v>74</v>
      </c>
      <c r="G55" s="124">
        <f t="shared" si="19"/>
        <v>1.099390878027039E-2</v>
      </c>
      <c r="H55" s="96"/>
      <c r="I55" s="85">
        <v>75</v>
      </c>
      <c r="J55" s="123">
        <f t="shared" si="20"/>
        <v>7.6820649390556177E-3</v>
      </c>
      <c r="K55" s="96"/>
      <c r="L55" s="85">
        <v>98</v>
      </c>
      <c r="M55" s="123">
        <f t="shared" si="21"/>
        <v>5.9632469271023491E-3</v>
      </c>
      <c r="N55" s="96"/>
      <c r="O55" s="23">
        <v>336</v>
      </c>
      <c r="P55" s="123">
        <f t="shared" si="22"/>
        <v>1.4236684886233635E-2</v>
      </c>
      <c r="Q55" s="7"/>
      <c r="R55" s="119" t="s">
        <v>119</v>
      </c>
      <c r="S55" s="121">
        <f>AVERAGE(J55,M55,P55)</f>
        <v>9.2939989174638665E-3</v>
      </c>
      <c r="T55" s="37">
        <f>$S$55*T9</f>
        <v>252.24981871872441</v>
      </c>
      <c r="U55" s="86">
        <f t="shared" ref="U55:X55" si="41">$S$55*U9</f>
        <v>290.08729152653302</v>
      </c>
      <c r="V55" s="86">
        <f t="shared" si="41"/>
        <v>333.60038525551295</v>
      </c>
      <c r="W55" s="86">
        <f t="shared" si="41"/>
        <v>383.64044304383987</v>
      </c>
      <c r="X55" s="37">
        <f t="shared" si="41"/>
        <v>441.18650950041581</v>
      </c>
      <c r="Y55" s="271" t="s">
        <v>147</v>
      </c>
      <c r="Z55" s="272"/>
      <c r="AA55" s="272"/>
      <c r="AB55" s="272"/>
      <c r="AC55" s="272"/>
      <c r="AD55" s="272"/>
      <c r="AE55" s="273"/>
    </row>
    <row r="56" spans="2:31" ht="15" x14ac:dyDescent="0.2">
      <c r="B56" s="14" t="s">
        <v>25</v>
      </c>
      <c r="C56" s="52">
        <v>1984</v>
      </c>
      <c r="D56" s="66">
        <f t="shared" si="18"/>
        <v>0.30640926640926641</v>
      </c>
      <c r="E56" s="84"/>
      <c r="F56" s="52">
        <v>2359</v>
      </c>
      <c r="G56" s="109">
        <f t="shared" si="19"/>
        <v>0.35046798395483586</v>
      </c>
      <c r="H56" s="84"/>
      <c r="I56" s="52">
        <v>2417</v>
      </c>
      <c r="J56" s="66">
        <f t="shared" si="20"/>
        <v>0.2475673461026324</v>
      </c>
      <c r="K56" s="84"/>
      <c r="L56" s="52">
        <v>4240</v>
      </c>
      <c r="M56" s="66">
        <f t="shared" si="21"/>
        <v>0.25800170378483633</v>
      </c>
      <c r="N56" s="84"/>
      <c r="O56" s="10">
        <v>6369</v>
      </c>
      <c r="P56" s="66">
        <f t="shared" si="22"/>
        <v>0.26986144654887506</v>
      </c>
      <c r="Q56" s="20"/>
      <c r="R56" s="84"/>
      <c r="S56" s="84"/>
      <c r="T56" s="10">
        <f>SUM(T51:T55)</f>
        <v>8001.355383400296</v>
      </c>
      <c r="U56" s="52">
        <f t="shared" ref="U56:X56" si="42">SUM(U51:U55)</f>
        <v>8339.0586909103404</v>
      </c>
      <c r="V56" s="52">
        <f t="shared" si="42"/>
        <v>9590.9174945468894</v>
      </c>
      <c r="W56" s="52">
        <f t="shared" si="42"/>
        <v>11028.405118728921</v>
      </c>
      <c r="X56" s="10">
        <f t="shared" si="42"/>
        <v>12682.665886538258</v>
      </c>
      <c r="Y56" s="18"/>
      <c r="Z56" s="19"/>
      <c r="AA56" s="19"/>
      <c r="AB56" s="19"/>
      <c r="AC56" s="19"/>
      <c r="AD56" s="19"/>
      <c r="AE56" s="20"/>
    </row>
    <row r="57" spans="2:31" ht="15" x14ac:dyDescent="0.2">
      <c r="B57" s="106" t="s">
        <v>237</v>
      </c>
      <c r="C57" s="144">
        <v>1114</v>
      </c>
      <c r="D57" s="145">
        <f t="shared" si="18"/>
        <v>0.17204633204633205</v>
      </c>
      <c r="E57" s="146"/>
      <c r="F57" s="144">
        <v>486</v>
      </c>
      <c r="G57" s="147">
        <f t="shared" si="19"/>
        <v>7.2203238746100129E-2</v>
      </c>
      <c r="H57" s="146"/>
      <c r="I57" s="144">
        <v>330</v>
      </c>
      <c r="J57" s="145">
        <f t="shared" si="20"/>
        <v>3.3801085731844718E-2</v>
      </c>
      <c r="K57" s="146"/>
      <c r="L57" s="144">
        <v>1</v>
      </c>
      <c r="M57" s="148">
        <f t="shared" si="21"/>
        <v>6.0849458439819885E-5</v>
      </c>
      <c r="N57" s="146"/>
      <c r="O57" s="149">
        <v>2467</v>
      </c>
      <c r="P57" s="145">
        <f t="shared" si="22"/>
        <v>0.10452946909029279</v>
      </c>
      <c r="Q57" s="108"/>
      <c r="R57" s="146"/>
      <c r="S57" s="146"/>
      <c r="T57" s="149">
        <f ca="1">O57+T19-T54</f>
        <v>1635.4562500000002</v>
      </c>
      <c r="U57" s="149">
        <f ca="1">T57-U54+U19</f>
        <v>1576.0375000000001</v>
      </c>
      <c r="V57" s="149">
        <f t="shared" ref="V57:X57" ca="1" si="43">U57-V54+V19</f>
        <v>1515.6187500000001</v>
      </c>
      <c r="W57" s="149">
        <f t="shared" ca="1" si="43"/>
        <v>1456.2212500000001</v>
      </c>
      <c r="X57" s="149">
        <f t="shared" ca="1" si="43"/>
        <v>1396.82375</v>
      </c>
      <c r="Y57" s="310" t="s">
        <v>240</v>
      </c>
      <c r="Z57" s="308"/>
      <c r="AA57" s="308"/>
      <c r="AB57" s="308"/>
      <c r="AC57" s="308"/>
      <c r="AD57" s="308"/>
      <c r="AE57" s="309"/>
    </row>
    <row r="58" spans="2:31" ht="15" x14ac:dyDescent="0.2">
      <c r="B58" s="18" t="s">
        <v>26</v>
      </c>
      <c r="C58" s="52">
        <v>0</v>
      </c>
      <c r="D58" s="71">
        <f t="shared" si="18"/>
        <v>0</v>
      </c>
      <c r="E58" s="84"/>
      <c r="F58" s="52">
        <v>199</v>
      </c>
      <c r="G58" s="109">
        <f t="shared" si="19"/>
        <v>2.9564700638835241E-2</v>
      </c>
      <c r="H58" s="84"/>
      <c r="I58" s="52">
        <v>201</v>
      </c>
      <c r="J58" s="66">
        <f t="shared" si="20"/>
        <v>2.0587934036669055E-2</v>
      </c>
      <c r="K58" s="84"/>
      <c r="L58" s="52">
        <v>348</v>
      </c>
      <c r="M58" s="66">
        <f t="shared" si="21"/>
        <v>2.1175611537057319E-2</v>
      </c>
      <c r="N58" s="84"/>
      <c r="O58" s="10">
        <v>396</v>
      </c>
      <c r="P58" s="66">
        <f t="shared" si="22"/>
        <v>1.6778950044489642E-2</v>
      </c>
      <c r="Q58" s="20"/>
      <c r="R58" s="84" t="s">
        <v>119</v>
      </c>
      <c r="S58" s="58">
        <f>AVERAGE(J58,M58,P58)</f>
        <v>1.9514165206072003E-2</v>
      </c>
      <c r="T58" s="10">
        <f>$S$58*T9</f>
        <v>529.63688498278111</v>
      </c>
      <c r="U58" s="52">
        <f t="shared" ref="U58:X58" si="44">$S$58*U9</f>
        <v>609.08241773019824</v>
      </c>
      <c r="V58" s="52">
        <f t="shared" si="44"/>
        <v>700.44478038972784</v>
      </c>
      <c r="W58" s="52">
        <f t="shared" si="44"/>
        <v>805.51149744818701</v>
      </c>
      <c r="X58" s="10">
        <f t="shared" si="44"/>
        <v>926.33822206541493</v>
      </c>
      <c r="Y58" s="300" t="s">
        <v>147</v>
      </c>
      <c r="Z58" s="301"/>
      <c r="AA58" s="301"/>
      <c r="AB58" s="301"/>
      <c r="AC58" s="301"/>
      <c r="AD58" s="301"/>
      <c r="AE58" s="302"/>
    </row>
    <row r="59" spans="2:31" ht="15" x14ac:dyDescent="0.2">
      <c r="B59" s="125" t="s">
        <v>234</v>
      </c>
      <c r="C59" s="126">
        <v>0</v>
      </c>
      <c r="D59" s="127">
        <v>0</v>
      </c>
      <c r="E59" s="128"/>
      <c r="F59" s="126">
        <v>0</v>
      </c>
      <c r="G59" s="129">
        <v>0</v>
      </c>
      <c r="H59" s="128"/>
      <c r="I59" s="126">
        <v>0</v>
      </c>
      <c r="J59" s="127">
        <v>0</v>
      </c>
      <c r="K59" s="128"/>
      <c r="L59" s="126">
        <v>0</v>
      </c>
      <c r="M59" s="127">
        <v>0</v>
      </c>
      <c r="N59" s="128"/>
      <c r="O59" s="130">
        <v>0</v>
      </c>
      <c r="P59" s="127">
        <v>0</v>
      </c>
      <c r="Q59" s="131"/>
      <c r="R59" s="128" t="s">
        <v>129</v>
      </c>
      <c r="S59" s="150"/>
      <c r="T59" s="130">
        <f ca="1">IF(T73&gt;-$S$34,T73+$S$34,0)</f>
        <v>0</v>
      </c>
      <c r="U59" s="130">
        <f t="shared" ref="U59:W59" ca="1" si="45">IF(U73&gt;-$S$34,U73+$S$34,0)</f>
        <v>0</v>
      </c>
      <c r="V59" s="130">
        <f t="shared" ca="1" si="45"/>
        <v>0</v>
      </c>
      <c r="W59" s="130">
        <f t="shared" ca="1" si="45"/>
        <v>0</v>
      </c>
      <c r="X59" s="130">
        <f ca="1">IF(X73&gt;-$S$34,X73+$S$34,0)</f>
        <v>0</v>
      </c>
      <c r="Y59" s="304" t="s">
        <v>241</v>
      </c>
      <c r="Z59" s="316"/>
      <c r="AA59" s="316"/>
      <c r="AB59" s="316"/>
      <c r="AC59" s="316"/>
      <c r="AD59" s="316"/>
      <c r="AE59" s="317"/>
    </row>
    <row r="60" spans="2:31" ht="15" x14ac:dyDescent="0.2">
      <c r="B60" s="18" t="s">
        <v>43</v>
      </c>
      <c r="C60" s="52">
        <v>11</v>
      </c>
      <c r="D60" s="75">
        <f t="shared" si="18"/>
        <v>1.6988416988416989E-3</v>
      </c>
      <c r="E60" s="84"/>
      <c r="F60" s="52">
        <v>11</v>
      </c>
      <c r="G60" s="117">
        <f t="shared" si="19"/>
        <v>1.6342296835537068E-3</v>
      </c>
      <c r="H60" s="84"/>
      <c r="I60" s="52">
        <v>11</v>
      </c>
      <c r="J60" s="75">
        <f t="shared" si="20"/>
        <v>1.1267028577281574E-3</v>
      </c>
      <c r="K60" s="84"/>
      <c r="L60" s="52">
        <v>12</v>
      </c>
      <c r="M60" s="75">
        <f t="shared" si="21"/>
        <v>7.3019350127783865E-4</v>
      </c>
      <c r="N60" s="84"/>
      <c r="O60" s="10">
        <v>1934</v>
      </c>
      <c r="P60" s="66">
        <f t="shared" si="22"/>
        <v>8.1945680267785259E-2</v>
      </c>
      <c r="Q60" s="20"/>
      <c r="R60" s="84" t="s">
        <v>119</v>
      </c>
      <c r="S60" s="105">
        <f>AVERAGE(D60,G60,J60,M60)</f>
        <v>1.2974919353503504E-3</v>
      </c>
      <c r="T60" s="10">
        <f>$O$60</f>
        <v>1934</v>
      </c>
      <c r="U60" s="10">
        <f t="shared" ref="U60:X60" si="46">$O$60</f>
        <v>1934</v>
      </c>
      <c r="V60" s="10">
        <f t="shared" si="46"/>
        <v>1934</v>
      </c>
      <c r="W60" s="10">
        <f t="shared" si="46"/>
        <v>1934</v>
      </c>
      <c r="X60" s="10">
        <f t="shared" si="46"/>
        <v>1934</v>
      </c>
      <c r="Y60" s="294" t="s">
        <v>165</v>
      </c>
      <c r="Z60" s="295"/>
      <c r="AA60" s="295"/>
      <c r="AB60" s="295"/>
      <c r="AC60" s="295"/>
      <c r="AD60" s="295"/>
      <c r="AE60" s="296"/>
    </row>
    <row r="61" spans="2:31" ht="15" x14ac:dyDescent="0.2">
      <c r="B61" s="17" t="s">
        <v>27</v>
      </c>
      <c r="C61" s="51">
        <v>181</v>
      </c>
      <c r="D61" s="153">
        <f t="shared" si="18"/>
        <v>2.7953667953667955E-2</v>
      </c>
      <c r="E61" s="83"/>
      <c r="F61" s="51">
        <v>146</v>
      </c>
      <c r="G61" s="154">
        <f t="shared" si="19"/>
        <v>2.1690684890803745E-2</v>
      </c>
      <c r="H61" s="83"/>
      <c r="I61" s="51">
        <v>166</v>
      </c>
      <c r="J61" s="153">
        <f t="shared" si="20"/>
        <v>1.7002970398443101E-2</v>
      </c>
      <c r="K61" s="83"/>
      <c r="L61" s="51">
        <v>321</v>
      </c>
      <c r="M61" s="153">
        <f t="shared" si="21"/>
        <v>1.9532676159182184E-2</v>
      </c>
      <c r="N61" s="83"/>
      <c r="O61" s="13">
        <v>1664</v>
      </c>
      <c r="P61" s="153">
        <f t="shared" si="22"/>
        <v>7.050548705563324E-2</v>
      </c>
      <c r="Q61" s="7"/>
      <c r="R61" s="83" t="s">
        <v>119</v>
      </c>
      <c r="S61" s="57">
        <f>P61</f>
        <v>7.050548705563324E-2</v>
      </c>
      <c r="T61" s="13">
        <f>$S$61*T9</f>
        <v>1913.6</v>
      </c>
      <c r="U61" s="51">
        <f t="shared" ref="U61:X61" si="47">$S$61*U9</f>
        <v>2200.64</v>
      </c>
      <c r="V61" s="51">
        <f t="shared" si="47"/>
        <v>2530.7359999999994</v>
      </c>
      <c r="W61" s="51">
        <f t="shared" si="47"/>
        <v>2910.346399999999</v>
      </c>
      <c r="X61" s="13">
        <f t="shared" si="47"/>
        <v>3346.8983599999988</v>
      </c>
      <c r="Y61" s="271" t="s">
        <v>257</v>
      </c>
      <c r="Z61" s="272"/>
      <c r="AA61" s="272"/>
      <c r="AB61" s="272"/>
      <c r="AC61" s="272"/>
      <c r="AD61" s="272"/>
      <c r="AE61" s="273"/>
    </row>
    <row r="62" spans="2:31" ht="15" x14ac:dyDescent="0.2">
      <c r="B62" s="14" t="s">
        <v>28</v>
      </c>
      <c r="C62" s="52"/>
      <c r="D62" s="66"/>
      <c r="E62" s="84"/>
      <c r="F62" s="52"/>
      <c r="G62" s="109"/>
      <c r="H62" s="84"/>
      <c r="I62" s="52"/>
      <c r="J62" s="66"/>
      <c r="K62" s="84"/>
      <c r="L62" s="84"/>
      <c r="M62" s="66"/>
      <c r="N62" s="84"/>
      <c r="O62" s="20"/>
      <c r="P62" s="66"/>
      <c r="Q62" s="20"/>
      <c r="R62" s="84"/>
      <c r="S62" s="84"/>
      <c r="T62" s="10"/>
      <c r="U62" s="52"/>
      <c r="V62" s="52"/>
      <c r="W62" s="52"/>
      <c r="X62" s="10"/>
      <c r="Y62" s="18"/>
      <c r="Z62" s="19"/>
      <c r="AA62" s="19"/>
      <c r="AB62" s="19"/>
      <c r="AC62" s="19"/>
      <c r="AD62" s="19"/>
      <c r="AE62" s="20"/>
    </row>
    <row r="63" spans="2:31" ht="15" x14ac:dyDescent="0.2">
      <c r="B63" s="17" t="s">
        <v>29</v>
      </c>
      <c r="C63" s="51"/>
      <c r="D63" s="153"/>
      <c r="E63" s="83"/>
      <c r="F63" s="51"/>
      <c r="G63" s="154"/>
      <c r="H63" s="83"/>
      <c r="I63" s="51"/>
      <c r="J63" s="153"/>
      <c r="K63" s="83"/>
      <c r="L63" s="83"/>
      <c r="M63" s="153"/>
      <c r="N63" s="83"/>
      <c r="O63" s="7"/>
      <c r="P63" s="153"/>
      <c r="Q63" s="7"/>
      <c r="R63" s="83"/>
      <c r="S63" s="83"/>
      <c r="T63" s="13"/>
      <c r="U63" s="51"/>
      <c r="V63" s="51"/>
      <c r="W63" s="51"/>
      <c r="X63" s="13"/>
      <c r="Y63" s="17"/>
      <c r="Z63" s="6"/>
      <c r="AA63" s="6"/>
      <c r="AB63" s="6"/>
      <c r="AC63" s="6"/>
      <c r="AD63" s="6"/>
      <c r="AE63" s="7"/>
    </row>
    <row r="64" spans="2:31" ht="15" x14ac:dyDescent="0.2">
      <c r="B64" s="8" t="s">
        <v>113</v>
      </c>
      <c r="C64" s="52">
        <v>8760</v>
      </c>
      <c r="D64" s="66">
        <f t="shared" si="18"/>
        <v>1.3528957528957528</v>
      </c>
      <c r="E64" s="84"/>
      <c r="F64" s="52">
        <v>9975</v>
      </c>
      <c r="G64" s="109">
        <f t="shared" si="19"/>
        <v>1.4819491903134749</v>
      </c>
      <c r="H64" s="84"/>
      <c r="I64" s="52">
        <v>10556</v>
      </c>
      <c r="J64" s="66">
        <f t="shared" si="20"/>
        <v>1.0812250332889481</v>
      </c>
      <c r="K64" s="84"/>
      <c r="L64" s="52">
        <v>11081</v>
      </c>
      <c r="M64" s="66">
        <f t="shared" si="21"/>
        <v>0.67427284897164419</v>
      </c>
      <c r="N64" s="84"/>
      <c r="O64" s="10">
        <v>58021</v>
      </c>
      <c r="P64" s="66">
        <f t="shared" si="22"/>
        <v>2.4584127791195289</v>
      </c>
      <c r="Q64" s="20"/>
      <c r="R64" s="18"/>
      <c r="S64" s="58"/>
      <c r="T64" s="10">
        <f>'Support tab'!H41</f>
        <v>59472</v>
      </c>
      <c r="U64" s="10">
        <f>'Support tab'!I41</f>
        <v>60938</v>
      </c>
      <c r="V64" s="10">
        <f>'Support tab'!J41</f>
        <v>62419</v>
      </c>
      <c r="W64" s="10">
        <f>'Support tab'!K41</f>
        <v>63915</v>
      </c>
      <c r="X64" s="10">
        <f>'Support tab'!L41</f>
        <v>65426</v>
      </c>
      <c r="Y64" s="294" t="s">
        <v>166</v>
      </c>
      <c r="Z64" s="295"/>
      <c r="AA64" s="295"/>
      <c r="AB64" s="295"/>
      <c r="AC64" s="295"/>
      <c r="AD64" s="295"/>
      <c r="AE64" s="296"/>
    </row>
    <row r="65" spans="2:31" ht="15" x14ac:dyDescent="0.2">
      <c r="B65" s="11" t="s">
        <v>32</v>
      </c>
      <c r="C65" s="51">
        <v>-50</v>
      </c>
      <c r="D65" s="153">
        <f t="shared" si="18"/>
        <v>-7.7220077220077222E-3</v>
      </c>
      <c r="E65" s="83"/>
      <c r="F65" s="51">
        <v>-53</v>
      </c>
      <c r="G65" s="154">
        <f t="shared" si="19"/>
        <v>-7.874015748031496E-3</v>
      </c>
      <c r="H65" s="83"/>
      <c r="I65" s="51">
        <v>-131</v>
      </c>
      <c r="J65" s="153">
        <f t="shared" si="20"/>
        <v>-1.3418006760217146E-2</v>
      </c>
      <c r="K65" s="83"/>
      <c r="L65" s="51">
        <v>-2130</v>
      </c>
      <c r="M65" s="153">
        <f t="shared" si="21"/>
        <v>-0.12960934647681635</v>
      </c>
      <c r="N65" s="83"/>
      <c r="O65" s="13">
        <v>-3099</v>
      </c>
      <c r="P65" s="153">
        <f t="shared" si="22"/>
        <v>-0.13130799542392271</v>
      </c>
      <c r="Q65" s="7"/>
      <c r="R65" s="83"/>
      <c r="S65" s="83"/>
      <c r="T65" s="13">
        <f>'Support tab'!I54</f>
        <v>-4106</v>
      </c>
      <c r="U65" s="13">
        <f>'Support tab'!J54</f>
        <v>-5113</v>
      </c>
      <c r="V65" s="13">
        <f>'Support tab'!K54</f>
        <v>-6120</v>
      </c>
      <c r="W65" s="13">
        <f>'Support tab'!L54</f>
        <v>-7127</v>
      </c>
      <c r="X65" s="13">
        <f>'Support tab'!M54</f>
        <v>-8134</v>
      </c>
      <c r="Y65" s="297" t="s">
        <v>167</v>
      </c>
      <c r="Z65" s="272"/>
      <c r="AA65" s="272"/>
      <c r="AB65" s="272"/>
      <c r="AC65" s="272"/>
      <c r="AD65" s="272"/>
      <c r="AE65" s="273"/>
    </row>
    <row r="66" spans="2:31" ht="15" x14ac:dyDescent="0.2">
      <c r="B66" s="50" t="s">
        <v>33</v>
      </c>
      <c r="C66" s="52">
        <v>-7436</v>
      </c>
      <c r="D66" s="66">
        <f t="shared" si="18"/>
        <v>-1.1484169884169884</v>
      </c>
      <c r="E66" s="84"/>
      <c r="F66" s="52">
        <v>-7095</v>
      </c>
      <c r="G66" s="109">
        <f t="shared" si="19"/>
        <v>-1.0540781458921409</v>
      </c>
      <c r="H66" s="84"/>
      <c r="I66" s="52">
        <v>-4605</v>
      </c>
      <c r="J66" s="66">
        <f t="shared" si="20"/>
        <v>-0.47167878725801493</v>
      </c>
      <c r="K66" s="84"/>
      <c r="L66" s="52">
        <v>-1451</v>
      </c>
      <c r="M66" s="66">
        <f t="shared" si="21"/>
        <v>-8.8292564196178661E-2</v>
      </c>
      <c r="N66" s="84"/>
      <c r="O66" s="10">
        <v>-131</v>
      </c>
      <c r="P66" s="66">
        <f t="shared" si="22"/>
        <v>-5.5506122621922799E-3</v>
      </c>
      <c r="Q66" s="20"/>
      <c r="R66" s="113"/>
      <c r="S66" s="113"/>
      <c r="T66" s="34">
        <f ca="1">O66+T24</f>
        <v>2554.8674464756009</v>
      </c>
      <c r="U66" s="59">
        <f ca="1">T66+U24</f>
        <v>6599.1236536725401</v>
      </c>
      <c r="V66" s="59">
        <f t="shared" ref="V66:X66" ca="1" si="48">U66+V24</f>
        <v>12183.645310699018</v>
      </c>
      <c r="W66" s="59">
        <f t="shared" ca="1" si="48"/>
        <v>19539.490510029471</v>
      </c>
      <c r="X66" s="34">
        <f t="shared" ca="1" si="48"/>
        <v>28932.336766759487</v>
      </c>
      <c r="Y66" s="300" t="s">
        <v>168</v>
      </c>
      <c r="Z66" s="301"/>
      <c r="AA66" s="301"/>
      <c r="AB66" s="301"/>
      <c r="AC66" s="301"/>
      <c r="AD66" s="301"/>
      <c r="AE66" s="302"/>
    </row>
    <row r="67" spans="2:31" ht="15" x14ac:dyDescent="0.2">
      <c r="B67" s="49" t="s">
        <v>34</v>
      </c>
      <c r="C67" s="85">
        <v>-8</v>
      </c>
      <c r="D67" s="155">
        <f t="shared" si="18"/>
        <v>-1.2355212355212356E-3</v>
      </c>
      <c r="E67" s="96"/>
      <c r="F67" s="85">
        <v>0</v>
      </c>
      <c r="G67" s="156">
        <f t="shared" si="19"/>
        <v>0</v>
      </c>
      <c r="H67" s="96"/>
      <c r="I67" s="85">
        <v>17</v>
      </c>
      <c r="J67" s="155">
        <f t="shared" si="20"/>
        <v>1.7412680528526069E-3</v>
      </c>
      <c r="K67" s="96"/>
      <c r="L67" s="85">
        <v>-3</v>
      </c>
      <c r="M67" s="155">
        <f t="shared" si="21"/>
        <v>-1.8254837531945966E-4</v>
      </c>
      <c r="N67" s="96"/>
      <c r="O67" s="23">
        <v>-41</v>
      </c>
      <c r="P67" s="155">
        <f t="shared" si="22"/>
        <v>-1.7372145248082708E-3</v>
      </c>
      <c r="Q67" s="61"/>
      <c r="R67" s="119"/>
      <c r="S67" s="119"/>
      <c r="T67" s="37">
        <v>-50</v>
      </c>
      <c r="U67" s="86">
        <v>-50</v>
      </c>
      <c r="V67" s="86">
        <v>-50</v>
      </c>
      <c r="W67" s="86">
        <v>-50</v>
      </c>
      <c r="X67" s="37">
        <v>-50</v>
      </c>
      <c r="Y67" s="17"/>
      <c r="Z67" s="6"/>
      <c r="AA67" s="6"/>
      <c r="AB67" s="6"/>
      <c r="AC67" s="6"/>
      <c r="AD67" s="6"/>
      <c r="AE67" s="7"/>
    </row>
    <row r="68" spans="2:31" ht="15" x14ac:dyDescent="0.2">
      <c r="B68" s="14" t="s">
        <v>35</v>
      </c>
      <c r="C68" s="52">
        <v>1266</v>
      </c>
      <c r="D68" s="66">
        <f t="shared" si="18"/>
        <v>0.19552123552123551</v>
      </c>
      <c r="E68" s="84"/>
      <c r="F68" s="52">
        <v>2827</v>
      </c>
      <c r="G68" s="109">
        <f t="shared" si="19"/>
        <v>0.41999702867330263</v>
      </c>
      <c r="H68" s="84"/>
      <c r="I68" s="52">
        <v>5837</v>
      </c>
      <c r="J68" s="66">
        <f t="shared" si="20"/>
        <v>0.59786950732356858</v>
      </c>
      <c r="K68" s="84"/>
      <c r="L68" s="52">
        <v>7497</v>
      </c>
      <c r="M68" s="66">
        <f t="shared" si="21"/>
        <v>0.45618838992332966</v>
      </c>
      <c r="N68" s="84"/>
      <c r="O68" s="10">
        <v>54750</v>
      </c>
      <c r="P68" s="112">
        <f t="shared" si="22"/>
        <v>2.3198169569086056</v>
      </c>
      <c r="Q68" s="113"/>
      <c r="R68" s="113"/>
      <c r="S68" s="113"/>
      <c r="T68" s="34">
        <f ca="1">T64+T65+T66+T67</f>
        <v>57870.867446475604</v>
      </c>
      <c r="U68" s="59">
        <f t="shared" ref="U68:X68" ca="1" si="49">U64+U65+U66+U67</f>
        <v>62374.123653672541</v>
      </c>
      <c r="V68" s="59">
        <f t="shared" ca="1" si="49"/>
        <v>68432.645310699023</v>
      </c>
      <c r="W68" s="59">
        <f t="shared" ca="1" si="49"/>
        <v>76277.490510029471</v>
      </c>
      <c r="X68" s="34">
        <f t="shared" ca="1" si="49"/>
        <v>86174.336766759487</v>
      </c>
      <c r="Y68" s="313" t="s">
        <v>169</v>
      </c>
      <c r="Z68" s="314"/>
      <c r="AA68" s="314"/>
      <c r="AB68" s="314"/>
      <c r="AC68" s="314"/>
      <c r="AD68" s="314"/>
      <c r="AE68" s="315"/>
    </row>
    <row r="69" spans="2:31" ht="15" x14ac:dyDescent="0.2">
      <c r="B69" s="157" t="s">
        <v>36</v>
      </c>
      <c r="C69" s="158">
        <v>4556</v>
      </c>
      <c r="D69" s="159">
        <f t="shared" si="18"/>
        <v>0.7036293436293436</v>
      </c>
      <c r="E69" s="96"/>
      <c r="F69" s="158">
        <v>6028</v>
      </c>
      <c r="G69" s="160">
        <f t="shared" si="19"/>
        <v>0.89555786658743131</v>
      </c>
      <c r="H69" s="96"/>
      <c r="I69" s="158">
        <v>8962</v>
      </c>
      <c r="J69" s="159">
        <f t="shared" si="20"/>
        <v>0.91795554645088595</v>
      </c>
      <c r="K69" s="96"/>
      <c r="L69" s="158">
        <v>12419</v>
      </c>
      <c r="M69" s="159">
        <f t="shared" si="21"/>
        <v>0.75568942436412312</v>
      </c>
      <c r="N69" s="96"/>
      <c r="O69" s="161">
        <v>67580</v>
      </c>
      <c r="P69" s="159">
        <f t="shared" si="22"/>
        <v>2.8634379899156817</v>
      </c>
      <c r="Q69" s="88"/>
      <c r="R69" s="119"/>
      <c r="S69" s="119"/>
      <c r="T69" s="37">
        <f ca="1">T68+SUM(T50:T55,T57:T61)</f>
        <v>71884.915964858679</v>
      </c>
      <c r="U69" s="86">
        <f ca="1">U68+SUM(U50:U55,U57:U61)</f>
        <v>77032.942262313081</v>
      </c>
      <c r="V69" s="86">
        <f t="shared" ref="V69:X69" ca="1" si="50">V68+SUM(V50:V55,V57:V61)</f>
        <v>84704.36233563564</v>
      </c>
      <c r="W69" s="86">
        <f t="shared" ca="1" si="50"/>
        <v>94411.974776206582</v>
      </c>
      <c r="X69" s="37">
        <f t="shared" ca="1" si="50"/>
        <v>106461.06298536315</v>
      </c>
      <c r="Y69" s="151"/>
      <c r="Z69" s="87"/>
      <c r="AA69" s="87"/>
      <c r="AB69" s="87"/>
      <c r="AC69" s="87"/>
      <c r="AD69" s="87"/>
      <c r="AE69" s="88"/>
    </row>
    <row r="70" spans="2:31" ht="15" x14ac:dyDescent="0.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2:31" ht="15" x14ac:dyDescent="0.2">
      <c r="B71" s="42" t="s">
        <v>215</v>
      </c>
      <c r="C71" s="6"/>
      <c r="D71" s="6"/>
      <c r="E71" s="6"/>
      <c r="F71" s="6"/>
      <c r="G71" s="6"/>
      <c r="H71" s="6"/>
      <c r="I71" s="6"/>
      <c r="J71" s="6"/>
      <c r="K71" s="6"/>
      <c r="L71" s="6"/>
      <c r="M71" s="6"/>
      <c r="N71" s="6"/>
      <c r="O71" s="6"/>
      <c r="P71" s="6"/>
      <c r="Q71" s="6"/>
      <c r="R71" s="96" t="s">
        <v>131</v>
      </c>
      <c r="S71" s="96"/>
      <c r="T71" s="85">
        <f>SUM(T35:T38,T42:T47)</f>
        <v>62926.550018038906</v>
      </c>
      <c r="U71" s="85">
        <f t="shared" ref="U71:X71" si="51">SUM(U35:U38,U42:U47)</f>
        <v>65121.282520744746</v>
      </c>
      <c r="V71" s="85">
        <f t="shared" si="51"/>
        <v>67645.224898856453</v>
      </c>
      <c r="W71" s="85">
        <f t="shared" si="51"/>
        <v>70547.75863368492</v>
      </c>
      <c r="X71" s="85">
        <f t="shared" si="51"/>
        <v>73885.672428737656</v>
      </c>
      <c r="Y71" s="6"/>
      <c r="Z71" s="6"/>
      <c r="AA71" s="6"/>
      <c r="AB71" s="6"/>
      <c r="AC71" s="6"/>
      <c r="AD71" s="6"/>
      <c r="AE71" s="6"/>
    </row>
    <row r="72" spans="2:31" ht="15" x14ac:dyDescent="0.2">
      <c r="B72" s="6"/>
      <c r="C72" s="6"/>
      <c r="D72" s="6"/>
      <c r="E72" s="6"/>
      <c r="F72" s="6"/>
      <c r="G72" s="6"/>
      <c r="H72" s="6"/>
      <c r="I72" s="6"/>
      <c r="J72" s="6"/>
      <c r="K72" s="6"/>
      <c r="L72" s="6"/>
      <c r="M72" s="6"/>
      <c r="N72" s="6"/>
      <c r="O72" s="6"/>
      <c r="P72" s="6"/>
      <c r="Q72" s="6"/>
      <c r="R72" s="96" t="s">
        <v>132</v>
      </c>
      <c r="S72" s="96"/>
      <c r="T72" s="85">
        <f ca="1">SUM(T50:T55,T57:T61,T68)-T59</f>
        <v>71884.915964858679</v>
      </c>
      <c r="U72" s="85">
        <f t="shared" ref="U72:X72" ca="1" si="52">SUM(U50:U55,U57:U61,U68)-U59</f>
        <v>77032.942262313081</v>
      </c>
      <c r="V72" s="85">
        <f t="shared" ca="1" si="52"/>
        <v>84704.36233563564</v>
      </c>
      <c r="W72" s="85">
        <f t="shared" ca="1" si="52"/>
        <v>94411.974776206582</v>
      </c>
      <c r="X72" s="85">
        <f t="shared" ca="1" si="52"/>
        <v>106461.06298536315</v>
      </c>
      <c r="Y72" s="6"/>
      <c r="Z72" s="6"/>
      <c r="AA72" s="6"/>
      <c r="AB72" s="6"/>
      <c r="AC72" s="6"/>
      <c r="AD72" s="6"/>
      <c r="AE72" s="6"/>
    </row>
    <row r="73" spans="2:31" ht="15" x14ac:dyDescent="0.2">
      <c r="B73" s="6"/>
      <c r="C73" s="6"/>
      <c r="D73" s="6"/>
      <c r="E73" s="6"/>
      <c r="F73" s="6"/>
      <c r="G73" s="6"/>
      <c r="H73" s="6"/>
      <c r="I73" s="6"/>
      <c r="J73" s="6"/>
      <c r="K73" s="6"/>
      <c r="L73" s="6"/>
      <c r="M73" s="6"/>
      <c r="N73" s="6"/>
      <c r="O73" s="6"/>
      <c r="P73" s="6"/>
      <c r="Q73" s="6"/>
      <c r="R73" s="96" t="s">
        <v>133</v>
      </c>
      <c r="S73" s="96"/>
      <c r="T73" s="85">
        <f ca="1">T71-T72</f>
        <v>-8958.3659468197729</v>
      </c>
      <c r="U73" s="85">
        <f t="shared" ref="U73:X73" ca="1" si="53">U71-U72</f>
        <v>-11911.659741568335</v>
      </c>
      <c r="V73" s="85">
        <f t="shared" ca="1" si="53"/>
        <v>-17059.137436779187</v>
      </c>
      <c r="W73" s="85">
        <f t="shared" ca="1" si="53"/>
        <v>-23864.216142521662</v>
      </c>
      <c r="X73" s="85">
        <f t="shared" ca="1" si="53"/>
        <v>-32575.390556625498</v>
      </c>
      <c r="Y73" s="6"/>
      <c r="Z73" s="6"/>
      <c r="AA73" s="6"/>
      <c r="AB73" s="6"/>
      <c r="AC73" s="6"/>
      <c r="AD73" s="6"/>
      <c r="AE73" s="6"/>
    </row>
    <row r="74" spans="2:31" ht="15" x14ac:dyDescent="0.2">
      <c r="R74" s="96" t="s">
        <v>238</v>
      </c>
      <c r="S74" s="96"/>
      <c r="T74" s="96">
        <v>1500</v>
      </c>
      <c r="U74" s="96">
        <v>1500</v>
      </c>
      <c r="V74" s="96">
        <v>1500</v>
      </c>
      <c r="W74" s="96">
        <v>1500</v>
      </c>
      <c r="X74" s="96">
        <v>1500</v>
      </c>
    </row>
    <row r="75" spans="2:31" ht="15" x14ac:dyDescent="0.2">
      <c r="R75" s="96" t="s">
        <v>239</v>
      </c>
      <c r="S75" s="96"/>
      <c r="T75" s="85">
        <f ca="1">T59</f>
        <v>0</v>
      </c>
      <c r="U75" s="85">
        <f t="shared" ref="U75:X75" ca="1" si="54">U59</f>
        <v>0</v>
      </c>
      <c r="V75" s="85">
        <f t="shared" ca="1" si="54"/>
        <v>0</v>
      </c>
      <c r="W75" s="85">
        <f t="shared" ca="1" si="54"/>
        <v>0</v>
      </c>
      <c r="X75" s="85">
        <f t="shared" ca="1" si="54"/>
        <v>0</v>
      </c>
    </row>
  </sheetData>
  <mergeCells count="51">
    <mergeCell ref="Y64:AE64"/>
    <mergeCell ref="Y65:AE65"/>
    <mergeCell ref="Y66:AE66"/>
    <mergeCell ref="Y68:AE68"/>
    <mergeCell ref="Y55:AE55"/>
    <mergeCell ref="Y57:AE57"/>
    <mergeCell ref="Y58:AE58"/>
    <mergeCell ref="Y60:AE60"/>
    <mergeCell ref="Y61:AE61"/>
    <mergeCell ref="Y59:AE59"/>
    <mergeCell ref="Y50:AE50"/>
    <mergeCell ref="Y51:AE51"/>
    <mergeCell ref="Y52:AE52"/>
    <mergeCell ref="Y53:AE53"/>
    <mergeCell ref="Y54:AE54"/>
    <mergeCell ref="Y43:AE43"/>
    <mergeCell ref="Y44:AE44"/>
    <mergeCell ref="Y45:AE45"/>
    <mergeCell ref="Y46:AE46"/>
    <mergeCell ref="Y47:AE47"/>
    <mergeCell ref="Y36:AE36"/>
    <mergeCell ref="Y37:AE37"/>
    <mergeCell ref="Y38:AE38"/>
    <mergeCell ref="Y40:AE40"/>
    <mergeCell ref="Y41:AE41"/>
    <mergeCell ref="Y26:AE26"/>
    <mergeCell ref="Y27:AE27"/>
    <mergeCell ref="Y29:AE30"/>
    <mergeCell ref="Y34:AE34"/>
    <mergeCell ref="Y35:AE35"/>
    <mergeCell ref="Y17:AE17"/>
    <mergeCell ref="Y19:AE19"/>
    <mergeCell ref="Y20:AE20"/>
    <mergeCell ref="Y22:AE22"/>
    <mergeCell ref="Y23:AE23"/>
    <mergeCell ref="Y14:AE14"/>
    <mergeCell ref="Y15:AE15"/>
    <mergeCell ref="Y16:AE16"/>
    <mergeCell ref="Y11:AE11"/>
    <mergeCell ref="Y10:AE10"/>
    <mergeCell ref="Y12:AE12"/>
    <mergeCell ref="T6:X6"/>
    <mergeCell ref="C7:D7"/>
    <mergeCell ref="I7:J7"/>
    <mergeCell ref="F7:G7"/>
    <mergeCell ref="Y9:AE9"/>
    <mergeCell ref="L7:M7"/>
    <mergeCell ref="O7:P7"/>
    <mergeCell ref="C6:Q6"/>
    <mergeCell ref="R6:S6"/>
    <mergeCell ref="R7:S7"/>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7D347-9F5C-448C-A69A-22317DD00D0A}">
  <dimension ref="A1:P113"/>
  <sheetViews>
    <sheetView showGridLines="0" topLeftCell="A3" workbookViewId="0">
      <selection activeCell="R19" sqref="R19"/>
    </sheetView>
  </sheetViews>
  <sheetFormatPr defaultRowHeight="14.25" x14ac:dyDescent="0.2"/>
  <cols>
    <col min="1" max="1" width="13.875" customWidth="1"/>
  </cols>
  <sheetData>
    <row r="1" spans="1:16" ht="15" x14ac:dyDescent="0.2">
      <c r="A1" s="90" t="s">
        <v>170</v>
      </c>
      <c r="B1" s="6"/>
      <c r="C1" s="6"/>
      <c r="D1" s="6"/>
      <c r="E1" s="6"/>
      <c r="F1" s="6"/>
      <c r="G1" s="6"/>
      <c r="H1" s="6"/>
      <c r="I1" s="6"/>
      <c r="J1" s="6"/>
      <c r="K1" s="6"/>
      <c r="L1" s="6"/>
      <c r="M1" s="6"/>
      <c r="N1" s="6"/>
      <c r="O1" s="6"/>
      <c r="P1" s="6"/>
    </row>
    <row r="2" spans="1:16" x14ac:dyDescent="0.2">
      <c r="A2" s="322">
        <v>-1</v>
      </c>
      <c r="B2" s="318" t="s">
        <v>259</v>
      </c>
      <c r="C2" s="318"/>
      <c r="D2" s="318"/>
      <c r="E2" s="318"/>
      <c r="F2" s="318"/>
      <c r="G2" s="318"/>
      <c r="H2" s="318"/>
      <c r="I2" s="318"/>
      <c r="J2" s="318"/>
      <c r="K2" s="318"/>
      <c r="L2" s="318"/>
      <c r="M2" s="318"/>
      <c r="N2" s="318"/>
      <c r="O2" s="318"/>
      <c r="P2" s="319"/>
    </row>
    <row r="3" spans="1:16" x14ac:dyDescent="0.2">
      <c r="A3" s="329"/>
      <c r="B3" s="290"/>
      <c r="C3" s="290"/>
      <c r="D3" s="290"/>
      <c r="E3" s="290"/>
      <c r="F3" s="290"/>
      <c r="G3" s="290"/>
      <c r="H3" s="290"/>
      <c r="I3" s="290"/>
      <c r="J3" s="290"/>
      <c r="K3" s="290"/>
      <c r="L3" s="290"/>
      <c r="M3" s="290"/>
      <c r="N3" s="290"/>
      <c r="O3" s="290"/>
      <c r="P3" s="303"/>
    </row>
    <row r="4" spans="1:16" x14ac:dyDescent="0.2">
      <c r="A4" s="329"/>
      <c r="B4" s="290"/>
      <c r="C4" s="290"/>
      <c r="D4" s="290"/>
      <c r="E4" s="290"/>
      <c r="F4" s="290"/>
      <c r="G4" s="290"/>
      <c r="H4" s="290"/>
      <c r="I4" s="290"/>
      <c r="J4" s="290"/>
      <c r="K4" s="290"/>
      <c r="L4" s="290"/>
      <c r="M4" s="290"/>
      <c r="N4" s="290"/>
      <c r="O4" s="290"/>
      <c r="P4" s="303"/>
    </row>
    <row r="5" spans="1:16" x14ac:dyDescent="0.2">
      <c r="A5" s="329"/>
      <c r="B5" s="290"/>
      <c r="C5" s="290"/>
      <c r="D5" s="290"/>
      <c r="E5" s="290"/>
      <c r="F5" s="290"/>
      <c r="G5" s="290"/>
      <c r="H5" s="290"/>
      <c r="I5" s="290"/>
      <c r="J5" s="290"/>
      <c r="K5" s="290"/>
      <c r="L5" s="290"/>
      <c r="M5" s="290"/>
      <c r="N5" s="290"/>
      <c r="O5" s="290"/>
      <c r="P5" s="303"/>
    </row>
    <row r="6" spans="1:16" x14ac:dyDescent="0.2">
      <c r="A6" s="329"/>
      <c r="B6" s="290"/>
      <c r="C6" s="290"/>
      <c r="D6" s="290"/>
      <c r="E6" s="290"/>
      <c r="F6" s="290"/>
      <c r="G6" s="290"/>
      <c r="H6" s="290"/>
      <c r="I6" s="290"/>
      <c r="J6" s="290"/>
      <c r="K6" s="290"/>
      <c r="L6" s="290"/>
      <c r="M6" s="290"/>
      <c r="N6" s="290"/>
      <c r="O6" s="290"/>
      <c r="P6" s="303"/>
    </row>
    <row r="7" spans="1:16" x14ac:dyDescent="0.2">
      <c r="A7" s="329"/>
      <c r="B7" s="290"/>
      <c r="C7" s="290"/>
      <c r="D7" s="290"/>
      <c r="E7" s="290"/>
      <c r="F7" s="290"/>
      <c r="G7" s="290"/>
      <c r="H7" s="290"/>
      <c r="I7" s="290"/>
      <c r="J7" s="290"/>
      <c r="K7" s="290"/>
      <c r="L7" s="290"/>
      <c r="M7" s="290"/>
      <c r="N7" s="290"/>
      <c r="O7" s="290"/>
      <c r="P7" s="303"/>
    </row>
    <row r="8" spans="1:16" x14ac:dyDescent="0.2">
      <c r="A8" s="329"/>
      <c r="B8" s="290"/>
      <c r="C8" s="290"/>
      <c r="D8" s="290"/>
      <c r="E8" s="290"/>
      <c r="F8" s="290"/>
      <c r="G8" s="290"/>
      <c r="H8" s="290"/>
      <c r="I8" s="290"/>
      <c r="J8" s="290"/>
      <c r="K8" s="290"/>
      <c r="L8" s="290"/>
      <c r="M8" s="290"/>
      <c r="N8" s="290"/>
      <c r="O8" s="290"/>
      <c r="P8" s="303"/>
    </row>
    <row r="9" spans="1:16" ht="15" x14ac:dyDescent="0.2">
      <c r="A9" s="91"/>
      <c r="B9" s="320"/>
      <c r="C9" s="320"/>
      <c r="D9" s="320"/>
      <c r="E9" s="320"/>
      <c r="F9" s="320"/>
      <c r="G9" s="320"/>
      <c r="H9" s="320"/>
      <c r="I9" s="320"/>
      <c r="J9" s="320"/>
      <c r="K9" s="320"/>
      <c r="L9" s="320"/>
      <c r="M9" s="320"/>
      <c r="N9" s="320"/>
      <c r="O9" s="320"/>
      <c r="P9" s="321"/>
    </row>
    <row r="10" spans="1:16" ht="15" x14ac:dyDescent="0.2">
      <c r="A10" s="92">
        <v>-2</v>
      </c>
      <c r="B10" s="327" t="s">
        <v>171</v>
      </c>
      <c r="C10" s="327"/>
      <c r="D10" s="327"/>
      <c r="E10" s="327"/>
      <c r="F10" s="327"/>
      <c r="G10" s="327"/>
      <c r="H10" s="327"/>
      <c r="I10" s="327"/>
      <c r="J10" s="327"/>
      <c r="K10" s="327"/>
      <c r="L10" s="327"/>
      <c r="M10" s="327"/>
      <c r="N10" s="327"/>
      <c r="O10" s="327"/>
      <c r="P10" s="328"/>
    </row>
    <row r="11" spans="1:16" ht="14.25" customHeight="1" x14ac:dyDescent="0.2">
      <c r="A11" s="322">
        <v>-3</v>
      </c>
      <c r="B11" s="318" t="s">
        <v>172</v>
      </c>
      <c r="C11" s="318"/>
      <c r="D11" s="318"/>
      <c r="E11" s="318"/>
      <c r="F11" s="318"/>
      <c r="G11" s="318"/>
      <c r="H11" s="318"/>
      <c r="I11" s="318"/>
      <c r="J11" s="318"/>
      <c r="K11" s="318"/>
      <c r="L11" s="318"/>
      <c r="M11" s="318"/>
      <c r="N11" s="318"/>
      <c r="O11" s="318"/>
      <c r="P11" s="319"/>
    </row>
    <row r="12" spans="1:16" x14ac:dyDescent="0.2">
      <c r="A12" s="329"/>
      <c r="B12" s="290"/>
      <c r="C12" s="290"/>
      <c r="D12" s="290"/>
      <c r="E12" s="290"/>
      <c r="F12" s="290"/>
      <c r="G12" s="290"/>
      <c r="H12" s="290"/>
      <c r="I12" s="290"/>
      <c r="J12" s="290"/>
      <c r="K12" s="290"/>
      <c r="L12" s="290"/>
      <c r="M12" s="290"/>
      <c r="N12" s="290"/>
      <c r="O12" s="290"/>
      <c r="P12" s="303"/>
    </row>
    <row r="13" spans="1:16" x14ac:dyDescent="0.2">
      <c r="A13" s="329"/>
      <c r="B13" s="290"/>
      <c r="C13" s="290"/>
      <c r="D13" s="290"/>
      <c r="E13" s="290"/>
      <c r="F13" s="290"/>
      <c r="G13" s="290"/>
      <c r="H13" s="290"/>
      <c r="I13" s="290"/>
      <c r="J13" s="290"/>
      <c r="K13" s="290"/>
      <c r="L13" s="290"/>
      <c r="M13" s="290"/>
      <c r="N13" s="290"/>
      <c r="O13" s="290"/>
      <c r="P13" s="303"/>
    </row>
    <row r="14" spans="1:16" x14ac:dyDescent="0.2">
      <c r="A14" s="329"/>
      <c r="B14" s="290"/>
      <c r="C14" s="290"/>
      <c r="D14" s="290"/>
      <c r="E14" s="290"/>
      <c r="F14" s="290"/>
      <c r="G14" s="290"/>
      <c r="H14" s="290"/>
      <c r="I14" s="290"/>
      <c r="J14" s="290"/>
      <c r="K14" s="290"/>
      <c r="L14" s="290"/>
      <c r="M14" s="290"/>
      <c r="N14" s="290"/>
      <c r="O14" s="290"/>
      <c r="P14" s="303"/>
    </row>
    <row r="15" spans="1:16" x14ac:dyDescent="0.2">
      <c r="A15" s="329"/>
      <c r="B15" s="290"/>
      <c r="C15" s="290"/>
      <c r="D15" s="290"/>
      <c r="E15" s="290"/>
      <c r="F15" s="290"/>
      <c r="G15" s="290"/>
      <c r="H15" s="290"/>
      <c r="I15" s="290"/>
      <c r="J15" s="290"/>
      <c r="K15" s="290"/>
      <c r="L15" s="290"/>
      <c r="M15" s="290"/>
      <c r="N15" s="290"/>
      <c r="O15" s="290"/>
      <c r="P15" s="303"/>
    </row>
    <row r="16" spans="1:16" x14ac:dyDescent="0.2">
      <c r="A16" s="329"/>
      <c r="B16" s="290"/>
      <c r="C16" s="290"/>
      <c r="D16" s="290"/>
      <c r="E16" s="290"/>
      <c r="F16" s="290"/>
      <c r="G16" s="290"/>
      <c r="H16" s="290"/>
      <c r="I16" s="290"/>
      <c r="J16" s="290"/>
      <c r="K16" s="290"/>
      <c r="L16" s="290"/>
      <c r="M16" s="290"/>
      <c r="N16" s="290"/>
      <c r="O16" s="290"/>
      <c r="P16" s="303"/>
    </row>
    <row r="17" spans="1:16" x14ac:dyDescent="0.2">
      <c r="A17" s="329"/>
      <c r="B17" s="290"/>
      <c r="C17" s="290"/>
      <c r="D17" s="290"/>
      <c r="E17" s="290"/>
      <c r="F17" s="290"/>
      <c r="G17" s="290"/>
      <c r="H17" s="290"/>
      <c r="I17" s="290"/>
      <c r="J17" s="290"/>
      <c r="K17" s="290"/>
      <c r="L17" s="290"/>
      <c r="M17" s="290"/>
      <c r="N17" s="290"/>
      <c r="O17" s="290"/>
      <c r="P17" s="303"/>
    </row>
    <row r="18" spans="1:16" x14ac:dyDescent="0.2">
      <c r="A18" s="329"/>
      <c r="B18" s="290"/>
      <c r="C18" s="290"/>
      <c r="D18" s="290"/>
      <c r="E18" s="290"/>
      <c r="F18" s="290"/>
      <c r="G18" s="290"/>
      <c r="H18" s="290"/>
      <c r="I18" s="290"/>
      <c r="J18" s="290"/>
      <c r="K18" s="290"/>
      <c r="L18" s="290"/>
      <c r="M18" s="290"/>
      <c r="N18" s="290"/>
      <c r="O18" s="290"/>
      <c r="P18" s="303"/>
    </row>
    <row r="19" spans="1:16" x14ac:dyDescent="0.2">
      <c r="A19" s="323"/>
      <c r="B19" s="320"/>
      <c r="C19" s="320"/>
      <c r="D19" s="320"/>
      <c r="E19" s="320"/>
      <c r="F19" s="320"/>
      <c r="G19" s="320"/>
      <c r="H19" s="320"/>
      <c r="I19" s="320"/>
      <c r="J19" s="320"/>
      <c r="K19" s="320"/>
      <c r="L19" s="320"/>
      <c r="M19" s="320"/>
      <c r="N19" s="320"/>
      <c r="O19" s="320"/>
      <c r="P19" s="321"/>
    </row>
    <row r="20" spans="1:16" ht="15" x14ac:dyDescent="0.2">
      <c r="A20" s="92">
        <v>-4</v>
      </c>
      <c r="B20" s="327" t="s">
        <v>260</v>
      </c>
      <c r="C20" s="327"/>
      <c r="D20" s="327"/>
      <c r="E20" s="327"/>
      <c r="F20" s="327"/>
      <c r="G20" s="327"/>
      <c r="H20" s="327"/>
      <c r="I20" s="327"/>
      <c r="J20" s="327"/>
      <c r="K20" s="327"/>
      <c r="L20" s="327"/>
      <c r="M20" s="327"/>
      <c r="N20" s="327"/>
      <c r="O20" s="327"/>
      <c r="P20" s="328"/>
    </row>
    <row r="21" spans="1:16" ht="15" x14ac:dyDescent="0.2">
      <c r="A21" s="92">
        <v>-5</v>
      </c>
      <c r="B21" s="327" t="s">
        <v>187</v>
      </c>
      <c r="C21" s="327"/>
      <c r="D21" s="327"/>
      <c r="E21" s="327"/>
      <c r="F21" s="327"/>
      <c r="G21" s="327"/>
      <c r="H21" s="327"/>
      <c r="I21" s="327"/>
      <c r="J21" s="327"/>
      <c r="K21" s="327"/>
      <c r="L21" s="327"/>
      <c r="M21" s="327"/>
      <c r="N21" s="327"/>
      <c r="O21" s="327"/>
      <c r="P21" s="328"/>
    </row>
    <row r="22" spans="1:16" x14ac:dyDescent="0.2">
      <c r="A22" s="322">
        <v>-6</v>
      </c>
      <c r="B22" s="318" t="s">
        <v>189</v>
      </c>
      <c r="C22" s="318"/>
      <c r="D22" s="318"/>
      <c r="E22" s="318"/>
      <c r="F22" s="318"/>
      <c r="G22" s="318"/>
      <c r="H22" s="318"/>
      <c r="I22" s="318"/>
      <c r="J22" s="318"/>
      <c r="K22" s="318"/>
      <c r="L22" s="318"/>
      <c r="M22" s="318"/>
      <c r="N22" s="318"/>
      <c r="O22" s="318"/>
      <c r="P22" s="319"/>
    </row>
    <row r="23" spans="1:16" x14ac:dyDescent="0.2">
      <c r="A23" s="329"/>
      <c r="B23" s="290"/>
      <c r="C23" s="290"/>
      <c r="D23" s="290"/>
      <c r="E23" s="290"/>
      <c r="F23" s="290"/>
      <c r="G23" s="290"/>
      <c r="H23" s="290"/>
      <c r="I23" s="290"/>
      <c r="J23" s="290"/>
      <c r="K23" s="290"/>
      <c r="L23" s="290"/>
      <c r="M23" s="290"/>
      <c r="N23" s="290"/>
      <c r="O23" s="290"/>
      <c r="P23" s="303"/>
    </row>
    <row r="24" spans="1:16" x14ac:dyDescent="0.2">
      <c r="A24" s="323"/>
      <c r="B24" s="320"/>
      <c r="C24" s="320"/>
      <c r="D24" s="320"/>
      <c r="E24" s="320"/>
      <c r="F24" s="320"/>
      <c r="G24" s="320"/>
      <c r="H24" s="320"/>
      <c r="I24" s="320"/>
      <c r="J24" s="320"/>
      <c r="K24" s="320"/>
      <c r="L24" s="320"/>
      <c r="M24" s="320"/>
      <c r="N24" s="320"/>
      <c r="O24" s="320"/>
      <c r="P24" s="321"/>
    </row>
    <row r="25" spans="1:16" x14ac:dyDescent="0.2">
      <c r="A25" s="322">
        <v>-7</v>
      </c>
      <c r="B25" s="318" t="s">
        <v>258</v>
      </c>
      <c r="C25" s="318"/>
      <c r="D25" s="318"/>
      <c r="E25" s="318"/>
      <c r="F25" s="318"/>
      <c r="G25" s="318"/>
      <c r="H25" s="318"/>
      <c r="I25" s="318"/>
      <c r="J25" s="318"/>
      <c r="K25" s="318"/>
      <c r="L25" s="318"/>
      <c r="M25" s="318"/>
      <c r="N25" s="318"/>
      <c r="O25" s="318"/>
      <c r="P25" s="319"/>
    </row>
    <row r="26" spans="1:16" x14ac:dyDescent="0.2">
      <c r="A26" s="329"/>
      <c r="B26" s="290"/>
      <c r="C26" s="290"/>
      <c r="D26" s="290"/>
      <c r="E26" s="290"/>
      <c r="F26" s="290"/>
      <c r="G26" s="290"/>
      <c r="H26" s="290"/>
      <c r="I26" s="290"/>
      <c r="J26" s="290"/>
      <c r="K26" s="290"/>
      <c r="L26" s="290"/>
      <c r="M26" s="290"/>
      <c r="N26" s="290"/>
      <c r="O26" s="290"/>
      <c r="P26" s="303"/>
    </row>
    <row r="27" spans="1:16" x14ac:dyDescent="0.2">
      <c r="A27" s="329"/>
      <c r="B27" s="290"/>
      <c r="C27" s="290"/>
      <c r="D27" s="290"/>
      <c r="E27" s="290"/>
      <c r="F27" s="290"/>
      <c r="G27" s="290"/>
      <c r="H27" s="290"/>
      <c r="I27" s="290"/>
      <c r="J27" s="290"/>
      <c r="K27" s="290"/>
      <c r="L27" s="290"/>
      <c r="M27" s="290"/>
      <c r="N27" s="290"/>
      <c r="O27" s="290"/>
      <c r="P27" s="303"/>
    </row>
    <row r="28" spans="1:16" x14ac:dyDescent="0.2">
      <c r="A28" s="323"/>
      <c r="B28" s="320"/>
      <c r="C28" s="320"/>
      <c r="D28" s="320"/>
      <c r="E28" s="320"/>
      <c r="F28" s="320"/>
      <c r="G28" s="320"/>
      <c r="H28" s="320"/>
      <c r="I28" s="320"/>
      <c r="J28" s="320"/>
      <c r="K28" s="320"/>
      <c r="L28" s="320"/>
      <c r="M28" s="320"/>
      <c r="N28" s="320"/>
      <c r="O28" s="320"/>
      <c r="P28" s="321"/>
    </row>
    <row r="29" spans="1:16" x14ac:dyDescent="0.2">
      <c r="A29" s="322">
        <v>-8</v>
      </c>
      <c r="B29" s="318" t="s">
        <v>173</v>
      </c>
      <c r="C29" s="318"/>
      <c r="D29" s="318"/>
      <c r="E29" s="318"/>
      <c r="F29" s="318"/>
      <c r="G29" s="318"/>
      <c r="H29" s="318"/>
      <c r="I29" s="318"/>
      <c r="J29" s="318"/>
      <c r="K29" s="318"/>
      <c r="L29" s="318"/>
      <c r="M29" s="318"/>
      <c r="N29" s="318"/>
      <c r="O29" s="318"/>
      <c r="P29" s="319"/>
    </row>
    <row r="30" spans="1:16" x14ac:dyDescent="0.2">
      <c r="A30" s="329"/>
      <c r="B30" s="290"/>
      <c r="C30" s="290"/>
      <c r="D30" s="290"/>
      <c r="E30" s="290"/>
      <c r="F30" s="290"/>
      <c r="G30" s="290"/>
      <c r="H30" s="290"/>
      <c r="I30" s="290"/>
      <c r="J30" s="290"/>
      <c r="K30" s="290"/>
      <c r="L30" s="290"/>
      <c r="M30" s="290"/>
      <c r="N30" s="290"/>
      <c r="O30" s="290"/>
      <c r="P30" s="303"/>
    </row>
    <row r="31" spans="1:16" x14ac:dyDescent="0.2">
      <c r="A31" s="323"/>
      <c r="B31" s="320"/>
      <c r="C31" s="320"/>
      <c r="D31" s="320"/>
      <c r="E31" s="320"/>
      <c r="F31" s="320"/>
      <c r="G31" s="320"/>
      <c r="H31" s="320"/>
      <c r="I31" s="320"/>
      <c r="J31" s="320"/>
      <c r="K31" s="320"/>
      <c r="L31" s="320"/>
      <c r="M31" s="320"/>
      <c r="N31" s="320"/>
      <c r="O31" s="320"/>
      <c r="P31" s="321"/>
    </row>
    <row r="32" spans="1:16" x14ac:dyDescent="0.2">
      <c r="A32" s="322">
        <v>-9</v>
      </c>
      <c r="B32" s="318" t="s">
        <v>174</v>
      </c>
      <c r="C32" s="318"/>
      <c r="D32" s="318"/>
      <c r="E32" s="318"/>
      <c r="F32" s="318"/>
      <c r="G32" s="318"/>
      <c r="H32" s="318"/>
      <c r="I32" s="318"/>
      <c r="J32" s="318"/>
      <c r="K32" s="318"/>
      <c r="L32" s="318"/>
      <c r="M32" s="318"/>
      <c r="N32" s="318"/>
      <c r="O32" s="318"/>
      <c r="P32" s="319"/>
    </row>
    <row r="33" spans="1:16" x14ac:dyDescent="0.2">
      <c r="A33" s="329"/>
      <c r="B33" s="290"/>
      <c r="C33" s="290"/>
      <c r="D33" s="290"/>
      <c r="E33" s="290"/>
      <c r="F33" s="290"/>
      <c r="G33" s="290"/>
      <c r="H33" s="290"/>
      <c r="I33" s="290"/>
      <c r="J33" s="290"/>
      <c r="K33" s="290"/>
      <c r="L33" s="290"/>
      <c r="M33" s="290"/>
      <c r="N33" s="290"/>
      <c r="O33" s="290"/>
      <c r="P33" s="303"/>
    </row>
    <row r="34" spans="1:16" x14ac:dyDescent="0.2">
      <c r="A34" s="323"/>
      <c r="B34" s="320"/>
      <c r="C34" s="320"/>
      <c r="D34" s="320"/>
      <c r="E34" s="320"/>
      <c r="F34" s="320"/>
      <c r="G34" s="320"/>
      <c r="H34" s="320"/>
      <c r="I34" s="320"/>
      <c r="J34" s="320"/>
      <c r="K34" s="320"/>
      <c r="L34" s="320"/>
      <c r="M34" s="320"/>
      <c r="N34" s="320"/>
      <c r="O34" s="320"/>
      <c r="P34" s="321"/>
    </row>
    <row r="35" spans="1:16" ht="14.25" customHeight="1" x14ac:dyDescent="0.2">
      <c r="A35" s="322">
        <v>-10</v>
      </c>
      <c r="B35" s="318" t="s">
        <v>175</v>
      </c>
      <c r="C35" s="318"/>
      <c r="D35" s="318"/>
      <c r="E35" s="318"/>
      <c r="F35" s="318"/>
      <c r="G35" s="318"/>
      <c r="H35" s="318"/>
      <c r="I35" s="318"/>
      <c r="J35" s="318"/>
      <c r="K35" s="318"/>
      <c r="L35" s="318"/>
      <c r="M35" s="318"/>
      <c r="N35" s="318"/>
      <c r="O35" s="318"/>
      <c r="P35" s="319"/>
    </row>
    <row r="36" spans="1:16" x14ac:dyDescent="0.2">
      <c r="A36" s="323"/>
      <c r="B36" s="320"/>
      <c r="C36" s="320"/>
      <c r="D36" s="320"/>
      <c r="E36" s="320"/>
      <c r="F36" s="320"/>
      <c r="G36" s="320"/>
      <c r="H36" s="320"/>
      <c r="I36" s="320"/>
      <c r="J36" s="320"/>
      <c r="K36" s="320"/>
      <c r="L36" s="320"/>
      <c r="M36" s="320"/>
      <c r="N36" s="320"/>
      <c r="O36" s="320"/>
      <c r="P36" s="321"/>
    </row>
    <row r="37" spans="1:16" x14ac:dyDescent="0.2">
      <c r="A37" s="322">
        <v>-11</v>
      </c>
      <c r="B37" s="318" t="s">
        <v>176</v>
      </c>
      <c r="C37" s="318"/>
      <c r="D37" s="318"/>
      <c r="E37" s="318"/>
      <c r="F37" s="318"/>
      <c r="G37" s="318"/>
      <c r="H37" s="318"/>
      <c r="I37" s="318"/>
      <c r="J37" s="318"/>
      <c r="K37" s="318"/>
      <c r="L37" s="318"/>
      <c r="M37" s="318"/>
      <c r="N37" s="318"/>
      <c r="O37" s="318"/>
      <c r="P37" s="319"/>
    </row>
    <row r="38" spans="1:16" x14ac:dyDescent="0.2">
      <c r="A38" s="323"/>
      <c r="B38" s="320"/>
      <c r="C38" s="320"/>
      <c r="D38" s="320"/>
      <c r="E38" s="320"/>
      <c r="F38" s="320"/>
      <c r="G38" s="320"/>
      <c r="H38" s="320"/>
      <c r="I38" s="320"/>
      <c r="J38" s="320"/>
      <c r="K38" s="320"/>
      <c r="L38" s="320"/>
      <c r="M38" s="320"/>
      <c r="N38" s="320"/>
      <c r="O38" s="320"/>
      <c r="P38" s="321"/>
    </row>
    <row r="39" spans="1:16" ht="15" x14ac:dyDescent="0.2">
      <c r="A39" s="322">
        <v>-12</v>
      </c>
      <c r="B39" s="94"/>
      <c r="C39" s="94"/>
      <c r="D39" s="94"/>
      <c r="E39" s="94"/>
      <c r="F39" s="94"/>
      <c r="G39" s="94"/>
      <c r="H39" s="94"/>
      <c r="I39" s="94"/>
      <c r="J39" s="94"/>
      <c r="K39" s="94"/>
      <c r="L39" s="94"/>
      <c r="M39" s="94"/>
      <c r="N39" s="94"/>
      <c r="O39" s="94"/>
      <c r="P39" s="95"/>
    </row>
    <row r="40" spans="1:16" ht="15" x14ac:dyDescent="0.2">
      <c r="A40" s="329"/>
      <c r="B40" s="6"/>
      <c r="C40" s="6"/>
      <c r="D40" s="6"/>
      <c r="E40" s="6"/>
      <c r="F40" s="6"/>
      <c r="G40" s="6"/>
      <c r="H40" s="96">
        <v>2023</v>
      </c>
      <c r="I40" s="96">
        <v>2024</v>
      </c>
      <c r="J40" s="96">
        <v>2025</v>
      </c>
      <c r="K40" s="96">
        <v>2026</v>
      </c>
      <c r="L40" s="96">
        <v>2027</v>
      </c>
      <c r="M40" s="6"/>
      <c r="N40" s="6"/>
      <c r="O40" s="6"/>
      <c r="P40" s="7"/>
    </row>
    <row r="41" spans="1:16" ht="15" x14ac:dyDescent="0.2">
      <c r="A41" s="329"/>
      <c r="B41" s="324" t="s">
        <v>31</v>
      </c>
      <c r="C41" s="325"/>
      <c r="D41" s="325"/>
      <c r="E41" s="325"/>
      <c r="F41" s="325"/>
      <c r="G41" s="326"/>
      <c r="H41" s="96">
        <f>SUM(H42:H46)</f>
        <v>59472</v>
      </c>
      <c r="I41" s="96">
        <f t="shared" ref="I41:L41" si="0">SUM(I42:I46)</f>
        <v>60938</v>
      </c>
      <c r="J41" s="96">
        <f t="shared" si="0"/>
        <v>62419</v>
      </c>
      <c r="K41" s="96">
        <f t="shared" si="0"/>
        <v>63915</v>
      </c>
      <c r="L41" s="96">
        <f t="shared" si="0"/>
        <v>65426</v>
      </c>
      <c r="M41" s="6"/>
      <c r="N41" s="6"/>
      <c r="O41" s="6"/>
      <c r="P41" s="7"/>
    </row>
    <row r="42" spans="1:16" ht="15" x14ac:dyDescent="0.2">
      <c r="A42" s="329"/>
      <c r="B42" s="330" t="s">
        <v>178</v>
      </c>
      <c r="C42" s="331"/>
      <c r="D42" s="331"/>
      <c r="E42" s="331"/>
      <c r="F42" s="331"/>
      <c r="G42" s="332"/>
      <c r="H42" s="96">
        <v>58021</v>
      </c>
      <c r="I42" s="96">
        <f>H41</f>
        <v>59472</v>
      </c>
      <c r="J42" s="96">
        <f t="shared" ref="J42:L42" si="1">I41</f>
        <v>60938</v>
      </c>
      <c r="K42" s="96">
        <f t="shared" si="1"/>
        <v>62419</v>
      </c>
      <c r="L42" s="96">
        <f t="shared" si="1"/>
        <v>63915</v>
      </c>
      <c r="M42" s="6"/>
      <c r="N42" s="6"/>
      <c r="O42" s="6"/>
      <c r="P42" s="7"/>
    </row>
    <row r="43" spans="1:16" ht="15" x14ac:dyDescent="0.2">
      <c r="A43" s="329"/>
      <c r="B43" s="330" t="s">
        <v>179</v>
      </c>
      <c r="C43" s="331"/>
      <c r="D43" s="331"/>
      <c r="E43" s="331"/>
      <c r="F43" s="331"/>
      <c r="G43" s="332"/>
      <c r="H43" s="96">
        <v>185</v>
      </c>
      <c r="I43" s="96">
        <v>200</v>
      </c>
      <c r="J43" s="96">
        <v>215</v>
      </c>
      <c r="K43" s="96">
        <v>230</v>
      </c>
      <c r="L43" s="96">
        <v>245</v>
      </c>
      <c r="M43" s="6"/>
      <c r="N43" s="6"/>
      <c r="O43" s="6"/>
      <c r="P43" s="7"/>
    </row>
    <row r="44" spans="1:16" ht="15" x14ac:dyDescent="0.2">
      <c r="A44" s="329"/>
      <c r="B44" s="330" t="s">
        <v>180</v>
      </c>
      <c r="C44" s="331"/>
      <c r="D44" s="331"/>
      <c r="E44" s="331"/>
      <c r="F44" s="331"/>
      <c r="G44" s="332"/>
      <c r="H44" s="96">
        <v>1200</v>
      </c>
      <c r="I44" s="96">
        <v>1200</v>
      </c>
      <c r="J44" s="96">
        <v>1200</v>
      </c>
      <c r="K44" s="96">
        <v>1200</v>
      </c>
      <c r="L44" s="96">
        <v>1200</v>
      </c>
      <c r="M44" s="6"/>
      <c r="N44" s="6"/>
      <c r="O44" s="6"/>
      <c r="P44" s="7"/>
    </row>
    <row r="45" spans="1:16" ht="15" x14ac:dyDescent="0.2">
      <c r="A45" s="97"/>
      <c r="B45" s="330" t="s">
        <v>181</v>
      </c>
      <c r="C45" s="331"/>
      <c r="D45" s="331"/>
      <c r="E45" s="331"/>
      <c r="F45" s="331"/>
      <c r="G45" s="332"/>
      <c r="H45" s="96">
        <v>50</v>
      </c>
      <c r="I45" s="96">
        <v>50</v>
      </c>
      <c r="J45" s="96">
        <v>50</v>
      </c>
      <c r="K45" s="96">
        <v>50</v>
      </c>
      <c r="L45" s="96">
        <v>50</v>
      </c>
      <c r="M45" s="6"/>
      <c r="N45" s="6"/>
      <c r="O45" s="6"/>
      <c r="P45" s="7"/>
    </row>
    <row r="46" spans="1:16" ht="15" x14ac:dyDescent="0.2">
      <c r="A46" s="97"/>
      <c r="B46" s="330" t="s">
        <v>182</v>
      </c>
      <c r="C46" s="331"/>
      <c r="D46" s="331"/>
      <c r="E46" s="331"/>
      <c r="F46" s="331"/>
      <c r="G46" s="332"/>
      <c r="H46" s="96">
        <v>16</v>
      </c>
      <c r="I46" s="96">
        <v>16</v>
      </c>
      <c r="J46" s="96">
        <v>16</v>
      </c>
      <c r="K46" s="96">
        <v>16</v>
      </c>
      <c r="L46" s="96">
        <v>16</v>
      </c>
      <c r="M46" s="6"/>
      <c r="N46" s="6"/>
      <c r="O46" s="6"/>
      <c r="P46" s="7"/>
    </row>
    <row r="47" spans="1:16" ht="15" x14ac:dyDescent="0.2">
      <c r="A47" s="97"/>
      <c r="B47" s="290" t="s">
        <v>183</v>
      </c>
      <c r="C47" s="290"/>
      <c r="D47" s="290"/>
      <c r="E47" s="290"/>
      <c r="F47" s="290"/>
      <c r="G47" s="290"/>
      <c r="H47" s="290"/>
      <c r="I47" s="290"/>
      <c r="J47" s="290"/>
      <c r="K47" s="290"/>
      <c r="L47" s="290"/>
      <c r="M47" s="290"/>
      <c r="N47" s="290"/>
      <c r="O47" s="290"/>
      <c r="P47" s="303"/>
    </row>
    <row r="48" spans="1:16" ht="15" x14ac:dyDescent="0.2">
      <c r="A48" s="97"/>
      <c r="B48" s="290"/>
      <c r="C48" s="290"/>
      <c r="D48" s="290"/>
      <c r="E48" s="290"/>
      <c r="F48" s="290"/>
      <c r="G48" s="290"/>
      <c r="H48" s="290"/>
      <c r="I48" s="290"/>
      <c r="J48" s="290"/>
      <c r="K48" s="290"/>
      <c r="L48" s="290"/>
      <c r="M48" s="290"/>
      <c r="N48" s="290"/>
      <c r="O48" s="290"/>
      <c r="P48" s="303"/>
    </row>
    <row r="49" spans="1:16" ht="15" x14ac:dyDescent="0.2">
      <c r="A49" s="97"/>
      <c r="B49" s="290"/>
      <c r="C49" s="290"/>
      <c r="D49" s="290"/>
      <c r="E49" s="290"/>
      <c r="F49" s="290"/>
      <c r="G49" s="290"/>
      <c r="H49" s="290"/>
      <c r="I49" s="290"/>
      <c r="J49" s="290"/>
      <c r="K49" s="290"/>
      <c r="L49" s="290"/>
      <c r="M49" s="290"/>
      <c r="N49" s="290"/>
      <c r="O49" s="290"/>
      <c r="P49" s="303"/>
    </row>
    <row r="50" spans="1:16" ht="15" x14ac:dyDescent="0.2">
      <c r="A50" s="97"/>
      <c r="B50" s="290"/>
      <c r="C50" s="290"/>
      <c r="D50" s="290"/>
      <c r="E50" s="290"/>
      <c r="F50" s="290"/>
      <c r="G50" s="290"/>
      <c r="H50" s="290"/>
      <c r="I50" s="290"/>
      <c r="J50" s="290"/>
      <c r="K50" s="290"/>
      <c r="L50" s="290"/>
      <c r="M50" s="290"/>
      <c r="N50" s="290"/>
      <c r="O50" s="290"/>
      <c r="P50" s="303"/>
    </row>
    <row r="51" spans="1:16" ht="15" x14ac:dyDescent="0.2">
      <c r="A51" s="97"/>
      <c r="B51" s="290"/>
      <c r="C51" s="290"/>
      <c r="D51" s="290"/>
      <c r="E51" s="290"/>
      <c r="F51" s="290"/>
      <c r="G51" s="290"/>
      <c r="H51" s="290"/>
      <c r="I51" s="290"/>
      <c r="J51" s="290"/>
      <c r="K51" s="290"/>
      <c r="L51" s="290"/>
      <c r="M51" s="290"/>
      <c r="N51" s="290"/>
      <c r="O51" s="290"/>
      <c r="P51" s="303"/>
    </row>
    <row r="52" spans="1:16" ht="15" x14ac:dyDescent="0.2">
      <c r="A52" s="98"/>
      <c r="B52" s="320"/>
      <c r="C52" s="320"/>
      <c r="D52" s="320"/>
      <c r="E52" s="320"/>
      <c r="F52" s="320"/>
      <c r="G52" s="320"/>
      <c r="H52" s="320"/>
      <c r="I52" s="320"/>
      <c r="J52" s="320"/>
      <c r="K52" s="320"/>
      <c r="L52" s="320"/>
      <c r="M52" s="320"/>
      <c r="N52" s="320"/>
      <c r="O52" s="320"/>
      <c r="P52" s="321"/>
    </row>
    <row r="53" spans="1:16" ht="15" x14ac:dyDescent="0.2">
      <c r="A53" s="99"/>
      <c r="B53" s="94"/>
      <c r="C53" s="94"/>
      <c r="D53" s="94"/>
      <c r="E53" s="94"/>
      <c r="F53" s="94"/>
      <c r="G53" s="94"/>
      <c r="H53" s="94"/>
      <c r="I53" s="96">
        <v>2023</v>
      </c>
      <c r="J53" s="96">
        <v>2024</v>
      </c>
      <c r="K53" s="96">
        <v>2025</v>
      </c>
      <c r="L53" s="96">
        <v>2026</v>
      </c>
      <c r="M53" s="96">
        <v>2027</v>
      </c>
      <c r="N53" s="94"/>
      <c r="O53" s="94"/>
      <c r="P53" s="95"/>
    </row>
    <row r="54" spans="1:16" ht="15" x14ac:dyDescent="0.2">
      <c r="A54" s="329">
        <v>-13</v>
      </c>
      <c r="B54" s="324" t="s">
        <v>184</v>
      </c>
      <c r="C54" s="325"/>
      <c r="D54" s="325"/>
      <c r="E54" s="325"/>
      <c r="F54" s="325"/>
      <c r="G54" s="325"/>
      <c r="H54" s="326"/>
      <c r="I54" s="96">
        <f>SUM(I55:I57)</f>
        <v>-4106</v>
      </c>
      <c r="J54" s="96">
        <f t="shared" ref="J54:M54" si="2">SUM(J55:J57)</f>
        <v>-5113</v>
      </c>
      <c r="K54" s="96">
        <f t="shared" si="2"/>
        <v>-6120</v>
      </c>
      <c r="L54" s="96">
        <f t="shared" si="2"/>
        <v>-7127</v>
      </c>
      <c r="M54" s="96">
        <f t="shared" si="2"/>
        <v>-8134</v>
      </c>
      <c r="N54" s="6"/>
      <c r="O54" s="6"/>
      <c r="P54" s="7"/>
    </row>
    <row r="55" spans="1:16" ht="15" x14ac:dyDescent="0.2">
      <c r="A55" s="329"/>
      <c r="B55" s="330" t="s">
        <v>177</v>
      </c>
      <c r="C55" s="331"/>
      <c r="D55" s="331"/>
      <c r="E55" s="331"/>
      <c r="F55" s="331"/>
      <c r="G55" s="331"/>
      <c r="H55" s="332"/>
      <c r="I55" s="96">
        <v>-3099</v>
      </c>
      <c r="J55" s="96">
        <f>I54</f>
        <v>-4106</v>
      </c>
      <c r="K55" s="96">
        <f t="shared" ref="K55:M55" si="3">J54</f>
        <v>-5113</v>
      </c>
      <c r="L55" s="96">
        <f t="shared" si="3"/>
        <v>-6120</v>
      </c>
      <c r="M55" s="96">
        <f t="shared" si="3"/>
        <v>-7127</v>
      </c>
      <c r="N55" s="6"/>
      <c r="O55" s="6"/>
      <c r="P55" s="7"/>
    </row>
    <row r="56" spans="1:16" ht="15" x14ac:dyDescent="0.2">
      <c r="A56" s="329"/>
      <c r="B56" s="330" t="s">
        <v>102</v>
      </c>
      <c r="C56" s="331"/>
      <c r="D56" s="331"/>
      <c r="E56" s="331"/>
      <c r="F56" s="331"/>
      <c r="G56" s="331"/>
      <c r="H56" s="332"/>
      <c r="I56" s="96">
        <v>-507</v>
      </c>
      <c r="J56" s="96">
        <v>-507</v>
      </c>
      <c r="K56" s="96">
        <v>-507</v>
      </c>
      <c r="L56" s="96">
        <v>-507</v>
      </c>
      <c r="M56" s="96">
        <v>-507</v>
      </c>
      <c r="N56" s="6"/>
      <c r="O56" s="6"/>
      <c r="P56" s="7"/>
    </row>
    <row r="57" spans="1:16" ht="15" x14ac:dyDescent="0.2">
      <c r="A57" s="329"/>
      <c r="B57" s="330" t="s">
        <v>100</v>
      </c>
      <c r="C57" s="331"/>
      <c r="D57" s="331"/>
      <c r="E57" s="331"/>
      <c r="F57" s="331"/>
      <c r="G57" s="331"/>
      <c r="H57" s="332"/>
      <c r="I57" s="96">
        <v>-500</v>
      </c>
      <c r="J57" s="96">
        <v>-500</v>
      </c>
      <c r="K57" s="96">
        <v>-500</v>
      </c>
      <c r="L57" s="96">
        <v>-500</v>
      </c>
      <c r="M57" s="96">
        <v>-500</v>
      </c>
      <c r="N57" s="6"/>
      <c r="O57" s="6"/>
      <c r="P57" s="7"/>
    </row>
    <row r="58" spans="1:16" x14ac:dyDescent="0.2">
      <c r="A58" s="329"/>
      <c r="B58" s="290" t="s">
        <v>185</v>
      </c>
      <c r="C58" s="290"/>
      <c r="D58" s="290"/>
      <c r="E58" s="290"/>
      <c r="F58" s="290"/>
      <c r="G58" s="290"/>
      <c r="H58" s="290"/>
      <c r="I58" s="290"/>
      <c r="J58" s="290"/>
      <c r="K58" s="290"/>
      <c r="L58" s="290"/>
      <c r="M58" s="290"/>
      <c r="N58" s="290"/>
      <c r="O58" s="290"/>
      <c r="P58" s="303"/>
    </row>
    <row r="59" spans="1:16" x14ac:dyDescent="0.2">
      <c r="A59" s="329"/>
      <c r="B59" s="290"/>
      <c r="C59" s="290"/>
      <c r="D59" s="290"/>
      <c r="E59" s="290"/>
      <c r="F59" s="290"/>
      <c r="G59" s="290"/>
      <c r="H59" s="290"/>
      <c r="I59" s="290"/>
      <c r="J59" s="290"/>
      <c r="K59" s="290"/>
      <c r="L59" s="290"/>
      <c r="M59" s="290"/>
      <c r="N59" s="290"/>
      <c r="O59" s="290"/>
      <c r="P59" s="303"/>
    </row>
    <row r="60" spans="1:16" x14ac:dyDescent="0.2">
      <c r="A60" s="329"/>
      <c r="B60" s="290"/>
      <c r="C60" s="290"/>
      <c r="D60" s="290"/>
      <c r="E60" s="290"/>
      <c r="F60" s="290"/>
      <c r="G60" s="290"/>
      <c r="H60" s="290"/>
      <c r="I60" s="290"/>
      <c r="J60" s="290"/>
      <c r="K60" s="290"/>
      <c r="L60" s="290"/>
      <c r="M60" s="290"/>
      <c r="N60" s="290"/>
      <c r="O60" s="290"/>
      <c r="P60" s="303"/>
    </row>
    <row r="61" spans="1:16" x14ac:dyDescent="0.2">
      <c r="A61" s="329"/>
      <c r="B61" s="290"/>
      <c r="C61" s="290"/>
      <c r="D61" s="290"/>
      <c r="E61" s="290"/>
      <c r="F61" s="290"/>
      <c r="G61" s="290"/>
      <c r="H61" s="290"/>
      <c r="I61" s="290"/>
      <c r="J61" s="290"/>
      <c r="K61" s="290"/>
      <c r="L61" s="290"/>
      <c r="M61" s="290"/>
      <c r="N61" s="290"/>
      <c r="O61" s="290"/>
      <c r="P61" s="303"/>
    </row>
    <row r="62" spans="1:16" x14ac:dyDescent="0.2">
      <c r="A62" s="323"/>
      <c r="B62" s="320"/>
      <c r="C62" s="320"/>
      <c r="D62" s="320"/>
      <c r="E62" s="320"/>
      <c r="F62" s="320"/>
      <c r="G62" s="320"/>
      <c r="H62" s="320"/>
      <c r="I62" s="320"/>
      <c r="J62" s="320"/>
      <c r="K62" s="320"/>
      <c r="L62" s="320"/>
      <c r="M62" s="320"/>
      <c r="N62" s="320"/>
      <c r="O62" s="320"/>
      <c r="P62" s="321"/>
    </row>
    <row r="63" spans="1:16" ht="15" x14ac:dyDescent="0.2">
      <c r="A63" s="93">
        <v>-14</v>
      </c>
      <c r="B63" s="275" t="s">
        <v>186</v>
      </c>
      <c r="C63" s="275"/>
      <c r="D63" s="275"/>
      <c r="E63" s="275"/>
      <c r="F63" s="275"/>
      <c r="G63" s="275"/>
      <c r="H63" s="275"/>
      <c r="I63" s="275"/>
      <c r="J63" s="275"/>
      <c r="K63" s="275"/>
      <c r="L63" s="275"/>
      <c r="M63" s="275"/>
      <c r="N63" s="275"/>
      <c r="O63" s="275"/>
      <c r="P63" s="276"/>
    </row>
    <row r="65" spans="1:16" x14ac:dyDescent="0.2">
      <c r="A65" s="335" t="s">
        <v>190</v>
      </c>
      <c r="B65" s="335"/>
    </row>
    <row r="66" spans="1:16" ht="15" x14ac:dyDescent="0.2">
      <c r="A66" s="322">
        <v>-5</v>
      </c>
      <c r="B66" s="94"/>
      <c r="C66" s="94"/>
      <c r="D66" s="94"/>
      <c r="E66" s="94"/>
      <c r="F66" s="94"/>
      <c r="G66" s="94"/>
      <c r="H66" s="94"/>
      <c r="I66" s="94"/>
      <c r="J66" s="94"/>
      <c r="K66" s="94"/>
      <c r="L66" s="94"/>
      <c r="M66" s="94"/>
      <c r="N66" s="94"/>
      <c r="O66" s="94"/>
      <c r="P66" s="95"/>
    </row>
    <row r="67" spans="1:16" ht="15" x14ac:dyDescent="0.2">
      <c r="A67" s="329"/>
      <c r="B67" s="6"/>
      <c r="C67" s="6"/>
      <c r="D67" s="6"/>
      <c r="E67" s="6"/>
      <c r="F67" s="96">
        <v>2023</v>
      </c>
      <c r="G67" s="96">
        <v>2024</v>
      </c>
      <c r="H67" s="96">
        <v>2025</v>
      </c>
      <c r="I67" s="96">
        <v>2026</v>
      </c>
      <c r="J67" s="96">
        <v>2027</v>
      </c>
      <c r="K67" s="6"/>
      <c r="L67" s="290" t="s">
        <v>254</v>
      </c>
      <c r="M67" s="290"/>
      <c r="N67" s="290"/>
      <c r="O67" s="290"/>
      <c r="P67" s="303"/>
    </row>
    <row r="68" spans="1:16" ht="15" x14ac:dyDescent="0.2">
      <c r="A68" s="329"/>
      <c r="B68" s="336" t="s">
        <v>125</v>
      </c>
      <c r="C68" s="328"/>
      <c r="D68" s="336" t="s">
        <v>188</v>
      </c>
      <c r="E68" s="328"/>
      <c r="F68" s="96"/>
      <c r="G68" s="96"/>
      <c r="H68" s="96"/>
      <c r="I68" s="96"/>
      <c r="J68" s="96"/>
      <c r="K68" s="6"/>
      <c r="L68" s="290"/>
      <c r="M68" s="290"/>
      <c r="N68" s="290"/>
      <c r="O68" s="290"/>
      <c r="P68" s="303"/>
    </row>
    <row r="69" spans="1:16" ht="15" x14ac:dyDescent="0.2">
      <c r="A69" s="329"/>
      <c r="B69" s="338">
        <v>2.9499999999999998E-2</v>
      </c>
      <c r="C69" s="339"/>
      <c r="D69" s="336">
        <v>750</v>
      </c>
      <c r="E69" s="328"/>
      <c r="F69" s="96">
        <f>B69*D69</f>
        <v>22.125</v>
      </c>
      <c r="G69" s="96">
        <v>0</v>
      </c>
      <c r="H69" s="96">
        <v>0</v>
      </c>
      <c r="I69" s="96">
        <v>0</v>
      </c>
      <c r="J69" s="96">
        <v>0</v>
      </c>
      <c r="K69" s="6"/>
      <c r="L69" s="290"/>
      <c r="M69" s="290"/>
      <c r="N69" s="290"/>
      <c r="O69" s="290"/>
      <c r="P69" s="303"/>
    </row>
    <row r="70" spans="1:16" ht="15" x14ac:dyDescent="0.2">
      <c r="A70" s="329"/>
      <c r="B70" s="338">
        <v>2.1250000000000002E-2</v>
      </c>
      <c r="C70" s="339"/>
      <c r="D70" s="336">
        <v>1</v>
      </c>
      <c r="E70" s="328"/>
      <c r="F70" s="96">
        <f>B70*D70</f>
        <v>2.1250000000000002E-2</v>
      </c>
      <c r="G70" s="96">
        <f>F70</f>
        <v>2.1250000000000002E-2</v>
      </c>
      <c r="H70" s="96">
        <f>F70</f>
        <v>2.1250000000000002E-2</v>
      </c>
      <c r="I70" s="96">
        <v>0</v>
      </c>
      <c r="J70" s="96">
        <v>0</v>
      </c>
      <c r="K70" s="6"/>
      <c r="L70" s="290"/>
      <c r="M70" s="290"/>
      <c r="N70" s="290"/>
      <c r="O70" s="290"/>
      <c r="P70" s="303"/>
    </row>
    <row r="71" spans="1:16" ht="15" x14ac:dyDescent="0.2">
      <c r="A71" s="329"/>
      <c r="B71" s="338">
        <v>2.375E-2</v>
      </c>
      <c r="C71" s="339"/>
      <c r="D71" s="336">
        <v>750</v>
      </c>
      <c r="E71" s="328"/>
      <c r="F71" s="96">
        <f>$B$71*$D$71</f>
        <v>17.8125</v>
      </c>
      <c r="G71" s="96">
        <f>$B$71*$D$71</f>
        <v>17.8125</v>
      </c>
      <c r="H71" s="96">
        <f>$B$71*$D$71</f>
        <v>17.8125</v>
      </c>
      <c r="I71" s="96">
        <f>$B$71*$D$71</f>
        <v>17.8125</v>
      </c>
      <c r="J71" s="96">
        <f>$B$71*$D$71</f>
        <v>17.8125</v>
      </c>
      <c r="K71" s="6"/>
      <c r="L71" s="290"/>
      <c r="M71" s="290"/>
      <c r="N71" s="290"/>
      <c r="O71" s="290"/>
      <c r="P71" s="303"/>
    </row>
    <row r="72" spans="1:16" ht="15" x14ac:dyDescent="0.2">
      <c r="A72" s="329"/>
      <c r="B72" s="338">
        <v>3.9239999999999997E-2</v>
      </c>
      <c r="C72" s="339"/>
      <c r="D72" s="336">
        <v>500</v>
      </c>
      <c r="E72" s="328"/>
      <c r="F72" s="96">
        <f>$B$72*$D$72</f>
        <v>19.619999999999997</v>
      </c>
      <c r="G72" s="96">
        <f>$B$72*$D$72</f>
        <v>19.619999999999997</v>
      </c>
      <c r="H72" s="96">
        <f>$B$72*$D$72</f>
        <v>19.619999999999997</v>
      </c>
      <c r="I72" s="96">
        <f>$B$72*$D$72</f>
        <v>19.619999999999997</v>
      </c>
      <c r="J72" s="96">
        <f>$B$72*$D$72</f>
        <v>19.619999999999997</v>
      </c>
      <c r="K72" s="6"/>
      <c r="L72" s="290"/>
      <c r="M72" s="290"/>
      <c r="N72" s="290"/>
      <c r="O72" s="290"/>
      <c r="P72" s="303"/>
    </row>
    <row r="73" spans="1:16" ht="15" x14ac:dyDescent="0.2">
      <c r="A73" s="329"/>
      <c r="B73" s="338">
        <v>4.3929999999999997E-2</v>
      </c>
      <c r="C73" s="339"/>
      <c r="D73" s="336">
        <v>500</v>
      </c>
      <c r="E73" s="328"/>
      <c r="F73" s="96">
        <f>$B$73*$D$73</f>
        <v>21.965</v>
      </c>
      <c r="G73" s="96">
        <f>$B$73*$D$73</f>
        <v>21.965</v>
      </c>
      <c r="H73" s="96">
        <f>$B$73*$D$73</f>
        <v>21.965</v>
      </c>
      <c r="I73" s="96">
        <f>$B$73*$D$73</f>
        <v>21.965</v>
      </c>
      <c r="J73" s="96">
        <f>$B$73*$D$73</f>
        <v>21.965</v>
      </c>
      <c r="K73" s="6"/>
      <c r="L73" s="290"/>
      <c r="M73" s="290"/>
      <c r="N73" s="290"/>
      <c r="O73" s="290"/>
      <c r="P73" s="303"/>
    </row>
    <row r="74" spans="1:16" ht="15" x14ac:dyDescent="0.2">
      <c r="A74" s="323"/>
      <c r="B74" s="336" t="s">
        <v>255</v>
      </c>
      <c r="C74" s="327"/>
      <c r="D74" s="327"/>
      <c r="E74" s="328"/>
      <c r="F74" s="96">
        <f>SUM(F69:F73)</f>
        <v>81.543749999999989</v>
      </c>
      <c r="G74" s="96">
        <f t="shared" ref="G74:J74" si="4">SUM(G69:G73)</f>
        <v>59.418750000000003</v>
      </c>
      <c r="H74" s="87">
        <f t="shared" si="4"/>
        <v>59.418750000000003</v>
      </c>
      <c r="I74" s="96">
        <f t="shared" si="4"/>
        <v>59.397499999999994</v>
      </c>
      <c r="J74" s="96">
        <f t="shared" si="4"/>
        <v>59.397499999999994</v>
      </c>
      <c r="K74" s="87"/>
      <c r="L74" s="320"/>
      <c r="M74" s="320"/>
      <c r="N74" s="320"/>
      <c r="O74" s="320"/>
      <c r="P74" s="321"/>
    </row>
    <row r="75" spans="1:16" ht="15" x14ac:dyDescent="0.2">
      <c r="A75" s="6"/>
      <c r="B75" s="6"/>
      <c r="C75" s="6"/>
      <c r="D75" s="272"/>
      <c r="E75" s="272"/>
      <c r="F75" s="6"/>
      <c r="G75" s="6"/>
      <c r="H75" s="6"/>
      <c r="I75" s="6"/>
      <c r="J75" s="6"/>
      <c r="K75" s="6"/>
      <c r="L75" s="6"/>
      <c r="M75" s="6"/>
      <c r="N75" s="6"/>
      <c r="O75" s="6"/>
      <c r="P75" s="6"/>
    </row>
    <row r="76" spans="1:16" ht="15" x14ac:dyDescent="0.2">
      <c r="A76" s="60"/>
      <c r="B76" s="94"/>
      <c r="C76" s="94"/>
      <c r="D76" s="269"/>
      <c r="E76" s="269"/>
      <c r="F76" s="96">
        <v>2023</v>
      </c>
      <c r="G76" s="96">
        <v>2024</v>
      </c>
      <c r="H76" s="96">
        <v>2025</v>
      </c>
      <c r="I76" s="96">
        <v>2026</v>
      </c>
      <c r="J76" s="96">
        <v>2027</v>
      </c>
      <c r="K76" s="94"/>
      <c r="L76" s="94"/>
      <c r="M76" s="94"/>
      <c r="N76" s="94"/>
      <c r="O76" s="94"/>
      <c r="P76" s="95"/>
    </row>
    <row r="77" spans="1:16" ht="15" x14ac:dyDescent="0.2">
      <c r="A77" s="333">
        <v>-6</v>
      </c>
      <c r="B77" s="337" t="s">
        <v>191</v>
      </c>
      <c r="C77" s="337"/>
      <c r="D77" s="337"/>
      <c r="E77" s="337"/>
      <c r="F77" s="96">
        <v>65</v>
      </c>
      <c r="G77" s="96">
        <v>65</v>
      </c>
      <c r="H77" s="96">
        <v>65</v>
      </c>
      <c r="I77" s="96">
        <v>65</v>
      </c>
      <c r="J77" s="96">
        <v>65</v>
      </c>
      <c r="K77" s="6"/>
      <c r="L77" s="6"/>
      <c r="M77" s="6"/>
      <c r="N77" s="6"/>
      <c r="O77" s="6"/>
      <c r="P77" s="7"/>
    </row>
    <row r="78" spans="1:16" ht="15" x14ac:dyDescent="0.2">
      <c r="A78" s="333"/>
      <c r="B78" s="330" t="s">
        <v>192</v>
      </c>
      <c r="C78" s="331"/>
      <c r="D78" s="331"/>
      <c r="E78" s="332"/>
      <c r="F78" s="96">
        <v>50</v>
      </c>
      <c r="G78" s="96">
        <v>50</v>
      </c>
      <c r="H78" s="96">
        <v>50</v>
      </c>
      <c r="I78" s="96">
        <v>50</v>
      </c>
      <c r="J78" s="96">
        <v>50</v>
      </c>
      <c r="K78" s="6"/>
      <c r="L78" s="6"/>
      <c r="M78" s="6"/>
      <c r="N78" s="6"/>
      <c r="O78" s="6"/>
      <c r="P78" s="7"/>
    </row>
    <row r="79" spans="1:16" ht="15" x14ac:dyDescent="0.2">
      <c r="A79" s="333"/>
      <c r="B79" s="337" t="s">
        <v>193</v>
      </c>
      <c r="C79" s="337"/>
      <c r="D79" s="337"/>
      <c r="E79" s="337"/>
      <c r="F79" s="96">
        <v>7</v>
      </c>
      <c r="G79" s="96">
        <v>7</v>
      </c>
      <c r="H79" s="96">
        <v>7</v>
      </c>
      <c r="I79" s="96">
        <v>7</v>
      </c>
      <c r="J79" s="96">
        <v>7</v>
      </c>
      <c r="K79" s="6"/>
      <c r="L79" s="6"/>
      <c r="M79" s="6"/>
      <c r="N79" s="6"/>
      <c r="O79" s="6"/>
      <c r="P79" s="7"/>
    </row>
    <row r="80" spans="1:16" ht="15" x14ac:dyDescent="0.2">
      <c r="A80" s="333"/>
      <c r="B80" s="342" t="s">
        <v>55</v>
      </c>
      <c r="C80" s="342"/>
      <c r="D80" s="342"/>
      <c r="E80" s="342"/>
      <c r="F80" s="96">
        <f>SUM(F77:F79)</f>
        <v>122</v>
      </c>
      <c r="G80" s="96">
        <f t="shared" ref="G80:J80" si="5">SUM(G77:G79)</f>
        <v>122</v>
      </c>
      <c r="H80" s="96">
        <f t="shared" si="5"/>
        <v>122</v>
      </c>
      <c r="I80" s="96">
        <f t="shared" si="5"/>
        <v>122</v>
      </c>
      <c r="J80" s="96">
        <f t="shared" si="5"/>
        <v>122</v>
      </c>
      <c r="K80" s="87"/>
      <c r="L80" s="87"/>
      <c r="M80" s="87"/>
      <c r="N80" s="87"/>
      <c r="O80" s="87"/>
      <c r="P80" s="88"/>
    </row>
    <row r="81" spans="1:16" ht="15" x14ac:dyDescent="0.2">
      <c r="A81" s="6"/>
      <c r="B81" s="268" t="s">
        <v>194</v>
      </c>
      <c r="C81" s="318"/>
      <c r="D81" s="318"/>
      <c r="E81" s="318"/>
      <c r="F81" s="318"/>
      <c r="G81" s="318"/>
      <c r="H81" s="318"/>
      <c r="I81" s="318"/>
      <c r="J81" s="318"/>
      <c r="K81" s="318"/>
      <c r="L81" s="318"/>
      <c r="M81" s="318"/>
      <c r="N81" s="318"/>
      <c r="O81" s="318"/>
      <c r="P81" s="319"/>
    </row>
    <row r="82" spans="1:16" ht="15" x14ac:dyDescent="0.2">
      <c r="A82" s="6"/>
      <c r="B82" s="289"/>
      <c r="C82" s="290"/>
      <c r="D82" s="290"/>
      <c r="E82" s="290"/>
      <c r="F82" s="290"/>
      <c r="G82" s="290"/>
      <c r="H82" s="290"/>
      <c r="I82" s="290"/>
      <c r="J82" s="290"/>
      <c r="K82" s="290"/>
      <c r="L82" s="290"/>
      <c r="M82" s="290"/>
      <c r="N82" s="290"/>
      <c r="O82" s="290"/>
      <c r="P82" s="303"/>
    </row>
    <row r="83" spans="1:16" ht="15" x14ac:dyDescent="0.2">
      <c r="A83" s="6"/>
      <c r="B83" s="289"/>
      <c r="C83" s="290"/>
      <c r="D83" s="290"/>
      <c r="E83" s="290"/>
      <c r="F83" s="290"/>
      <c r="G83" s="290"/>
      <c r="H83" s="290"/>
      <c r="I83" s="290"/>
      <c r="J83" s="290"/>
      <c r="K83" s="290"/>
      <c r="L83" s="290"/>
      <c r="M83" s="290"/>
      <c r="N83" s="290"/>
      <c r="O83" s="290"/>
      <c r="P83" s="303"/>
    </row>
    <row r="84" spans="1:16" ht="15" x14ac:dyDescent="0.2">
      <c r="A84" s="6"/>
      <c r="B84" s="289"/>
      <c r="C84" s="290"/>
      <c r="D84" s="290"/>
      <c r="E84" s="290"/>
      <c r="F84" s="290"/>
      <c r="G84" s="290"/>
      <c r="H84" s="290"/>
      <c r="I84" s="290"/>
      <c r="J84" s="290"/>
      <c r="K84" s="290"/>
      <c r="L84" s="290"/>
      <c r="M84" s="290"/>
      <c r="N84" s="290"/>
      <c r="O84" s="290"/>
      <c r="P84" s="303"/>
    </row>
    <row r="85" spans="1:16" ht="15" x14ac:dyDescent="0.2">
      <c r="A85" s="6"/>
      <c r="B85" s="334"/>
      <c r="C85" s="320"/>
      <c r="D85" s="320"/>
      <c r="E85" s="320"/>
      <c r="F85" s="320"/>
      <c r="G85" s="320"/>
      <c r="H85" s="320"/>
      <c r="I85" s="320"/>
      <c r="J85" s="320"/>
      <c r="K85" s="320"/>
      <c r="L85" s="320"/>
      <c r="M85" s="320"/>
      <c r="N85" s="320"/>
      <c r="O85" s="320"/>
      <c r="P85" s="321"/>
    </row>
    <row r="87" spans="1:16" ht="15" x14ac:dyDescent="0.2">
      <c r="C87" s="152"/>
      <c r="D87" s="6"/>
      <c r="E87" s="6"/>
      <c r="F87" s="6"/>
      <c r="G87" s="6"/>
      <c r="H87" s="6"/>
      <c r="I87" s="6"/>
      <c r="J87" s="6"/>
      <c r="K87" s="6"/>
      <c r="L87" s="6"/>
      <c r="M87" s="6"/>
      <c r="N87" s="6"/>
      <c r="O87" s="6"/>
      <c r="P87" s="6"/>
    </row>
    <row r="88" spans="1:16" ht="15" x14ac:dyDescent="0.2">
      <c r="A88" s="267" t="s">
        <v>243</v>
      </c>
      <c r="B88" s="267"/>
      <c r="C88" s="6"/>
      <c r="D88" s="6"/>
      <c r="E88" s="6"/>
      <c r="F88" s="6"/>
      <c r="G88" s="6"/>
      <c r="H88" s="6"/>
      <c r="I88" s="6"/>
      <c r="J88" s="6"/>
      <c r="K88" s="6"/>
      <c r="L88" s="6"/>
      <c r="M88" s="6"/>
      <c r="N88" s="6"/>
      <c r="O88" s="6"/>
      <c r="P88" s="6"/>
    </row>
    <row r="89" spans="1:16" ht="15" x14ac:dyDescent="0.2">
      <c r="A89" s="285" t="s">
        <v>244</v>
      </c>
      <c r="B89" s="328" t="s">
        <v>188</v>
      </c>
      <c r="C89" s="287"/>
      <c r="D89" s="287" t="s">
        <v>245</v>
      </c>
      <c r="E89" s="287"/>
      <c r="F89" s="94"/>
      <c r="G89" s="340" t="s">
        <v>252</v>
      </c>
      <c r="H89" s="341"/>
      <c r="I89" s="96">
        <v>2023</v>
      </c>
      <c r="J89" s="96">
        <v>2024</v>
      </c>
      <c r="K89" s="96">
        <v>2025</v>
      </c>
      <c r="L89" s="96">
        <v>2026</v>
      </c>
      <c r="M89" s="96">
        <v>2027</v>
      </c>
      <c r="N89" s="94"/>
      <c r="O89" s="94"/>
      <c r="P89" s="95"/>
    </row>
    <row r="90" spans="1:16" ht="15" x14ac:dyDescent="0.2">
      <c r="A90" s="285"/>
      <c r="B90" s="327">
        <v>750</v>
      </c>
      <c r="C90" s="328"/>
      <c r="D90" s="336">
        <v>2024</v>
      </c>
      <c r="E90" s="328"/>
      <c r="F90" s="6"/>
      <c r="G90" s="287" t="s">
        <v>246</v>
      </c>
      <c r="H90" s="287"/>
      <c r="I90" s="85">
        <f>'IS&amp;BS pro forma'!O57</f>
        <v>2467</v>
      </c>
      <c r="J90" s="85">
        <f ca="1">I93</f>
        <v>2385.4562500000002</v>
      </c>
      <c r="K90" s="85">
        <f t="shared" ref="K90:M90" ca="1" si="6">J93</f>
        <v>1576.0375000000004</v>
      </c>
      <c r="L90" s="85">
        <f t="shared" ca="1" si="6"/>
        <v>1516.6187500000003</v>
      </c>
      <c r="M90" s="85">
        <f t="shared" ca="1" si="6"/>
        <v>1456.2212500000003</v>
      </c>
      <c r="N90" s="6"/>
      <c r="O90" s="6"/>
      <c r="P90" s="7"/>
    </row>
    <row r="91" spans="1:16" ht="15" x14ac:dyDescent="0.2">
      <c r="A91" s="285"/>
      <c r="B91" s="327">
        <v>1</v>
      </c>
      <c r="C91" s="328"/>
      <c r="D91" s="336">
        <v>2026</v>
      </c>
      <c r="E91" s="328"/>
      <c r="F91" s="6"/>
      <c r="G91" s="287" t="s">
        <v>247</v>
      </c>
      <c r="H91" s="287"/>
      <c r="I91" s="85">
        <f ca="1">'IS&amp;BS pro forma'!T19</f>
        <v>-81.543749999999989</v>
      </c>
      <c r="J91" s="85">
        <f ca="1">'IS&amp;BS pro forma'!U19</f>
        <v>-59.418750000000003</v>
      </c>
      <c r="K91" s="85">
        <f ca="1">'IS&amp;BS pro forma'!V19</f>
        <v>-59.418750000000003</v>
      </c>
      <c r="L91" s="85">
        <f ca="1">'IS&amp;BS pro forma'!W19</f>
        <v>-59.397499999999994</v>
      </c>
      <c r="M91" s="85">
        <f ca="1">'IS&amp;BS pro forma'!X19</f>
        <v>-59.397499999999994</v>
      </c>
      <c r="N91" s="6"/>
      <c r="O91" s="6"/>
      <c r="P91" s="7"/>
    </row>
    <row r="92" spans="1:16" ht="15" x14ac:dyDescent="0.2">
      <c r="A92" s="285"/>
      <c r="B92" s="327">
        <v>750</v>
      </c>
      <c r="C92" s="328"/>
      <c r="D92" s="336">
        <v>2030</v>
      </c>
      <c r="E92" s="328"/>
      <c r="F92" s="6"/>
      <c r="G92" s="287" t="s">
        <v>248</v>
      </c>
      <c r="H92" s="287"/>
      <c r="I92" s="85">
        <f>0</f>
        <v>0</v>
      </c>
      <c r="J92" s="85">
        <v>750</v>
      </c>
      <c r="K92" s="85">
        <v>0</v>
      </c>
      <c r="L92" s="85">
        <v>1</v>
      </c>
      <c r="M92" s="85">
        <v>0</v>
      </c>
      <c r="N92" s="6"/>
      <c r="O92" s="6"/>
      <c r="P92" s="7"/>
    </row>
    <row r="93" spans="1:16" ht="15" x14ac:dyDescent="0.2">
      <c r="A93" s="285"/>
      <c r="B93" s="327">
        <v>500</v>
      </c>
      <c r="C93" s="328"/>
      <c r="D93" s="336">
        <v>2032</v>
      </c>
      <c r="E93" s="328"/>
      <c r="F93" s="6"/>
      <c r="G93" s="287" t="s">
        <v>249</v>
      </c>
      <c r="H93" s="287"/>
      <c r="I93" s="85">
        <f ca="1">I90+I91-I92</f>
        <v>2385.4562500000002</v>
      </c>
      <c r="J93" s="85">
        <f t="shared" ref="J93:M93" ca="1" si="7">J90+J91-J92</f>
        <v>1576.0375000000004</v>
      </c>
      <c r="K93" s="85">
        <f t="shared" ca="1" si="7"/>
        <v>1516.6187500000003</v>
      </c>
      <c r="L93" s="85">
        <f t="shared" ca="1" si="7"/>
        <v>1456.2212500000003</v>
      </c>
      <c r="M93" s="85">
        <f t="shared" ca="1" si="7"/>
        <v>1396.8237500000002</v>
      </c>
      <c r="N93" s="6"/>
      <c r="O93" s="6"/>
      <c r="P93" s="7"/>
    </row>
    <row r="94" spans="1:16" ht="15" x14ac:dyDescent="0.2">
      <c r="A94" s="285"/>
      <c r="B94" s="327">
        <v>500</v>
      </c>
      <c r="C94" s="328"/>
      <c r="D94" s="336">
        <v>2052</v>
      </c>
      <c r="E94" s="328"/>
      <c r="F94" s="87"/>
      <c r="G94" s="87"/>
      <c r="H94" s="87"/>
      <c r="I94" s="87"/>
      <c r="J94" s="87"/>
      <c r="K94" s="87"/>
      <c r="L94" s="87"/>
      <c r="M94" s="87"/>
      <c r="N94" s="87"/>
      <c r="O94" s="87"/>
      <c r="P94" s="88"/>
    </row>
    <row r="95" spans="1:16" x14ac:dyDescent="0.2">
      <c r="A95" s="285"/>
      <c r="B95" s="318" t="s">
        <v>253</v>
      </c>
      <c r="C95" s="318"/>
      <c r="D95" s="318"/>
      <c r="E95" s="318"/>
      <c r="F95" s="318"/>
      <c r="G95" s="318"/>
      <c r="H95" s="318"/>
      <c r="I95" s="318"/>
      <c r="J95" s="318"/>
      <c r="K95" s="318"/>
      <c r="L95" s="318"/>
      <c r="M95" s="318"/>
      <c r="N95" s="318"/>
      <c r="O95" s="318"/>
      <c r="P95" s="319"/>
    </row>
    <row r="96" spans="1:16" x14ac:dyDescent="0.2">
      <c r="A96" s="285"/>
      <c r="B96" s="290"/>
      <c r="C96" s="290"/>
      <c r="D96" s="290"/>
      <c r="E96" s="290"/>
      <c r="F96" s="290"/>
      <c r="G96" s="290"/>
      <c r="H96" s="290"/>
      <c r="I96" s="290"/>
      <c r="J96" s="290"/>
      <c r="K96" s="290"/>
      <c r="L96" s="290"/>
      <c r="M96" s="290"/>
      <c r="N96" s="290"/>
      <c r="O96" s="290"/>
      <c r="P96" s="303"/>
    </row>
    <row r="97" spans="1:16" x14ac:dyDescent="0.2">
      <c r="A97" s="285"/>
      <c r="B97" s="290"/>
      <c r="C97" s="290"/>
      <c r="D97" s="290"/>
      <c r="E97" s="290"/>
      <c r="F97" s="290"/>
      <c r="G97" s="290"/>
      <c r="H97" s="290"/>
      <c r="I97" s="290"/>
      <c r="J97" s="290"/>
      <c r="K97" s="290"/>
      <c r="L97" s="290"/>
      <c r="M97" s="290"/>
      <c r="N97" s="290"/>
      <c r="O97" s="290"/>
      <c r="P97" s="303"/>
    </row>
    <row r="98" spans="1:16" x14ac:dyDescent="0.2">
      <c r="A98" s="285"/>
      <c r="B98" s="290"/>
      <c r="C98" s="290"/>
      <c r="D98" s="290"/>
      <c r="E98" s="290"/>
      <c r="F98" s="290"/>
      <c r="G98" s="290"/>
      <c r="H98" s="290"/>
      <c r="I98" s="290"/>
      <c r="J98" s="290"/>
      <c r="K98" s="290"/>
      <c r="L98" s="290"/>
      <c r="M98" s="290"/>
      <c r="N98" s="290"/>
      <c r="O98" s="290"/>
      <c r="P98" s="303"/>
    </row>
    <row r="99" spans="1:16" x14ac:dyDescent="0.2">
      <c r="A99" s="285"/>
      <c r="B99" s="320"/>
      <c r="C99" s="320"/>
      <c r="D99" s="320"/>
      <c r="E99" s="320"/>
      <c r="F99" s="320"/>
      <c r="G99" s="320"/>
      <c r="H99" s="320"/>
      <c r="I99" s="320"/>
      <c r="J99" s="320"/>
      <c r="K99" s="320"/>
      <c r="L99" s="320"/>
      <c r="M99" s="320"/>
      <c r="N99" s="320"/>
      <c r="O99" s="320"/>
      <c r="P99" s="321"/>
    </row>
    <row r="101" spans="1:16" x14ac:dyDescent="0.2">
      <c r="A101" s="285" t="s">
        <v>250</v>
      </c>
      <c r="B101" s="286" t="s">
        <v>251</v>
      </c>
      <c r="C101" s="286"/>
      <c r="D101" s="286"/>
      <c r="E101" s="286"/>
      <c r="F101" s="286"/>
      <c r="G101" s="286"/>
      <c r="H101" s="286"/>
      <c r="I101" s="286"/>
      <c r="J101" s="286"/>
      <c r="K101" s="286"/>
      <c r="L101" s="286"/>
      <c r="M101" s="286"/>
      <c r="N101" s="286"/>
      <c r="O101" s="286"/>
      <c r="P101" s="286"/>
    </row>
    <row r="102" spans="1:16" x14ac:dyDescent="0.2">
      <c r="A102" s="285"/>
      <c r="B102" s="286"/>
      <c r="C102" s="286"/>
      <c r="D102" s="286"/>
      <c r="E102" s="286"/>
      <c r="F102" s="286"/>
      <c r="G102" s="286"/>
      <c r="H102" s="286"/>
      <c r="I102" s="286"/>
      <c r="J102" s="286"/>
      <c r="K102" s="286"/>
      <c r="L102" s="286"/>
      <c r="M102" s="286"/>
      <c r="N102" s="286"/>
      <c r="O102" s="286"/>
      <c r="P102" s="286"/>
    </row>
    <row r="103" spans="1:16" x14ac:dyDescent="0.2">
      <c r="A103" s="285"/>
      <c r="B103" s="286"/>
      <c r="C103" s="286"/>
      <c r="D103" s="286"/>
      <c r="E103" s="286"/>
      <c r="F103" s="286"/>
      <c r="G103" s="286"/>
      <c r="H103" s="286"/>
      <c r="I103" s="286"/>
      <c r="J103" s="286"/>
      <c r="K103" s="286"/>
      <c r="L103" s="286"/>
      <c r="M103" s="286"/>
      <c r="N103" s="286"/>
      <c r="O103" s="286"/>
      <c r="P103" s="286"/>
    </row>
    <row r="104" spans="1:16" x14ac:dyDescent="0.2">
      <c r="A104" s="285"/>
      <c r="B104" s="286"/>
      <c r="C104" s="286"/>
      <c r="D104" s="286"/>
      <c r="E104" s="286"/>
      <c r="F104" s="286"/>
      <c r="G104" s="286"/>
      <c r="H104" s="286"/>
      <c r="I104" s="286"/>
      <c r="J104" s="286"/>
      <c r="K104" s="286"/>
      <c r="L104" s="286"/>
      <c r="M104" s="286"/>
      <c r="N104" s="286"/>
      <c r="O104" s="286"/>
      <c r="P104" s="286"/>
    </row>
    <row r="105" spans="1:16" x14ac:dyDescent="0.2">
      <c r="A105" s="285"/>
      <c r="B105" s="286"/>
      <c r="C105" s="286"/>
      <c r="D105" s="286"/>
      <c r="E105" s="286"/>
      <c r="F105" s="286"/>
      <c r="G105" s="286"/>
      <c r="H105" s="286"/>
      <c r="I105" s="286"/>
      <c r="J105" s="286"/>
      <c r="K105" s="286"/>
      <c r="L105" s="286"/>
      <c r="M105" s="286"/>
      <c r="N105" s="286"/>
      <c r="O105" s="286"/>
      <c r="P105" s="286"/>
    </row>
    <row r="106" spans="1:16" x14ac:dyDescent="0.2">
      <c r="A106" s="285"/>
      <c r="B106" s="286"/>
      <c r="C106" s="286"/>
      <c r="D106" s="286"/>
      <c r="E106" s="286"/>
      <c r="F106" s="286"/>
      <c r="G106" s="286"/>
      <c r="H106" s="286"/>
      <c r="I106" s="286"/>
      <c r="J106" s="286"/>
      <c r="K106" s="286"/>
      <c r="L106" s="286"/>
      <c r="M106" s="286"/>
      <c r="N106" s="286"/>
      <c r="O106" s="286"/>
      <c r="P106" s="286"/>
    </row>
    <row r="107" spans="1:16" x14ac:dyDescent="0.2">
      <c r="A107" s="285"/>
      <c r="B107" s="286"/>
      <c r="C107" s="286"/>
      <c r="D107" s="286"/>
      <c r="E107" s="286"/>
      <c r="F107" s="286"/>
      <c r="G107" s="286"/>
      <c r="H107" s="286"/>
      <c r="I107" s="286"/>
      <c r="J107" s="286"/>
      <c r="K107" s="286"/>
      <c r="L107" s="286"/>
      <c r="M107" s="286"/>
      <c r="N107" s="286"/>
      <c r="O107" s="286"/>
      <c r="P107" s="286"/>
    </row>
    <row r="108" spans="1:16" x14ac:dyDescent="0.2">
      <c r="A108" s="285"/>
      <c r="B108" s="286"/>
      <c r="C108" s="286"/>
      <c r="D108" s="286"/>
      <c r="E108" s="286"/>
      <c r="F108" s="286"/>
      <c r="G108" s="286"/>
      <c r="H108" s="286"/>
      <c r="I108" s="286"/>
      <c r="J108" s="286"/>
      <c r="K108" s="286"/>
      <c r="L108" s="286"/>
      <c r="M108" s="286"/>
      <c r="N108" s="286"/>
      <c r="O108" s="286"/>
      <c r="P108" s="286"/>
    </row>
    <row r="109" spans="1:16" x14ac:dyDescent="0.2">
      <c r="A109" s="285"/>
      <c r="B109" s="286"/>
      <c r="C109" s="286"/>
      <c r="D109" s="286"/>
      <c r="E109" s="286"/>
      <c r="F109" s="286"/>
      <c r="G109" s="286"/>
      <c r="H109" s="286"/>
      <c r="I109" s="286"/>
      <c r="J109" s="286"/>
      <c r="K109" s="286"/>
      <c r="L109" s="286"/>
      <c r="M109" s="286"/>
      <c r="N109" s="286"/>
      <c r="O109" s="286"/>
      <c r="P109" s="286"/>
    </row>
    <row r="110" spans="1:16" x14ac:dyDescent="0.2">
      <c r="A110" s="285"/>
      <c r="B110" s="286"/>
      <c r="C110" s="286"/>
      <c r="D110" s="286"/>
      <c r="E110" s="286"/>
      <c r="F110" s="286"/>
      <c r="G110" s="286"/>
      <c r="H110" s="286"/>
      <c r="I110" s="286"/>
      <c r="J110" s="286"/>
      <c r="K110" s="286"/>
      <c r="L110" s="286"/>
      <c r="M110" s="286"/>
      <c r="N110" s="286"/>
      <c r="O110" s="286"/>
      <c r="P110" s="286"/>
    </row>
    <row r="113" spans="1:6" ht="15" x14ac:dyDescent="0.2">
      <c r="A113" s="343" t="s">
        <v>109</v>
      </c>
      <c r="B113" s="292"/>
      <c r="C113" s="292"/>
      <c r="D113" s="292"/>
      <c r="E113" s="292"/>
      <c r="F113" s="292"/>
    </row>
  </sheetData>
  <mergeCells count="81">
    <mergeCell ref="A113:F113"/>
    <mergeCell ref="A89:A99"/>
    <mergeCell ref="A88:B88"/>
    <mergeCell ref="B101:P110"/>
    <mergeCell ref="A101:A110"/>
    <mergeCell ref="G90:H90"/>
    <mergeCell ref="G91:H91"/>
    <mergeCell ref="G92:H92"/>
    <mergeCell ref="G93:H93"/>
    <mergeCell ref="B95:P99"/>
    <mergeCell ref="D90:E90"/>
    <mergeCell ref="D91:E91"/>
    <mergeCell ref="D92:E92"/>
    <mergeCell ref="D93:E93"/>
    <mergeCell ref="D94:E94"/>
    <mergeCell ref="B90:C90"/>
    <mergeCell ref="B91:C91"/>
    <mergeCell ref="B92:C92"/>
    <mergeCell ref="B93:C93"/>
    <mergeCell ref="B94:C94"/>
    <mergeCell ref="L67:P74"/>
    <mergeCell ref="B89:C89"/>
    <mergeCell ref="D89:E89"/>
    <mergeCell ref="G89:H89"/>
    <mergeCell ref="B80:E80"/>
    <mergeCell ref="D71:E71"/>
    <mergeCell ref="D72:E72"/>
    <mergeCell ref="B68:C68"/>
    <mergeCell ref="B69:C69"/>
    <mergeCell ref="B70:C70"/>
    <mergeCell ref="B78:E78"/>
    <mergeCell ref="A77:A80"/>
    <mergeCell ref="B81:P85"/>
    <mergeCell ref="A65:B65"/>
    <mergeCell ref="B74:E74"/>
    <mergeCell ref="B77:E77"/>
    <mergeCell ref="B79:E79"/>
    <mergeCell ref="D73:E73"/>
    <mergeCell ref="D75:E75"/>
    <mergeCell ref="D76:E76"/>
    <mergeCell ref="A66:A74"/>
    <mergeCell ref="B71:C71"/>
    <mergeCell ref="B72:C72"/>
    <mergeCell ref="B73:C73"/>
    <mergeCell ref="D68:E68"/>
    <mergeCell ref="D69:E69"/>
    <mergeCell ref="D70:E70"/>
    <mergeCell ref="B58:P62"/>
    <mergeCell ref="B63:P63"/>
    <mergeCell ref="A54:A62"/>
    <mergeCell ref="B57:H57"/>
    <mergeCell ref="B43:G43"/>
    <mergeCell ref="B44:G44"/>
    <mergeCell ref="B45:G45"/>
    <mergeCell ref="B46:G46"/>
    <mergeCell ref="B56:H56"/>
    <mergeCell ref="B54:H54"/>
    <mergeCell ref="B55:H55"/>
    <mergeCell ref="A39:A44"/>
    <mergeCell ref="B47:P52"/>
    <mergeCell ref="B42:G42"/>
    <mergeCell ref="B2:P9"/>
    <mergeCell ref="A2:A8"/>
    <mergeCell ref="B10:P10"/>
    <mergeCell ref="A11:A19"/>
    <mergeCell ref="B11:P19"/>
    <mergeCell ref="B37:P38"/>
    <mergeCell ref="A37:A38"/>
    <mergeCell ref="B41:G41"/>
    <mergeCell ref="B20:P20"/>
    <mergeCell ref="B21:P21"/>
    <mergeCell ref="B22:P24"/>
    <mergeCell ref="A22:A24"/>
    <mergeCell ref="B25:P28"/>
    <mergeCell ref="A25:A28"/>
    <mergeCell ref="B29:P31"/>
    <mergeCell ref="A29:A31"/>
    <mergeCell ref="B32:P34"/>
    <mergeCell ref="A32:A34"/>
    <mergeCell ref="B35:P36"/>
    <mergeCell ref="A35:A36"/>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46B1D-57B7-47D1-B1B5-6A229031E573}">
  <dimension ref="B1:L28"/>
  <sheetViews>
    <sheetView showGridLines="0" workbookViewId="0">
      <selection activeCell="K28" sqref="K28"/>
    </sheetView>
  </sheetViews>
  <sheetFormatPr defaultRowHeight="14.25" x14ac:dyDescent="0.2"/>
  <cols>
    <col min="1" max="1" width="4.375" customWidth="1"/>
    <col min="2" max="2" width="21.75" customWidth="1"/>
    <col min="3" max="3" width="9.125" bestFit="1" customWidth="1"/>
    <col min="4" max="4" width="9.875" bestFit="1" customWidth="1"/>
    <col min="5" max="6" width="9.125" bestFit="1" customWidth="1"/>
    <col min="7" max="7" width="9.875" bestFit="1" customWidth="1"/>
    <col min="8" max="12" width="9.125" bestFit="1" customWidth="1"/>
  </cols>
  <sheetData>
    <row r="1" spans="2:12" ht="15" x14ac:dyDescent="0.2">
      <c r="B1" s="344" t="s">
        <v>197</v>
      </c>
      <c r="C1" s="345"/>
      <c r="D1" s="345"/>
      <c r="E1" s="345"/>
      <c r="F1" s="345"/>
      <c r="G1" s="345"/>
      <c r="H1" s="345"/>
      <c r="I1" s="345"/>
      <c r="J1" s="345"/>
      <c r="K1" s="345"/>
      <c r="L1" s="346"/>
    </row>
    <row r="2" spans="2:12" ht="15" x14ac:dyDescent="0.2">
      <c r="B2" s="17"/>
      <c r="C2" s="43">
        <v>2018</v>
      </c>
      <c r="D2" s="43">
        <v>2019</v>
      </c>
      <c r="E2" s="43">
        <v>2020</v>
      </c>
      <c r="F2" s="43">
        <v>2021</v>
      </c>
      <c r="G2" s="43">
        <v>2022</v>
      </c>
      <c r="H2" s="43">
        <v>2023</v>
      </c>
      <c r="I2" s="43">
        <v>2024</v>
      </c>
      <c r="J2" s="43">
        <v>2025</v>
      </c>
      <c r="K2" s="43">
        <v>2026</v>
      </c>
      <c r="L2" s="133">
        <v>2027</v>
      </c>
    </row>
    <row r="3" spans="2:12" ht="15" x14ac:dyDescent="0.2">
      <c r="B3" s="14" t="s">
        <v>198</v>
      </c>
      <c r="C3" s="19">
        <f>ISorig!B20</f>
        <v>0.32</v>
      </c>
      <c r="D3" s="19">
        <f>ISorig!C20</f>
        <v>0.3</v>
      </c>
      <c r="E3" s="19">
        <f>ISorig!D20</f>
        <v>2.06</v>
      </c>
      <c r="F3" s="19">
        <f>ISorig!E20</f>
        <v>2.57</v>
      </c>
      <c r="G3" s="19">
        <f>ISorig!F20</f>
        <v>0.84</v>
      </c>
      <c r="H3" s="169">
        <f ca="1">'IS&amp;BS pro forma'!T27</f>
        <v>1.6786671540472506</v>
      </c>
      <c r="I3" s="169">
        <f ca="1">'IS&amp;BS pro forma'!U27</f>
        <v>2.5276601294980869</v>
      </c>
      <c r="J3" s="169">
        <f ca="1">'IS&amp;BS pro forma'!V27</f>
        <v>3.4903260356415484</v>
      </c>
      <c r="K3" s="169">
        <f ca="1">'IS&amp;BS pro forma'!W27</f>
        <v>4.5974032495815322</v>
      </c>
      <c r="L3" s="134">
        <f ca="1">'IS&amp;BS pro forma'!X27</f>
        <v>5.8705289104562608</v>
      </c>
    </row>
    <row r="4" spans="2:12" ht="15" x14ac:dyDescent="0.2">
      <c r="B4" s="5" t="s">
        <v>199</v>
      </c>
      <c r="C4" s="135">
        <f>ISorig!B6/ISorig!B2</f>
        <v>0.37791505791505792</v>
      </c>
      <c r="D4" s="135">
        <f>ISorig!C6/ISorig!C2</f>
        <v>0.42608824840291187</v>
      </c>
      <c r="E4" s="135">
        <f>ISorig!D6/ISorig!D2</f>
        <v>0.44525248386766364</v>
      </c>
      <c r="F4" s="135">
        <f>ISorig!E6/ISorig!E2</f>
        <v>0.48247535596933189</v>
      </c>
      <c r="G4" s="135">
        <f>ISorig!F6/ISorig!F2</f>
        <v>0.4492606245498072</v>
      </c>
      <c r="H4" s="135">
        <f>'IS&amp;BS pro forma'!T13/'IS&amp;BS pro forma'!T9</f>
        <v>0.47944726562423812</v>
      </c>
      <c r="I4" s="135">
        <f>'IS&amp;BS pro forma'!U13/'IS&amp;BS pro forma'!U9</f>
        <v>0.47944726562423812</v>
      </c>
      <c r="J4" s="135">
        <f>'IS&amp;BS pro forma'!V13/'IS&amp;BS pro forma'!V9</f>
        <v>0.47944726562423812</v>
      </c>
      <c r="K4" s="135">
        <f>'IS&amp;BS pro forma'!W13/'IS&amp;BS pro forma'!W9</f>
        <v>0.47944726562423812</v>
      </c>
      <c r="L4" s="136">
        <f>'IS&amp;BS pro forma'!X13/'IS&amp;BS pro forma'!X9</f>
        <v>0.47944726562423812</v>
      </c>
    </row>
    <row r="5" spans="2:12" ht="15" x14ac:dyDescent="0.2">
      <c r="B5" s="14" t="s">
        <v>200</v>
      </c>
      <c r="C5" s="137">
        <f>ISorig!B11/ISorig!B2</f>
        <v>6.9652509652509659E-2</v>
      </c>
      <c r="D5" s="137">
        <f>ISorig!C11/ISorig!C2</f>
        <v>9.3745357302035356E-2</v>
      </c>
      <c r="E5" s="137">
        <f>ISorig!D11/ISorig!D2</f>
        <v>0.14022329202089523</v>
      </c>
      <c r="F5" s="137">
        <f>ISorig!E11/ISorig!E2</f>
        <v>0.22197882438846295</v>
      </c>
      <c r="G5" s="137">
        <f>ISorig!F11/ISorig!F2</f>
        <v>5.3557052667259859E-2</v>
      </c>
      <c r="H5" s="137">
        <f>'IS&amp;BS pro forma'!T18/'IS&amp;BS pro forma'!T9</f>
        <v>0.11414822492957015</v>
      </c>
      <c r="I5" s="137">
        <f>'IS&amp;BS pro forma'!U18/'IS&amp;BS pro forma'!U9</f>
        <v>0.14923052295465297</v>
      </c>
      <c r="J5" s="137">
        <f>'IS&amp;BS pro forma'!V18/'IS&amp;BS pro forma'!V9</f>
        <v>0.17973686906342065</v>
      </c>
      <c r="K5" s="137">
        <f>'IS&amp;BS pro forma'!W18/'IS&amp;BS pro forma'!W9</f>
        <v>0.20626412654930568</v>
      </c>
      <c r="L5" s="138">
        <f>'IS&amp;BS pro forma'!X18/'IS&amp;BS pro forma'!X9</f>
        <v>0.22933130697181436</v>
      </c>
    </row>
    <row r="6" spans="2:12" ht="15" x14ac:dyDescent="0.2">
      <c r="B6" s="5" t="s">
        <v>201</v>
      </c>
      <c r="C6" s="135">
        <f>ISmod!B14/ISmod!B2</f>
        <v>5.0965250965250966E-2</v>
      </c>
      <c r="D6" s="135">
        <f>ISmod!C14/ISmod!C2</f>
        <v>5.5266676571088989E-2</v>
      </c>
      <c r="E6" s="135">
        <f>ISmod!D14/ISmod!D2</f>
        <v>0.1305951039639455</v>
      </c>
      <c r="F6" s="135">
        <f>ISmod!E14/ISmod!E2</f>
        <v>0.22325666301569916</v>
      </c>
      <c r="G6" s="135">
        <f>ISmod!F14/ISmod!F2</f>
        <v>5.0167365789585187E-2</v>
      </c>
      <c r="H6" s="135">
        <f ca="1">'IS&amp;BS pro forma'!T21/'IS&amp;BS pro forma'!T9</f>
        <v>0.11563881210071066</v>
      </c>
      <c r="I6" s="135">
        <f ca="1">'IS&amp;BS pro forma'!U21/'IS&amp;BS pro forma'!U9</f>
        <v>0.15123554036404313</v>
      </c>
      <c r="J6" s="135">
        <f ca="1">'IS&amp;BS pro forma'!V21/'IS&amp;BS pro forma'!V9</f>
        <v>0.18148036246289037</v>
      </c>
      <c r="K6" s="135">
        <f ca="1">'IS&amp;BS pro forma'!W21/'IS&amp;BS pro forma'!W9</f>
        <v>0.20778072256461175</v>
      </c>
      <c r="L6" s="136">
        <f ca="1">'IS&amp;BS pro forma'!X21/'IS&amp;BS pro forma'!X9</f>
        <v>0.23065008611555876</v>
      </c>
    </row>
    <row r="7" spans="2:12" ht="15" x14ac:dyDescent="0.2">
      <c r="B7" s="14" t="s">
        <v>202</v>
      </c>
      <c r="C7" s="137">
        <f>ISorig!B17/ISorig!B2</f>
        <v>5.2046332046332043E-2</v>
      </c>
      <c r="D7" s="137">
        <f>ISorig!C17/ISorig!C2</f>
        <v>5.0661120190164909E-2</v>
      </c>
      <c r="E7" s="137">
        <f>ISorig!D17/ISorig!D2</f>
        <v>0.25504455597664655</v>
      </c>
      <c r="F7" s="137">
        <f>ISorig!E17/ISorig!E2</f>
        <v>0.19240598758671049</v>
      </c>
      <c r="G7" s="137">
        <f>ISorig!F17/ISorig!F2</f>
        <v>5.5929833481632135E-2</v>
      </c>
      <c r="H7" s="137">
        <f ca="1">'IS&amp;BS pro forma'!T24/'IS&amp;BS pro forma'!T9</f>
        <v>9.8959235200999265E-2</v>
      </c>
      <c r="I7" s="137">
        <f ca="1">'IS&amp;BS pro forma'!U24/'IS&amp;BS pro forma'!U9</f>
        <v>0.1295724215074652</v>
      </c>
      <c r="J7" s="137">
        <f ca="1">'IS&amp;BS pro forma'!V24/'IS&amp;BS pro forma'!V9</f>
        <v>0.1555829685124738</v>
      </c>
      <c r="K7" s="137">
        <f ca="1">'IS&amp;BS pro forma'!W24/'IS&amp;BS pro forma'!W9</f>
        <v>0.17820127819995421</v>
      </c>
      <c r="L7" s="138">
        <f ca="1">'IS&amp;BS pro forma'!X24/'IS&amp;BS pro forma'!X9</f>
        <v>0.19786893085376864</v>
      </c>
    </row>
    <row r="8" spans="2:12" ht="15" x14ac:dyDescent="0.2">
      <c r="B8" s="5" t="s">
        <v>203</v>
      </c>
      <c r="C8" s="139">
        <f>BSorig!B9/BSorig!B25</f>
        <v>1.784274193548387</v>
      </c>
      <c r="D8" s="139">
        <f>BSorig!C9/BSorig!C25</f>
        <v>1.9487070792708774</v>
      </c>
      <c r="E8" s="139">
        <f>BSorig!D9/BSorig!D25</f>
        <v>2.5415804716590813</v>
      </c>
      <c r="F8" s="139">
        <f>BSorig!E9/BSorig!E25</f>
        <v>2.0242924528301889</v>
      </c>
      <c r="G8" s="139">
        <f>BSorig!F9/BSorig!F25</f>
        <v>2.358140995446695</v>
      </c>
      <c r="H8" s="139">
        <f ca="1">'IS&amp;BS pro forma'!T39/'IS&amp;BS pro forma'!T56</f>
        <v>2.3461072806790466</v>
      </c>
      <c r="I8" s="139">
        <f ca="1">'IS&amp;BS pro forma'!U39/'IS&amp;BS pro forma'!U56</f>
        <v>2.7817747303243334</v>
      </c>
      <c r="J8" s="139">
        <f ca="1">'IS&amp;BS pro forma'!V39/'IS&amp;BS pro forma'!V56</f>
        <v>3.1318921159815987</v>
      </c>
      <c r="K8" s="139">
        <f ca="1">'IS&amp;BS pro forma'!W39/'IS&amp;BS pro forma'!W56</f>
        <v>3.5172433721611323</v>
      </c>
      <c r="L8" s="140">
        <f ca="1">'IS&amp;BS pro forma'!X39/'IS&amp;BS pro forma'!X56</f>
        <v>3.921854046181358</v>
      </c>
    </row>
    <row r="9" spans="2:12" ht="15" x14ac:dyDescent="0.2">
      <c r="B9" s="14" t="s">
        <v>204</v>
      </c>
      <c r="C9" s="169">
        <f>(BSmod!B3+BSmod!B4)/BSmod!B25</f>
        <v>1.205141129032258</v>
      </c>
      <c r="D9" s="169">
        <f>(BSmod!C3+BSmod!C4)/BSmod!C25</f>
        <v>1.4251801610852055</v>
      </c>
      <c r="E9" s="169">
        <f>(BSmod!D3+BSmod!D4)/BSmod!D25</f>
        <v>1.8022341745966073</v>
      </c>
      <c r="F9" s="169">
        <f>(BSmod!E3+BSmod!E4)/BSmod!E25</f>
        <v>1.4891509433962264</v>
      </c>
      <c r="G9" s="169">
        <f>(BSmod!F3+BSmod!F4)/BSmod!F25</f>
        <v>1.5671219971738106</v>
      </c>
      <c r="H9" s="169">
        <f ca="1">('IS&amp;BS pro forma'!T34+'IS&amp;BS pro forma'!T35)/'IS&amp;BS pro forma'!T56</f>
        <v>1.7427257696112133</v>
      </c>
      <c r="I9" s="169">
        <f ca="1">('IS&amp;BS pro forma'!U34+'IS&amp;BS pro forma'!U35)/'IS&amp;BS pro forma'!U56</f>
        <v>2.1159861092234138</v>
      </c>
      <c r="J9" s="169">
        <f ca="1">('IS&amp;BS pro forma'!V34+'IS&amp;BS pro forma'!V35)/'IS&amp;BS pro forma'!V56</f>
        <v>2.4661729135386414</v>
      </c>
      <c r="K9" s="169">
        <f ca="1">('IS&amp;BS pro forma'!W34+'IS&amp;BS pro forma'!W35)/'IS&amp;BS pro forma'!W56</f>
        <v>2.8514547510602117</v>
      </c>
      <c r="L9" s="134">
        <f ca="1">('IS&amp;BS pro forma'!X34+'IS&amp;BS pro forma'!X35)/'IS&amp;BS pro forma'!X56</f>
        <v>3.2560654250804393</v>
      </c>
    </row>
    <row r="10" spans="2:12" ht="15" x14ac:dyDescent="0.2">
      <c r="B10" s="5" t="s">
        <v>205</v>
      </c>
      <c r="C10" s="139">
        <f>BSmod!B4/(ISmod!B2/365)</f>
        <v>69.617760617760624</v>
      </c>
      <c r="D10" s="139">
        <f>BSmod!C4/(ISmod!C2/365)</f>
        <v>100.80745803001039</v>
      </c>
      <c r="E10" s="139">
        <f>BSmod!D4/(ISmod!D2/365)</f>
        <v>77.239577998566006</v>
      </c>
      <c r="F10" s="139">
        <f>BSmod!E4/(ISmod!E2/365)</f>
        <v>60.100401606425706</v>
      </c>
      <c r="G10" s="139">
        <f>BSmod!F4/(ISmod!F2/365)</f>
        <v>63.810431761366047</v>
      </c>
      <c r="H10" s="139">
        <f>'IS&amp;BS pro forma'!T35/('IS&amp;BS pro forma'!T9/365)</f>
        <v>67.050137122119253</v>
      </c>
      <c r="I10" s="139">
        <f>'IS&amp;BS pro forma'!U35/('IS&amp;BS pro forma'!U9/365)</f>
        <v>67.050137122119253</v>
      </c>
      <c r="J10" s="139">
        <f>'IS&amp;BS pro forma'!V35/('IS&amp;BS pro forma'!V9/365)</f>
        <v>67.050137122119253</v>
      </c>
      <c r="K10" s="139">
        <f>'IS&amp;BS pro forma'!W35/('IS&amp;BS pro forma'!W9/365)</f>
        <v>67.050137122119253</v>
      </c>
      <c r="L10" s="140">
        <f>'IS&amp;BS pro forma'!X35/('IS&amp;BS pro forma'!X9/365)</f>
        <v>67.050137122119253</v>
      </c>
    </row>
    <row r="11" spans="2:12" ht="15" x14ac:dyDescent="0.2">
      <c r="B11" s="14" t="s">
        <v>206</v>
      </c>
      <c r="C11" s="169">
        <f>BSmod!B20/(ISmod!B3/365)</f>
        <v>75.573485600794442</v>
      </c>
      <c r="D11" s="169">
        <f>BSmod!C20/(ISmod!C3/365)</f>
        <v>93.352316852187414</v>
      </c>
      <c r="E11" s="169">
        <f>BSmod!D20/(ISmod!D3/365)</f>
        <v>31.539881831610042</v>
      </c>
      <c r="F11" s="169">
        <f>BSmod!E20/(ISmod!E3/365)</f>
        <v>56.691945914168137</v>
      </c>
      <c r="G11" s="169">
        <f>BSmod!F20/(ISmod!F3/365)</f>
        <v>78.78311688311689</v>
      </c>
      <c r="H11" s="169">
        <f>'IS&amp;BS pro forma'!T51/('IS&amp;BS pro forma'!T10/365)</f>
        <v>65.21417761245182</v>
      </c>
      <c r="I11" s="169">
        <f>'IS&amp;BS pro forma'!U51/('IS&amp;BS pro forma'!U10/365)</f>
        <v>65.21417761245182</v>
      </c>
      <c r="J11" s="169">
        <f>'IS&amp;BS pro forma'!V51/('IS&amp;BS pro forma'!V10/365)</f>
        <v>65.214177612451806</v>
      </c>
      <c r="K11" s="169">
        <f>'IS&amp;BS pro forma'!W51/('IS&amp;BS pro forma'!W10/365)</f>
        <v>65.214177612451806</v>
      </c>
      <c r="L11" s="134">
        <f>'IS&amp;BS pro forma'!X51/('IS&amp;BS pro forma'!X10/365)</f>
        <v>65.21417761245182</v>
      </c>
    </row>
    <row r="12" spans="2:12" ht="15" x14ac:dyDescent="0.2">
      <c r="B12" s="5" t="s">
        <v>207</v>
      </c>
      <c r="C12" s="139">
        <f>BSmod!B5/(ISmod!B3/365)</f>
        <v>76.570258192651437</v>
      </c>
      <c r="D12" s="139">
        <f>BSmod!C5/(ISmod!C3/365)</f>
        <v>92.785399948226754</v>
      </c>
      <c r="E12" s="139">
        <f>BSmod!D5/(ISmod!D3/365)</f>
        <v>94.282680945347124</v>
      </c>
      <c r="F12" s="139">
        <f>BSmod!E5/(ISmod!E3/365)</f>
        <v>83.900646678424465</v>
      </c>
      <c r="G12" s="139">
        <f>BSmod!F5/(ISmod!F3/365)</f>
        <v>119.17012987012987</v>
      </c>
      <c r="H12" s="139">
        <f>'IS&amp;BS pro forma'!T36/('IS&amp;BS pro forma'!T12/365)</f>
        <v>98.641260528793239</v>
      </c>
      <c r="I12" s="139">
        <f>'IS&amp;BS pro forma'!U36/('IS&amp;BS pro forma'!U12/365)</f>
        <v>98.641260528793239</v>
      </c>
      <c r="J12" s="139">
        <f>'IS&amp;BS pro forma'!V36/('IS&amp;BS pro forma'!V12/365)</f>
        <v>98.641260528793225</v>
      </c>
      <c r="K12" s="139">
        <f>'IS&amp;BS pro forma'!W36/('IS&amp;BS pro forma'!W12/365)</f>
        <v>98.641260528793239</v>
      </c>
      <c r="L12" s="140">
        <f>'IS&amp;BS pro forma'!X36/('IS&amp;BS pro forma'!X12/365)</f>
        <v>98.641260528793239</v>
      </c>
    </row>
    <row r="13" spans="2:12" ht="15" x14ac:dyDescent="0.2">
      <c r="B13" s="14" t="s">
        <v>208</v>
      </c>
      <c r="C13" s="137">
        <f>ISmod!B17/BSmod!B37</f>
        <v>0.26619273301737756</v>
      </c>
      <c r="D13" s="137">
        <f>ISmod!C17/BSmod!C37</f>
        <v>0.12062256809338522</v>
      </c>
      <c r="E13" s="137">
        <f>ISmod!D17/BSmod!D37</f>
        <v>0.4265890011992462</v>
      </c>
      <c r="F13" s="137">
        <f>ISmod!E17/BSmod!E37</f>
        <v>0.42176870748299322</v>
      </c>
      <c r="G13" s="137">
        <f>ISmod!F17/BSmod!F37</f>
        <v>2.4109589041095891E-2</v>
      </c>
      <c r="H13" s="137">
        <f ca="1">'IS&amp;BS pro forma'!T24/'IS&amp;BS pro forma'!T68</f>
        <v>4.6411390825612603E-2</v>
      </c>
      <c r="I13" s="137">
        <f ca="1">'IS&amp;BS pro forma'!U24/'IS&amp;BS pro forma'!U68</f>
        <v>6.4838685825108447E-2</v>
      </c>
      <c r="J13" s="137">
        <f ca="1">'IS&amp;BS pro forma'!V24/'IS&amp;BS pro forma'!V68</f>
        <v>8.1606105268494891E-2</v>
      </c>
      <c r="K13" s="137">
        <f ca="1">'IS&amp;BS pro forma'!W24/'IS&amp;BS pro forma'!W68</f>
        <v>9.6435333020863559E-2</v>
      </c>
      <c r="L13" s="138">
        <f ca="1">'IS&amp;BS pro forma'!X24/'IS&amp;BS pro forma'!X68</f>
        <v>0.10899818448446909</v>
      </c>
    </row>
    <row r="14" spans="2:12" ht="15" x14ac:dyDescent="0.2">
      <c r="B14" s="5" t="s">
        <v>209</v>
      </c>
      <c r="C14" s="139">
        <f>ISmod!B3/BSmod!B5</f>
        <v>4.7668639053254438</v>
      </c>
      <c r="D14" s="139">
        <f>ISmod!C3/BSmod!C5</f>
        <v>3.9338085539714869</v>
      </c>
      <c r="E14" s="139">
        <f>ISmod!D3/BSmod!D5</f>
        <v>3.8713366690493207</v>
      </c>
      <c r="F14" s="139">
        <f>ISmod!E3/BSmod!E5</f>
        <v>4.3503836317135551</v>
      </c>
      <c r="G14" s="139">
        <f>ISmod!F3/BSmod!F5</f>
        <v>3.0628480509148766</v>
      </c>
      <c r="H14" s="139">
        <f>'IS&amp;BS pro forma'!T12/'IS&amp;BS pro forma'!T36</f>
        <v>3.7002771258529998</v>
      </c>
      <c r="I14" s="139">
        <f>'IS&amp;BS pro forma'!U12/'IS&amp;BS pro forma'!U36</f>
        <v>3.7002771258530003</v>
      </c>
      <c r="J14" s="139">
        <f>'IS&amp;BS pro forma'!V12/'IS&amp;BS pro forma'!V36</f>
        <v>3.7002771258529998</v>
      </c>
      <c r="K14" s="139">
        <f>'IS&amp;BS pro forma'!W12/'IS&amp;BS pro forma'!W36</f>
        <v>3.7002771258529998</v>
      </c>
      <c r="L14" s="140">
        <f>'IS&amp;BS pro forma'!X12/'IS&amp;BS pro forma'!X36</f>
        <v>3.7002771258529998</v>
      </c>
    </row>
    <row r="15" spans="2:12" ht="15" x14ac:dyDescent="0.2">
      <c r="B15" s="14" t="s">
        <v>210</v>
      </c>
      <c r="C15" s="169">
        <f>ISmod!B2/BSmod!B17</f>
        <v>1.4212028094820017</v>
      </c>
      <c r="D15" s="169">
        <f>ISmod!C2/BSmod!C17</f>
        <v>1.1166224286662243</v>
      </c>
      <c r="E15" s="169">
        <f>ISmod!D2/BSmod!D17</f>
        <v>1.0893773711225172</v>
      </c>
      <c r="F15" s="169">
        <f>ISmod!E2/BSmod!E17</f>
        <v>1.3232949512843224</v>
      </c>
      <c r="G15" s="169">
        <f>ISmod!F2/BSmod!F17</f>
        <v>0.34923054158034922</v>
      </c>
      <c r="H15" s="169">
        <f ca="1">'IS&amp;BS pro forma'!T9/'IS&amp;BS pro forma'!T48</f>
        <v>0.37756391081083118</v>
      </c>
      <c r="I15" s="169">
        <f ca="1">'IS&amp;BS pro forma'!U9/'IS&amp;BS pro forma'!U48</f>
        <v>0.40518149227269024</v>
      </c>
      <c r="J15" s="169">
        <f ca="1">'IS&amp;BS pro forma'!V9/'IS&amp;BS pro forma'!V48</f>
        <v>0.42375823257805334</v>
      </c>
      <c r="K15" s="169">
        <f ca="1">'IS&amp;BS pro forma'!W9/'IS&amp;BS pro forma'!W48</f>
        <v>0.43721462880207446</v>
      </c>
      <c r="L15" s="134">
        <f ca="1">'IS&amp;BS pro forma'!X9/'IS&amp;BS pro forma'!X48</f>
        <v>0.44589110470101095</v>
      </c>
    </row>
    <row r="16" spans="2:12" ht="15" x14ac:dyDescent="0.2">
      <c r="B16" s="5" t="s">
        <v>211</v>
      </c>
      <c r="C16" s="6"/>
      <c r="D16" s="135">
        <f>ISmod!C20/ISmod!B20-1</f>
        <v>-6.25E-2</v>
      </c>
      <c r="E16" s="135">
        <f>ISmod!D20/ISmod!C20-1</f>
        <v>5.8666666666666671</v>
      </c>
      <c r="F16" s="135">
        <f>ISmod!E20/ISmod!D20-1</f>
        <v>0.24757281553398047</v>
      </c>
      <c r="G16" s="135">
        <f>ISmod!F20/ISmod!E20-1</f>
        <v>-0.6731517509727627</v>
      </c>
      <c r="H16" s="135">
        <f ca="1">'IS&amp;BS pro forma'!T27/'IS&amp;BS pro forma'!O27-1</f>
        <v>0.99841327862767937</v>
      </c>
      <c r="I16" s="135">
        <f ca="1">'IS&amp;BS pro forma'!U27/'IS&amp;BS pro forma'!T27-1</f>
        <v>0.50575420708263841</v>
      </c>
      <c r="J16" s="135">
        <f ca="1">'IS&amp;BS pro forma'!V27/'IS&amp;BS pro forma'!U27-1</f>
        <v>0.38085258967732205</v>
      </c>
      <c r="K16" s="135">
        <f ca="1">'IS&amp;BS pro forma'!W27/'IS&amp;BS pro forma'!V27-1</f>
        <v>0.31718447005667616</v>
      </c>
      <c r="L16" s="136">
        <f ca="1">'IS&amp;BS pro forma'!X27/'IS&amp;BS pro forma'!W27-1</f>
        <v>0.27692277395736653</v>
      </c>
    </row>
    <row r="17" spans="2:12" ht="15" x14ac:dyDescent="0.2">
      <c r="B17" s="14" t="s">
        <v>212</v>
      </c>
      <c r="C17" s="19"/>
      <c r="D17" s="137">
        <f>ISmod!C2/ISmod!B2-1</f>
        <v>3.9536679536679609E-2</v>
      </c>
      <c r="E17" s="137">
        <f>ISmod!D2/ISmod!C2-1</f>
        <v>0.45045312732134901</v>
      </c>
      <c r="F17" s="137">
        <f>ISmod!E2/ISmod!D2-1</f>
        <v>0.68329406944586712</v>
      </c>
      <c r="G17" s="137">
        <f>ISmod!F2/ISmod!E2-1</f>
        <v>0.43610806863818907</v>
      </c>
      <c r="H17" s="137">
        <f>'IS&amp;BS pro forma'!T9/'IS&amp;BS pro forma'!O9-1</f>
        <v>0.14999999999999991</v>
      </c>
      <c r="I17" s="137">
        <f>'IS&amp;BS pro forma'!U9/'IS&amp;BS pro forma'!T9-1</f>
        <v>0.14999999999999991</v>
      </c>
      <c r="J17" s="137">
        <f>'IS&amp;BS pro forma'!V9/'IS&amp;BS pro forma'!U9-1</f>
        <v>0.14999999999999991</v>
      </c>
      <c r="K17" s="137">
        <f>'IS&amp;BS pro forma'!W9/'IS&amp;BS pro forma'!V9-1</f>
        <v>0.14999999999999991</v>
      </c>
      <c r="L17" s="138">
        <f>'IS&amp;BS pro forma'!X9/'IS&amp;BS pro forma'!W9-1</f>
        <v>0.14999999999999991</v>
      </c>
    </row>
    <row r="18" spans="2:12" ht="15" x14ac:dyDescent="0.2">
      <c r="B18" s="5" t="s">
        <v>213</v>
      </c>
      <c r="C18" s="6"/>
      <c r="D18" s="135">
        <f>ISmod!C17/ISmod!B17-1</f>
        <v>1.1869436201780381E-2</v>
      </c>
      <c r="E18" s="135">
        <f>ISmod!D17/ISmod!C17-1</f>
        <v>6.3020527859237534</v>
      </c>
      <c r="F18" s="135">
        <f>ISmod!E17/ISmod!D17-1</f>
        <v>0.26987951807228905</v>
      </c>
      <c r="G18" s="135">
        <f>ISmod!F17/ISmod!E17-1</f>
        <v>-0.58254269449715368</v>
      </c>
      <c r="H18" s="135">
        <f ca="1">'IS&amp;BS pro forma'!T24/'IS&amp;BS pro forma'!O24-1</f>
        <v>1.0347480655118191</v>
      </c>
      <c r="I18" s="135">
        <f ca="1">'IS&amp;BS pro forma'!U24/'IS&amp;BS pro forma'!T24-1</f>
        <v>0.50575420708263841</v>
      </c>
      <c r="J18" s="135">
        <f ca="1">'IS&amp;BS pro forma'!V24/'IS&amp;BS pro forma'!U24-1</f>
        <v>0.38085258967732205</v>
      </c>
      <c r="K18" s="135">
        <f ca="1">'IS&amp;BS pro forma'!W24/'IS&amp;BS pro forma'!V24-1</f>
        <v>0.31718447005667616</v>
      </c>
      <c r="L18" s="136">
        <f ca="1">'IS&amp;BS pro forma'!X24/'IS&amp;BS pro forma'!W24-1</f>
        <v>0.27692277395736653</v>
      </c>
    </row>
    <row r="19" spans="2:12" ht="15" x14ac:dyDescent="0.2">
      <c r="B19" s="14" t="s">
        <v>214</v>
      </c>
      <c r="C19" s="169">
        <f>(BSmod!B19+BSmod!B23+BSmod!B26)/BSmod!B37</f>
        <v>0.9873617693522907</v>
      </c>
      <c r="D19" s="169">
        <f>(BSmod!C19+BSmod!C23+BSmod!C26)/BSmod!C37</f>
        <v>0.17191368942341706</v>
      </c>
      <c r="E19" s="169">
        <f>(BSmod!D19+BSmod!D23+BSmod!D26)/BSmod!D37</f>
        <v>5.65358917252013E-2</v>
      </c>
      <c r="F19" s="169">
        <f>(BSmod!E19+BSmod!E23+BSmod!E26)/BSmod!E37</f>
        <v>4.1750033346672002E-2</v>
      </c>
      <c r="G19" s="169">
        <f>(BSmod!F19+BSmod!F23+BSmod!F26)/BSmod!F37</f>
        <v>4.5059360730593606E-2</v>
      </c>
      <c r="H19" s="169">
        <f ca="1">('IS&amp;BS pro forma'!T59+'IS&amp;BS pro forma'!T57+'IS&amp;BS pro forma'!T54+'IS&amp;BS pro forma'!T50)/'IS&amp;BS pro forma'!T68</f>
        <v>4.1220329939002445E-2</v>
      </c>
      <c r="I19" s="169">
        <f ca="1">('IS&amp;BS pro forma'!U59+'IS&amp;BS pro forma'!U57+'IS&amp;BS pro forma'!U54+'IS&amp;BS pro forma'!U50)/'IS&amp;BS pro forma'!U68</f>
        <v>2.5267489267678141E-2</v>
      </c>
      <c r="J19" s="169">
        <f ca="1">('IS&amp;BS pro forma'!V59+'IS&amp;BS pro forma'!V57+'IS&amp;BS pro forma'!V54+'IS&amp;BS pro forma'!V50)/'IS&amp;BS pro forma'!V68</f>
        <v>2.2162211370234521E-2</v>
      </c>
      <c r="K19" s="169">
        <f ca="1">('IS&amp;BS pro forma'!W59+'IS&amp;BS pro forma'!W57+'IS&amp;BS pro forma'!W54+'IS&amp;BS pro forma'!W50)/'IS&amp;BS pro forma'!W68</f>
        <v>1.9091100667614734E-2</v>
      </c>
      <c r="L19" s="134">
        <f ca="1">('IS&amp;BS pro forma'!X59+'IS&amp;BS pro forma'!X57+'IS&amp;BS pro forma'!X54+'IS&amp;BS pro forma'!X50)/'IS&amp;BS pro forma'!X68</f>
        <v>1.6209277638894515E-2</v>
      </c>
    </row>
    <row r="20" spans="2:12" ht="15" x14ac:dyDescent="0.2">
      <c r="B20" s="21" t="s">
        <v>333</v>
      </c>
      <c r="C20" s="170">
        <f>ISmod!B17/(BSmod!B19+BSmod!B23+BSmod!B26+BSmod!B37)</f>
        <v>0.13394276629570748</v>
      </c>
      <c r="D20" s="170">
        <f>ISmod!C17/(BSmod!C19+BSmod!C23+BSmod!C26+BSmod!C37)</f>
        <v>0.10292785994566858</v>
      </c>
      <c r="E20" s="170">
        <f>ISmod!D17/(BSmod!D19+BSmod!D23+BSmod!D26+BSmod!D37)</f>
        <v>0.40376195881303711</v>
      </c>
      <c r="F20" s="170">
        <f>ISmod!E17/(BSmod!E19+BSmod!E23+BSmod!E26+BSmod!E37)</f>
        <v>0.40486555697823301</v>
      </c>
      <c r="G20" s="170">
        <f>ISmod!F17/(BSmod!F19+BSmod!F23+BSmod!F26+BSmod!F37)</f>
        <v>2.3070066588601289E-2</v>
      </c>
      <c r="H20" s="170">
        <f ca="1">'IS&amp;BS pro forma'!T24/('IS&amp;BS pro forma'!T50+'IS&amp;BS pro forma'!T54+'IS&amp;BS pro forma'!T57+'IS&amp;BS pro forma'!T68)</f>
        <v>4.4574034420103485E-2</v>
      </c>
      <c r="I20" s="170">
        <f ca="1">'IS&amp;BS pro forma'!U24/('IS&amp;BS pro forma'!U50+'IS&amp;BS pro forma'!U54+'IS&amp;BS pro forma'!U57+'IS&amp;BS pro forma'!U68)</f>
        <v>6.324075083217652E-2</v>
      </c>
      <c r="J20" s="170">
        <f ca="1">'IS&amp;BS pro forma'!V24/('IS&amp;BS pro forma'!V50+'IS&amp;BS pro forma'!V54+'IS&amp;BS pro forma'!V57+'IS&amp;BS pro forma'!V68)</f>
        <v>7.9836746419239879E-2</v>
      </c>
      <c r="K20" s="170">
        <f ca="1">'IS&amp;BS pro forma'!W24/('IS&amp;BS pro forma'!W50+'IS&amp;BS pro forma'!W54+'IS&amp;BS pro forma'!W57+'IS&amp;BS pro forma'!W68)</f>
        <v>9.4628765728292583E-2</v>
      </c>
      <c r="L20" s="171">
        <f ca="1">'IS&amp;BS pro forma'!X24/('IS&amp;BS pro forma'!X50+'IS&amp;BS pro forma'!X54+'IS&amp;BS pro forma'!X57+'IS&amp;BS pro forma'!X68)</f>
        <v>0.10725958410625838</v>
      </c>
    </row>
    <row r="21" spans="2:12" ht="15" x14ac:dyDescent="0.2">
      <c r="B21" s="343" t="s">
        <v>256</v>
      </c>
      <c r="C21" s="292"/>
      <c r="D21" s="292"/>
      <c r="E21" s="292"/>
      <c r="F21" s="292"/>
      <c r="G21" s="292"/>
    </row>
    <row r="28" spans="2:12" x14ac:dyDescent="0.2">
      <c r="H28" s="167"/>
    </row>
  </sheetData>
  <mergeCells count="2">
    <mergeCell ref="B1:L1"/>
    <mergeCell ref="B21:G21"/>
  </mergeCells>
  <phoneticPr fontId="2"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68035-D471-4E6E-B85C-6C47D886426B}">
  <dimension ref="B2:AS75"/>
  <sheetViews>
    <sheetView showGridLines="0" topLeftCell="A3" workbookViewId="0">
      <pane xSplit="2" ySplit="5" topLeftCell="M50" activePane="bottomRight" state="frozen"/>
      <selection activeCell="A3" sqref="A3"/>
      <selection pane="topRight" activeCell="C3" sqref="C3"/>
      <selection pane="bottomLeft" activeCell="A8" sqref="A8"/>
      <selection pane="bottomRight" activeCell="AH25" sqref="AH25"/>
    </sheetView>
  </sheetViews>
  <sheetFormatPr defaultRowHeight="14.25" x14ac:dyDescent="0.2"/>
  <cols>
    <col min="1" max="1" width="9" customWidth="1"/>
    <col min="2" max="2" width="45.875" customWidth="1"/>
    <col min="3" max="3" width="9" customWidth="1"/>
    <col min="4" max="4" width="11.125" customWidth="1"/>
    <col min="5" max="6" width="9" customWidth="1"/>
    <col min="7" max="7" width="11.125" customWidth="1"/>
    <col min="8" max="9" width="9" customWidth="1"/>
    <col min="10" max="10" width="11.125" customWidth="1"/>
    <col min="11" max="12" width="9" customWidth="1"/>
    <col min="13" max="13" width="11.125" customWidth="1"/>
    <col min="14" max="15" width="9" customWidth="1"/>
    <col min="16" max="16" width="11.125" customWidth="1"/>
    <col min="18" max="19" width="16.875" customWidth="1"/>
    <col min="20" max="23" width="9.875" bestFit="1" customWidth="1"/>
    <col min="24" max="24" width="10.625" customWidth="1"/>
  </cols>
  <sheetData>
    <row r="2" spans="2:31" x14ac:dyDescent="0.2">
      <c r="B2" s="1" t="s">
        <v>115</v>
      </c>
    </row>
    <row r="3" spans="2:31" x14ac:dyDescent="0.2">
      <c r="B3" s="1" t="s">
        <v>116</v>
      </c>
    </row>
    <row r="4" spans="2:31" ht="15" x14ac:dyDescent="0.2">
      <c r="B4" s="43" t="s">
        <v>117</v>
      </c>
      <c r="C4" s="6"/>
      <c r="D4" s="6"/>
      <c r="E4" s="6"/>
      <c r="F4" s="6"/>
      <c r="G4" s="6"/>
      <c r="H4" s="6"/>
      <c r="I4" s="6"/>
      <c r="J4" s="6"/>
      <c r="K4" s="6"/>
      <c r="L4" s="6"/>
      <c r="M4" s="6"/>
      <c r="N4" s="6"/>
      <c r="O4" s="6"/>
      <c r="P4" s="6"/>
      <c r="Q4" s="6"/>
    </row>
    <row r="5" spans="2:31" ht="15" x14ac:dyDescent="0.2">
      <c r="B5" s="6"/>
      <c r="C5" s="6"/>
      <c r="D5" s="6"/>
      <c r="E5" s="6"/>
      <c r="F5" s="6"/>
      <c r="G5" s="6"/>
      <c r="H5" s="6"/>
      <c r="I5" s="6"/>
      <c r="J5" s="6"/>
      <c r="K5" s="6"/>
      <c r="L5" s="6"/>
      <c r="M5" s="6"/>
      <c r="N5" s="6"/>
      <c r="O5" s="6"/>
      <c r="P5" s="6"/>
      <c r="Q5" s="6"/>
    </row>
    <row r="6" spans="2:31" ht="15" x14ac:dyDescent="0.2">
      <c r="B6" s="61"/>
      <c r="C6" s="278" t="s">
        <v>118</v>
      </c>
      <c r="D6" s="278"/>
      <c r="E6" s="278"/>
      <c r="F6" s="278"/>
      <c r="G6" s="278"/>
      <c r="H6" s="278"/>
      <c r="I6" s="278"/>
      <c r="J6" s="278"/>
      <c r="K6" s="278"/>
      <c r="L6" s="278"/>
      <c r="M6" s="278"/>
      <c r="N6" s="278"/>
      <c r="O6" s="278"/>
      <c r="P6" s="278"/>
      <c r="Q6" s="279"/>
      <c r="R6" s="277" t="s">
        <v>121</v>
      </c>
      <c r="S6" s="279"/>
      <c r="T6" s="278" t="s">
        <v>123</v>
      </c>
      <c r="U6" s="278"/>
      <c r="V6" s="278"/>
      <c r="W6" s="278"/>
      <c r="X6" s="279"/>
      <c r="Y6" s="6"/>
      <c r="Z6" s="6"/>
      <c r="AA6" s="6"/>
      <c r="AB6" s="6"/>
      <c r="AC6" s="6"/>
      <c r="AD6" s="6"/>
      <c r="AE6" s="6"/>
    </row>
    <row r="7" spans="2:31" ht="15" x14ac:dyDescent="0.2">
      <c r="B7" s="91" t="s">
        <v>232</v>
      </c>
      <c r="C7" s="283">
        <v>2018</v>
      </c>
      <c r="D7" s="283"/>
      <c r="E7" s="141"/>
      <c r="F7" s="283">
        <v>2019</v>
      </c>
      <c r="G7" s="283"/>
      <c r="H7" s="141"/>
      <c r="I7" s="283">
        <v>2020</v>
      </c>
      <c r="J7" s="283"/>
      <c r="K7" s="141"/>
      <c r="L7" s="283">
        <v>2021</v>
      </c>
      <c r="M7" s="283"/>
      <c r="N7" s="141"/>
      <c r="O7" s="283">
        <v>2022</v>
      </c>
      <c r="P7" s="283"/>
      <c r="Q7" s="142"/>
      <c r="R7" s="280" t="s">
        <v>122</v>
      </c>
      <c r="S7" s="281"/>
      <c r="T7" s="43">
        <v>2023</v>
      </c>
      <c r="U7" s="43">
        <v>2024</v>
      </c>
      <c r="V7" s="43">
        <v>2025</v>
      </c>
      <c r="W7" s="43">
        <v>2026</v>
      </c>
      <c r="X7" s="133">
        <v>2027</v>
      </c>
      <c r="Y7" s="6"/>
      <c r="Z7" s="6"/>
      <c r="AA7" s="6"/>
      <c r="AB7" s="6"/>
      <c r="AC7" s="6"/>
      <c r="AD7" s="6"/>
      <c r="AE7" s="6"/>
    </row>
    <row r="8" spans="2:31" ht="15" x14ac:dyDescent="0.2">
      <c r="B8" s="60"/>
      <c r="C8" s="61"/>
      <c r="D8" s="61" t="s">
        <v>119</v>
      </c>
      <c r="E8" s="62" t="s">
        <v>120</v>
      </c>
      <c r="F8" s="61"/>
      <c r="G8" s="61" t="s">
        <v>119</v>
      </c>
      <c r="H8" s="62" t="s">
        <v>120</v>
      </c>
      <c r="I8" s="61"/>
      <c r="J8" s="61" t="s">
        <v>119</v>
      </c>
      <c r="K8" s="62" t="s">
        <v>120</v>
      </c>
      <c r="L8" s="61"/>
      <c r="M8" s="61" t="s">
        <v>119</v>
      </c>
      <c r="N8" s="62" t="s">
        <v>120</v>
      </c>
      <c r="O8" s="61"/>
      <c r="P8" s="61" t="s">
        <v>119</v>
      </c>
      <c r="Q8" s="63"/>
      <c r="R8" s="100"/>
      <c r="S8" s="101"/>
      <c r="T8" s="100"/>
      <c r="U8" s="102"/>
      <c r="V8" s="102"/>
      <c r="W8" s="102"/>
      <c r="X8" s="101"/>
      <c r="Y8" s="6"/>
      <c r="Z8" s="6"/>
      <c r="AA8" s="6"/>
      <c r="AB8" s="6"/>
      <c r="AC8" s="6"/>
      <c r="AD8" s="6"/>
      <c r="AE8" s="6"/>
    </row>
    <row r="9" spans="2:31" ht="15" x14ac:dyDescent="0.2">
      <c r="B9" s="17" t="s">
        <v>48</v>
      </c>
      <c r="C9" s="51">
        <v>6475</v>
      </c>
      <c r="D9" s="64">
        <f>C9/$C$9</f>
        <v>1</v>
      </c>
      <c r="E9" s="65">
        <f>F9/C9-1</f>
        <v>3.9536679536679609E-2</v>
      </c>
      <c r="F9" s="51">
        <v>6731</v>
      </c>
      <c r="G9" s="64">
        <f>F9/$F$9</f>
        <v>1</v>
      </c>
      <c r="H9" s="65">
        <f>I9/F9-1</f>
        <v>0.45045312732134901</v>
      </c>
      <c r="I9" s="51">
        <v>9763</v>
      </c>
      <c r="J9" s="57">
        <f>I9/$I$9</f>
        <v>1</v>
      </c>
      <c r="K9" s="65">
        <f>L9/I9-1</f>
        <v>0.68329406944586712</v>
      </c>
      <c r="L9" s="51">
        <v>16434</v>
      </c>
      <c r="M9" s="57">
        <f>L9/$L$9</f>
        <v>1</v>
      </c>
      <c r="N9" s="65">
        <f>O9/L9-1</f>
        <v>0.43610806863818907</v>
      </c>
      <c r="O9" s="51">
        <v>23601</v>
      </c>
      <c r="P9" s="64">
        <f>O9/$O$9</f>
        <v>1</v>
      </c>
      <c r="Q9" s="7"/>
      <c r="R9" s="61" t="s">
        <v>124</v>
      </c>
      <c r="S9" s="103">
        <v>0.15</v>
      </c>
      <c r="T9" s="25">
        <f>O9*(1+$S$9)</f>
        <v>27141.149999999998</v>
      </c>
      <c r="U9" s="104">
        <f>T9*(1+$S$9)</f>
        <v>31212.322499999995</v>
      </c>
      <c r="V9" s="104">
        <f>U9*(1+$S$9)</f>
        <v>35894.170874999989</v>
      </c>
      <c r="W9" s="104">
        <f t="shared" ref="W9:X9" si="0">V9*(1+$S$9)</f>
        <v>41278.296506249986</v>
      </c>
      <c r="X9" s="13">
        <f t="shared" si="0"/>
        <v>47470.040982187478</v>
      </c>
      <c r="Y9" s="293" t="s">
        <v>146</v>
      </c>
      <c r="Z9" s="269"/>
      <c r="AA9" s="269"/>
      <c r="AB9" s="269"/>
      <c r="AC9" s="269"/>
      <c r="AD9" s="269"/>
      <c r="AE9" s="270"/>
    </row>
    <row r="10" spans="2:31" ht="15" x14ac:dyDescent="0.2">
      <c r="B10" s="18" t="s">
        <v>47</v>
      </c>
      <c r="C10" s="52">
        <v>4028</v>
      </c>
      <c r="D10" s="66">
        <f t="shared" ref="D10:D24" si="1">C10/$C$9</f>
        <v>0.62208494208494214</v>
      </c>
      <c r="E10" s="19"/>
      <c r="F10" s="52">
        <v>3863</v>
      </c>
      <c r="G10" s="66">
        <f t="shared" ref="G10:G24" si="2">F10/$F$9</f>
        <v>0.57391175159708807</v>
      </c>
      <c r="H10" s="19"/>
      <c r="I10" s="52">
        <v>5416</v>
      </c>
      <c r="J10" s="58">
        <f t="shared" ref="J10:J24" si="3">I10/$I$9</f>
        <v>0.55474751613233642</v>
      </c>
      <c r="K10" s="19"/>
      <c r="L10" s="52">
        <v>8505</v>
      </c>
      <c r="M10" s="58">
        <f t="shared" ref="M10:M24" si="4">L10/$L$9</f>
        <v>0.51752464403066811</v>
      </c>
      <c r="N10" s="19"/>
      <c r="O10" s="52">
        <v>11550</v>
      </c>
      <c r="P10" s="66">
        <f t="shared" ref="P10:P24" si="5">O10/$O$9</f>
        <v>0.48938604296428118</v>
      </c>
      <c r="Q10" s="20"/>
      <c r="R10" s="84" t="s">
        <v>119</v>
      </c>
      <c r="S10" s="58">
        <f>AVERAGE(J10,M10,P10)</f>
        <v>0.52055273437576188</v>
      </c>
      <c r="T10" s="10">
        <f>T9*$S$10</f>
        <v>14128.399846602708</v>
      </c>
      <c r="U10" s="52">
        <f t="shared" ref="U10:X10" si="6">U9*$S$10</f>
        <v>16247.659823593114</v>
      </c>
      <c r="V10" s="52">
        <f t="shared" si="6"/>
        <v>18684.808797132078</v>
      </c>
      <c r="W10" s="52">
        <f t="shared" si="6"/>
        <v>21487.530116701888</v>
      </c>
      <c r="X10" s="10">
        <f t="shared" si="6"/>
        <v>24710.659634207168</v>
      </c>
      <c r="Y10" s="300" t="s">
        <v>147</v>
      </c>
      <c r="Z10" s="301"/>
      <c r="AA10" s="301"/>
      <c r="AB10" s="301"/>
      <c r="AC10" s="301"/>
      <c r="AD10" s="301"/>
      <c r="AE10" s="302"/>
    </row>
    <row r="11" spans="2:31" ht="15" x14ac:dyDescent="0.2">
      <c r="B11" s="17" t="s">
        <v>64</v>
      </c>
      <c r="C11" s="51">
        <v>0</v>
      </c>
      <c r="D11" s="67">
        <f t="shared" si="1"/>
        <v>0</v>
      </c>
      <c r="E11" s="6"/>
      <c r="F11" s="51">
        <v>0</v>
      </c>
      <c r="G11" s="68">
        <f t="shared" si="2"/>
        <v>0</v>
      </c>
      <c r="H11" s="6"/>
      <c r="I11" s="51">
        <v>0</v>
      </c>
      <c r="J11" s="69">
        <f t="shared" si="3"/>
        <v>0</v>
      </c>
      <c r="K11" s="6"/>
      <c r="L11" s="51">
        <v>0</v>
      </c>
      <c r="M11" s="51">
        <f t="shared" si="4"/>
        <v>0</v>
      </c>
      <c r="N11" s="6"/>
      <c r="O11" s="51">
        <v>1448</v>
      </c>
      <c r="P11" s="64">
        <f t="shared" si="5"/>
        <v>6.1353332485911613E-2</v>
      </c>
      <c r="Q11" s="7"/>
      <c r="R11" s="83" t="s">
        <v>126</v>
      </c>
      <c r="S11" s="83">
        <v>0</v>
      </c>
      <c r="T11" s="13">
        <v>0</v>
      </c>
      <c r="U11" s="13">
        <v>0</v>
      </c>
      <c r="V11" s="13">
        <v>0</v>
      </c>
      <c r="W11" s="13">
        <v>0</v>
      </c>
      <c r="X11" s="13">
        <v>0</v>
      </c>
      <c r="Y11" s="297" t="s">
        <v>148</v>
      </c>
      <c r="Z11" s="298"/>
      <c r="AA11" s="298"/>
      <c r="AB11" s="298"/>
      <c r="AC11" s="298"/>
      <c r="AD11" s="298"/>
      <c r="AE11" s="299"/>
    </row>
    <row r="12" spans="2:31" ht="15" x14ac:dyDescent="0.2">
      <c r="B12" s="18" t="s">
        <v>65</v>
      </c>
      <c r="C12" s="52">
        <v>4028</v>
      </c>
      <c r="D12" s="66">
        <f t="shared" si="1"/>
        <v>0.62208494208494214</v>
      </c>
      <c r="E12" s="19"/>
      <c r="F12" s="52">
        <v>3863</v>
      </c>
      <c r="G12" s="66">
        <f t="shared" si="2"/>
        <v>0.57391175159708807</v>
      </c>
      <c r="H12" s="19"/>
      <c r="I12" s="52">
        <v>5416</v>
      </c>
      <c r="J12" s="58">
        <f t="shared" si="3"/>
        <v>0.55474751613233642</v>
      </c>
      <c r="K12" s="19"/>
      <c r="L12" s="52">
        <v>8505</v>
      </c>
      <c r="M12" s="58">
        <f t="shared" si="4"/>
        <v>0.51752464403066811</v>
      </c>
      <c r="N12" s="19"/>
      <c r="O12" s="52">
        <v>12998</v>
      </c>
      <c r="P12" s="66">
        <f t="shared" si="5"/>
        <v>0.5507393754501928</v>
      </c>
      <c r="Q12" s="20"/>
      <c r="R12" s="84"/>
      <c r="S12" s="58"/>
      <c r="T12" s="10">
        <f>T10+T11</f>
        <v>14128.399846602708</v>
      </c>
      <c r="U12" s="10">
        <f t="shared" ref="U12:X12" si="7">U10+U11</f>
        <v>16247.659823593114</v>
      </c>
      <c r="V12" s="10">
        <f t="shared" si="7"/>
        <v>18684.808797132078</v>
      </c>
      <c r="W12" s="10">
        <f t="shared" si="7"/>
        <v>21487.530116701888</v>
      </c>
      <c r="X12" s="10">
        <f t="shared" si="7"/>
        <v>24710.659634207168</v>
      </c>
      <c r="Y12" s="300"/>
      <c r="Z12" s="301"/>
      <c r="AA12" s="301"/>
      <c r="AB12" s="301"/>
      <c r="AC12" s="301"/>
      <c r="AD12" s="301"/>
      <c r="AE12" s="302"/>
    </row>
    <row r="13" spans="2:31" ht="15" x14ac:dyDescent="0.2">
      <c r="B13" s="17" t="s">
        <v>49</v>
      </c>
      <c r="C13" s="51">
        <v>2447</v>
      </c>
      <c r="D13" s="64">
        <f t="shared" si="1"/>
        <v>0.37791505791505792</v>
      </c>
      <c r="E13" s="6"/>
      <c r="F13" s="51">
        <v>2868</v>
      </c>
      <c r="G13" s="64">
        <f t="shared" si="2"/>
        <v>0.42608824840291187</v>
      </c>
      <c r="H13" s="6"/>
      <c r="I13" s="51">
        <v>4347</v>
      </c>
      <c r="J13" s="57">
        <f t="shared" si="3"/>
        <v>0.44525248386766364</v>
      </c>
      <c r="K13" s="6"/>
      <c r="L13" s="51">
        <v>7929</v>
      </c>
      <c r="M13" s="57">
        <f t="shared" si="4"/>
        <v>0.48247535596933189</v>
      </c>
      <c r="N13" s="6"/>
      <c r="O13" s="51">
        <v>10603</v>
      </c>
      <c r="P13" s="64">
        <f t="shared" si="5"/>
        <v>0.4492606245498072</v>
      </c>
      <c r="Q13" s="7"/>
      <c r="R13" s="83"/>
      <c r="S13" s="83"/>
      <c r="T13" s="13">
        <f>T9-T12</f>
        <v>13012.75015339729</v>
      </c>
      <c r="U13" s="13">
        <f t="shared" ref="U13:X13" si="8">U9-U12</f>
        <v>14964.662676406881</v>
      </c>
      <c r="V13" s="13">
        <f t="shared" si="8"/>
        <v>17209.362077867911</v>
      </c>
      <c r="W13" s="13">
        <f t="shared" si="8"/>
        <v>19790.766389548098</v>
      </c>
      <c r="X13" s="13">
        <f t="shared" si="8"/>
        <v>22759.38134798031</v>
      </c>
      <c r="Y13" s="17"/>
      <c r="Z13" s="6"/>
      <c r="AA13" s="6"/>
      <c r="AB13" s="6"/>
      <c r="AC13" s="6"/>
      <c r="AD13" s="6"/>
      <c r="AE13" s="7"/>
    </row>
    <row r="14" spans="2:31" ht="15" x14ac:dyDescent="0.2">
      <c r="B14" s="18" t="s">
        <v>50</v>
      </c>
      <c r="C14" s="52">
        <v>1434</v>
      </c>
      <c r="D14" s="66">
        <f t="shared" si="1"/>
        <v>0.22146718146718147</v>
      </c>
      <c r="E14" s="19"/>
      <c r="F14" s="52">
        <v>1547</v>
      </c>
      <c r="G14" s="66">
        <f t="shared" si="2"/>
        <v>0.22983212004159859</v>
      </c>
      <c r="H14" s="19"/>
      <c r="I14" s="52">
        <v>1983</v>
      </c>
      <c r="J14" s="58">
        <f t="shared" si="3"/>
        <v>0.20311379698863055</v>
      </c>
      <c r="K14" s="19"/>
      <c r="L14" s="52">
        <v>2845</v>
      </c>
      <c r="M14" s="58">
        <f t="shared" si="4"/>
        <v>0.17311670926128758</v>
      </c>
      <c r="N14" s="19"/>
      <c r="O14" s="52">
        <v>5005</v>
      </c>
      <c r="P14" s="66">
        <f t="shared" si="5"/>
        <v>0.21206728528452184</v>
      </c>
      <c r="Q14" s="20"/>
      <c r="R14" s="84" t="s">
        <v>134</v>
      </c>
      <c r="S14" s="84">
        <v>5200</v>
      </c>
      <c r="T14" s="20">
        <v>5200</v>
      </c>
      <c r="U14" s="84">
        <v>5200</v>
      </c>
      <c r="V14" s="84">
        <v>5200</v>
      </c>
      <c r="W14" s="84">
        <v>5200</v>
      </c>
      <c r="X14" s="20">
        <v>5200</v>
      </c>
      <c r="Y14" s="294" t="s">
        <v>149</v>
      </c>
      <c r="Z14" s="295"/>
      <c r="AA14" s="295"/>
      <c r="AB14" s="295"/>
      <c r="AC14" s="295"/>
      <c r="AD14" s="295"/>
      <c r="AE14" s="296"/>
    </row>
    <row r="15" spans="2:31" ht="15" x14ac:dyDescent="0.2">
      <c r="B15" s="17" t="s">
        <v>51</v>
      </c>
      <c r="C15" s="51">
        <v>562</v>
      </c>
      <c r="D15" s="64">
        <f t="shared" si="1"/>
        <v>8.6795366795366799E-2</v>
      </c>
      <c r="E15" s="6"/>
      <c r="F15" s="51">
        <v>750</v>
      </c>
      <c r="G15" s="64">
        <f t="shared" si="2"/>
        <v>0.1114247511513891</v>
      </c>
      <c r="H15" s="6"/>
      <c r="I15" s="51">
        <v>995</v>
      </c>
      <c r="J15" s="57">
        <f t="shared" si="3"/>
        <v>0.10191539485813787</v>
      </c>
      <c r="K15" s="6"/>
      <c r="L15" s="51">
        <v>1448</v>
      </c>
      <c r="M15" s="57">
        <f t="shared" si="4"/>
        <v>8.81100158208592E-2</v>
      </c>
      <c r="N15" s="6"/>
      <c r="O15" s="51">
        <v>2336</v>
      </c>
      <c r="P15" s="64">
        <f t="shared" si="5"/>
        <v>9.8978856828100509E-2</v>
      </c>
      <c r="Q15" s="7"/>
      <c r="R15" s="83" t="s">
        <v>119</v>
      </c>
      <c r="S15" s="64">
        <f>AVERAGE(J15,M15,P15)</f>
        <v>9.6334755835699212E-2</v>
      </c>
      <c r="T15" s="13">
        <f>$S$15*T9</f>
        <v>2614.6360583500873</v>
      </c>
      <c r="U15" s="51">
        <f t="shared" ref="U15:X15" si="9">$S$15*U9</f>
        <v>3006.8314671026005</v>
      </c>
      <c r="V15" s="51">
        <f t="shared" si="9"/>
        <v>3457.8561871679899</v>
      </c>
      <c r="W15" s="51">
        <f t="shared" si="9"/>
        <v>3976.5346152431885</v>
      </c>
      <c r="X15" s="13">
        <f t="shared" si="9"/>
        <v>4573.0148075296656</v>
      </c>
      <c r="Y15" s="271" t="s">
        <v>147</v>
      </c>
      <c r="Z15" s="272"/>
      <c r="AA15" s="272"/>
      <c r="AB15" s="272"/>
      <c r="AC15" s="272"/>
      <c r="AD15" s="272"/>
      <c r="AE15" s="273"/>
    </row>
    <row r="16" spans="2:31" ht="15" x14ac:dyDescent="0.2">
      <c r="B16" s="18" t="s">
        <v>64</v>
      </c>
      <c r="C16" s="52">
        <v>0</v>
      </c>
      <c r="D16" s="70">
        <f t="shared" si="1"/>
        <v>0</v>
      </c>
      <c r="E16" s="19"/>
      <c r="F16" s="52">
        <v>0</v>
      </c>
      <c r="G16" s="71">
        <f t="shared" si="2"/>
        <v>0</v>
      </c>
      <c r="H16" s="19"/>
      <c r="I16" s="52">
        <v>0</v>
      </c>
      <c r="J16" s="72">
        <f t="shared" si="3"/>
        <v>0</v>
      </c>
      <c r="K16" s="19"/>
      <c r="L16" s="52">
        <v>0</v>
      </c>
      <c r="M16" s="52">
        <f t="shared" si="4"/>
        <v>0</v>
      </c>
      <c r="N16" s="19"/>
      <c r="O16" s="52">
        <v>2100</v>
      </c>
      <c r="P16" s="66">
        <f t="shared" si="5"/>
        <v>8.8979280538960218E-2</v>
      </c>
      <c r="Q16" s="20"/>
      <c r="R16" s="84" t="s">
        <v>126</v>
      </c>
      <c r="S16" s="84">
        <v>2100</v>
      </c>
      <c r="T16" s="10">
        <v>2100</v>
      </c>
      <c r="U16" s="52">
        <v>2100</v>
      </c>
      <c r="V16" s="52">
        <v>2100</v>
      </c>
      <c r="W16" s="52">
        <v>2100</v>
      </c>
      <c r="X16" s="10">
        <v>2100</v>
      </c>
      <c r="Y16" s="294" t="s">
        <v>150</v>
      </c>
      <c r="Z16" s="295"/>
      <c r="AA16" s="295"/>
      <c r="AB16" s="295"/>
      <c r="AC16" s="295"/>
      <c r="AD16" s="295"/>
      <c r="AE16" s="296"/>
    </row>
    <row r="17" spans="2:45" ht="15" x14ac:dyDescent="0.2">
      <c r="B17" s="17" t="s">
        <v>52</v>
      </c>
      <c r="C17" s="51">
        <v>0</v>
      </c>
      <c r="D17" s="68">
        <f t="shared" si="1"/>
        <v>0</v>
      </c>
      <c r="E17" s="6"/>
      <c r="F17" s="51">
        <v>-60</v>
      </c>
      <c r="G17" s="64">
        <f t="shared" si="2"/>
        <v>-8.9139800921111279E-3</v>
      </c>
      <c r="H17" s="6"/>
      <c r="I17" s="51">
        <v>0</v>
      </c>
      <c r="J17" s="69">
        <f t="shared" si="3"/>
        <v>0</v>
      </c>
      <c r="K17" s="6"/>
      <c r="L17" s="51">
        <v>-12</v>
      </c>
      <c r="M17" s="55">
        <f t="shared" si="4"/>
        <v>-7.3019350127783865E-4</v>
      </c>
      <c r="N17" s="6"/>
      <c r="O17" s="51">
        <v>-102</v>
      </c>
      <c r="P17" s="73">
        <f t="shared" si="5"/>
        <v>-4.32185076903521E-3</v>
      </c>
      <c r="Q17" s="7"/>
      <c r="R17" s="83" t="s">
        <v>127</v>
      </c>
      <c r="S17" s="83">
        <v>0</v>
      </c>
      <c r="T17" s="13">
        <v>0</v>
      </c>
      <c r="U17" s="51">
        <v>0</v>
      </c>
      <c r="V17" s="51">
        <v>0</v>
      </c>
      <c r="W17" s="51">
        <v>0</v>
      </c>
      <c r="X17" s="13">
        <v>0</v>
      </c>
      <c r="Y17" s="271" t="s">
        <v>151</v>
      </c>
      <c r="Z17" s="272"/>
      <c r="AA17" s="272"/>
      <c r="AB17" s="272"/>
      <c r="AC17" s="272"/>
      <c r="AD17" s="272"/>
      <c r="AE17" s="273"/>
    </row>
    <row r="18" spans="2:45" ht="15" x14ac:dyDescent="0.2">
      <c r="B18" s="18" t="s">
        <v>53</v>
      </c>
      <c r="C18" s="52">
        <v>451</v>
      </c>
      <c r="D18" s="66">
        <f t="shared" si="1"/>
        <v>6.9652509652509659E-2</v>
      </c>
      <c r="E18" s="19"/>
      <c r="F18" s="52">
        <v>631</v>
      </c>
      <c r="G18" s="66">
        <f t="shared" si="2"/>
        <v>9.3745357302035356E-2</v>
      </c>
      <c r="H18" s="19"/>
      <c r="I18" s="52">
        <v>1369</v>
      </c>
      <c r="J18" s="58">
        <f t="shared" si="3"/>
        <v>0.14022329202089523</v>
      </c>
      <c r="K18" s="19"/>
      <c r="L18" s="52">
        <v>3648</v>
      </c>
      <c r="M18" s="58">
        <f t="shared" si="4"/>
        <v>0.22197882438846295</v>
      </c>
      <c r="N18" s="19"/>
      <c r="O18" s="52">
        <v>1264</v>
      </c>
      <c r="P18" s="66">
        <f t="shared" si="5"/>
        <v>5.3557052667259859E-2</v>
      </c>
      <c r="Q18" s="20"/>
      <c r="R18" s="84"/>
      <c r="S18" s="84"/>
      <c r="T18" s="10">
        <f>T13-T14-T15-T16-T17</f>
        <v>3098.1140950472027</v>
      </c>
      <c r="U18" s="52">
        <f t="shared" ref="U18:X18" si="10">U13-U14-U15-U16-U17</f>
        <v>4657.8312093042805</v>
      </c>
      <c r="V18" s="52">
        <f t="shared" si="10"/>
        <v>6451.5058906999202</v>
      </c>
      <c r="W18" s="52">
        <f t="shared" si="10"/>
        <v>8514.2317743049098</v>
      </c>
      <c r="X18" s="10">
        <f t="shared" si="10"/>
        <v>10886.366540450645</v>
      </c>
      <c r="Y18" s="18"/>
      <c r="Z18" s="19"/>
      <c r="AA18" s="19"/>
      <c r="AB18" s="19"/>
      <c r="AC18" s="19"/>
      <c r="AD18" s="19"/>
      <c r="AE18" s="20"/>
    </row>
    <row r="19" spans="2:45" ht="15" x14ac:dyDescent="0.2">
      <c r="B19" s="207" t="s">
        <v>54</v>
      </c>
      <c r="C19" s="208">
        <v>-121</v>
      </c>
      <c r="D19" s="213">
        <f t="shared" si="1"/>
        <v>-1.8687258687258686E-2</v>
      </c>
      <c r="E19" s="216"/>
      <c r="F19" s="208">
        <v>-94</v>
      </c>
      <c r="G19" s="217">
        <f t="shared" si="2"/>
        <v>-1.3965235477640767E-2</v>
      </c>
      <c r="H19" s="216"/>
      <c r="I19" s="208">
        <v>-47</v>
      </c>
      <c r="J19" s="218">
        <f t="shared" si="3"/>
        <v>-4.8140940284748541E-3</v>
      </c>
      <c r="K19" s="216"/>
      <c r="L19" s="208">
        <v>-34</v>
      </c>
      <c r="M19" s="218">
        <f t="shared" si="4"/>
        <v>-2.068881586953876E-3</v>
      </c>
      <c r="N19" s="216"/>
      <c r="O19" s="208">
        <v>-88</v>
      </c>
      <c r="P19" s="217">
        <f t="shared" si="5"/>
        <v>-3.7286555654421423E-3</v>
      </c>
      <c r="Q19" s="214"/>
      <c r="R19" s="210" t="s">
        <v>125</v>
      </c>
      <c r="S19" s="215">
        <v>4.1599999999999998E-2</v>
      </c>
      <c r="T19" s="212">
        <f ca="1">-'Support tab'!F74-$S$19*T59</f>
        <v>-81.543749999999989</v>
      </c>
      <c r="U19" s="212">
        <f ca="1">-'Support tab'!G74-$S$19*U59</f>
        <v>-59.418750000000003</v>
      </c>
      <c r="V19" s="212">
        <f ca="1">-'Support tab'!H74-$S$19*V59</f>
        <v>-59.418750000000003</v>
      </c>
      <c r="W19" s="212">
        <f ca="1">-'Support tab'!I74-$S$19*W59</f>
        <v>-59.397499999999994</v>
      </c>
      <c r="X19" s="212">
        <f ca="1">-'Support tab'!J74-$S$19*X59</f>
        <v>-59.397499999999994</v>
      </c>
      <c r="Y19" s="348" t="s">
        <v>152</v>
      </c>
      <c r="Z19" s="349"/>
      <c r="AA19" s="349"/>
      <c r="AB19" s="349"/>
      <c r="AC19" s="349"/>
      <c r="AD19" s="349"/>
      <c r="AE19" s="350"/>
      <c r="AF19" s="347" t="s">
        <v>400</v>
      </c>
      <c r="AG19" s="292"/>
      <c r="AH19" s="292"/>
      <c r="AI19" s="292"/>
      <c r="AJ19" s="292"/>
      <c r="AK19" s="292"/>
      <c r="AL19" s="292"/>
      <c r="AM19" s="292"/>
      <c r="AN19" s="292"/>
      <c r="AO19" s="292"/>
      <c r="AP19" s="292"/>
      <c r="AQ19" s="292"/>
      <c r="AR19" s="292"/>
      <c r="AS19" s="292"/>
    </row>
    <row r="20" spans="2:45" ht="15" x14ac:dyDescent="0.2">
      <c r="B20" s="18" t="s">
        <v>55</v>
      </c>
      <c r="C20" s="52">
        <v>0</v>
      </c>
      <c r="D20" s="70">
        <f t="shared" si="1"/>
        <v>0</v>
      </c>
      <c r="E20" s="19"/>
      <c r="F20" s="52">
        <v>-165</v>
      </c>
      <c r="G20" s="74">
        <f t="shared" si="2"/>
        <v>-2.45134452533056E-2</v>
      </c>
      <c r="H20" s="19"/>
      <c r="I20" s="52">
        <v>-47</v>
      </c>
      <c r="J20" s="56">
        <f t="shared" si="3"/>
        <v>-4.8140940284748541E-3</v>
      </c>
      <c r="K20" s="19"/>
      <c r="L20" s="52">
        <v>55</v>
      </c>
      <c r="M20" s="56">
        <f t="shared" si="4"/>
        <v>3.3467202141900937E-3</v>
      </c>
      <c r="N20" s="19"/>
      <c r="O20" s="52">
        <v>8</v>
      </c>
      <c r="P20" s="75">
        <f t="shared" si="5"/>
        <v>3.3896868776746747E-4</v>
      </c>
      <c r="Q20" s="20"/>
      <c r="R20" s="84" t="s">
        <v>119</v>
      </c>
      <c r="S20" s="105">
        <v>0.05</v>
      </c>
      <c r="T20" s="10">
        <f>'Support tab'!F80</f>
        <v>122</v>
      </c>
      <c r="U20" s="10">
        <f>'Support tab'!G80</f>
        <v>122</v>
      </c>
      <c r="V20" s="10">
        <f>'Support tab'!H80</f>
        <v>122</v>
      </c>
      <c r="W20" s="10">
        <f>'Support tab'!I80</f>
        <v>122</v>
      </c>
      <c r="X20" s="10">
        <f>'Support tab'!J80</f>
        <v>122</v>
      </c>
      <c r="Y20" s="294" t="s">
        <v>153</v>
      </c>
      <c r="Z20" s="295"/>
      <c r="AA20" s="295"/>
      <c r="AB20" s="295"/>
      <c r="AC20" s="295"/>
      <c r="AD20" s="295"/>
      <c r="AE20" s="296"/>
      <c r="AF20" s="196"/>
    </row>
    <row r="21" spans="2:45" ht="15" x14ac:dyDescent="0.2">
      <c r="B21" s="17" t="s">
        <v>56</v>
      </c>
      <c r="C21" s="51">
        <v>330</v>
      </c>
      <c r="D21" s="64">
        <f t="shared" si="1"/>
        <v>5.0965250965250966E-2</v>
      </c>
      <c r="E21" s="6"/>
      <c r="F21" s="51">
        <v>372</v>
      </c>
      <c r="G21" s="64">
        <f t="shared" si="2"/>
        <v>5.5266676571088989E-2</v>
      </c>
      <c r="H21" s="6"/>
      <c r="I21" s="51">
        <v>1275</v>
      </c>
      <c r="J21" s="57">
        <f t="shared" si="3"/>
        <v>0.1305951039639455</v>
      </c>
      <c r="K21" s="6"/>
      <c r="L21" s="51">
        <v>3669</v>
      </c>
      <c r="M21" s="57">
        <f t="shared" si="4"/>
        <v>0.22325666301569916</v>
      </c>
      <c r="N21" s="6"/>
      <c r="O21" s="51">
        <v>1184</v>
      </c>
      <c r="P21" s="64">
        <f t="shared" si="5"/>
        <v>5.0167365789585187E-2</v>
      </c>
      <c r="Q21" s="7"/>
      <c r="R21" s="83"/>
      <c r="S21" s="83"/>
      <c r="T21" s="13">
        <f ca="1">T18+T19+T20</f>
        <v>3138.5703450472029</v>
      </c>
      <c r="U21" s="13">
        <f t="shared" ref="U21:X21" ca="1" si="11">U18+U19+U20</f>
        <v>4720.4124593042807</v>
      </c>
      <c r="V21" s="13">
        <f t="shared" ca="1" si="11"/>
        <v>6514.0871406999204</v>
      </c>
      <c r="W21" s="13">
        <f t="shared" ca="1" si="11"/>
        <v>8576.8342743049107</v>
      </c>
      <c r="X21" s="13">
        <f t="shared" ca="1" si="11"/>
        <v>10948.969040450645</v>
      </c>
      <c r="Y21" s="17"/>
      <c r="Z21" s="6"/>
      <c r="AA21" s="6"/>
      <c r="AB21" s="6"/>
      <c r="AC21" s="6"/>
      <c r="AD21" s="6"/>
      <c r="AE21" s="7"/>
    </row>
    <row r="22" spans="2:45" ht="15" x14ac:dyDescent="0.2">
      <c r="B22" s="18" t="s">
        <v>57</v>
      </c>
      <c r="C22" s="52">
        <v>-9</v>
      </c>
      <c r="D22" s="75">
        <f t="shared" si="1"/>
        <v>-1.3899613899613899E-3</v>
      </c>
      <c r="E22" s="19"/>
      <c r="F22" s="52">
        <v>31</v>
      </c>
      <c r="G22" s="75">
        <f t="shared" si="2"/>
        <v>4.6055563809240824E-3</v>
      </c>
      <c r="H22" s="19"/>
      <c r="I22" s="52">
        <v>-1210</v>
      </c>
      <c r="J22" s="58">
        <f t="shared" si="3"/>
        <v>-0.12393731435009731</v>
      </c>
      <c r="K22" s="19"/>
      <c r="L22" s="52">
        <v>513</v>
      </c>
      <c r="M22" s="58">
        <f t="shared" si="4"/>
        <v>3.12157721796276E-2</v>
      </c>
      <c r="N22" s="19"/>
      <c r="O22" s="52">
        <v>-122</v>
      </c>
      <c r="P22" s="66">
        <f t="shared" si="5"/>
        <v>-5.1692724884538788E-3</v>
      </c>
      <c r="Q22" s="20"/>
      <c r="R22" s="84" t="s">
        <v>130</v>
      </c>
      <c r="S22" s="58">
        <v>0.14000000000000001</v>
      </c>
      <c r="T22" s="10">
        <f ca="1">$S$22*T21</f>
        <v>439.39984830660842</v>
      </c>
      <c r="U22" s="52">
        <f t="shared" ref="U22:X22" ca="1" si="12">$S$22*U21</f>
        <v>660.85774430259937</v>
      </c>
      <c r="V22" s="52">
        <f t="shared" ca="1" si="12"/>
        <v>911.97219969798891</v>
      </c>
      <c r="W22" s="52">
        <f t="shared" ca="1" si="12"/>
        <v>1200.7567984026875</v>
      </c>
      <c r="X22" s="10">
        <f t="shared" ca="1" si="12"/>
        <v>1532.8556656630906</v>
      </c>
      <c r="Y22" s="300" t="s">
        <v>154</v>
      </c>
      <c r="Z22" s="301"/>
      <c r="AA22" s="301"/>
      <c r="AB22" s="301"/>
      <c r="AC22" s="301"/>
      <c r="AD22" s="301"/>
      <c r="AE22" s="302"/>
    </row>
    <row r="23" spans="2:45" ht="15" x14ac:dyDescent="0.2">
      <c r="B23" s="17" t="s">
        <v>58</v>
      </c>
      <c r="C23" s="51">
        <v>-2</v>
      </c>
      <c r="D23" s="76">
        <f t="shared" si="1"/>
        <v>-3.088803088803089E-4</v>
      </c>
      <c r="E23" s="6"/>
      <c r="F23" s="51">
        <v>0</v>
      </c>
      <c r="G23" s="77">
        <f t="shared" si="2"/>
        <v>0</v>
      </c>
      <c r="H23" s="6"/>
      <c r="I23" s="51">
        <v>5</v>
      </c>
      <c r="J23" s="78">
        <f t="shared" si="3"/>
        <v>5.1213766260370787E-4</v>
      </c>
      <c r="K23" s="6"/>
      <c r="L23" s="51">
        <v>6</v>
      </c>
      <c r="M23" s="78">
        <f t="shared" si="4"/>
        <v>3.6509675063891932E-4</v>
      </c>
      <c r="N23" s="6"/>
      <c r="O23" s="51">
        <v>14</v>
      </c>
      <c r="P23" s="76">
        <f t="shared" si="5"/>
        <v>5.9319520359306811E-4</v>
      </c>
      <c r="Q23" s="7"/>
      <c r="R23" s="83" t="s">
        <v>119</v>
      </c>
      <c r="S23" s="78">
        <f>AVERAGE(J23,M23,P23)</f>
        <v>4.9014320561189845E-4</v>
      </c>
      <c r="T23" s="13">
        <f>$S$23*T9</f>
        <v>13.303050264993377</v>
      </c>
      <c r="U23" s="51">
        <f t="shared" ref="U23:X23" si="13">$S$23*U9</f>
        <v>15.298507804742382</v>
      </c>
      <c r="V23" s="51">
        <f t="shared" si="13"/>
        <v>17.593283975453737</v>
      </c>
      <c r="W23" s="51">
        <f t="shared" si="13"/>
        <v>20.232276571771795</v>
      </c>
      <c r="X23" s="13">
        <f t="shared" si="13"/>
        <v>23.267118057537562</v>
      </c>
      <c r="Y23" s="271" t="s">
        <v>147</v>
      </c>
      <c r="Z23" s="272"/>
      <c r="AA23" s="272"/>
      <c r="AB23" s="272"/>
      <c r="AC23" s="272"/>
      <c r="AD23" s="272"/>
      <c r="AE23" s="273"/>
    </row>
    <row r="24" spans="2:45" ht="15" x14ac:dyDescent="0.2">
      <c r="B24" s="18" t="s">
        <v>59</v>
      </c>
      <c r="C24" s="52">
        <v>337</v>
      </c>
      <c r="D24" s="66">
        <f t="shared" si="1"/>
        <v>5.2046332046332043E-2</v>
      </c>
      <c r="E24" s="19"/>
      <c r="F24" s="52">
        <v>341</v>
      </c>
      <c r="G24" s="66">
        <f t="shared" si="2"/>
        <v>5.0661120190164909E-2</v>
      </c>
      <c r="H24" s="19"/>
      <c r="I24" s="52">
        <v>2490</v>
      </c>
      <c r="J24" s="58">
        <f t="shared" si="3"/>
        <v>0.25504455597664655</v>
      </c>
      <c r="K24" s="19"/>
      <c r="L24" s="52">
        <v>3162</v>
      </c>
      <c r="M24" s="58">
        <f t="shared" si="4"/>
        <v>0.19240598758671049</v>
      </c>
      <c r="N24" s="19"/>
      <c r="O24" s="52">
        <v>1320</v>
      </c>
      <c r="P24" s="66">
        <f t="shared" si="5"/>
        <v>5.5929833481632135E-2</v>
      </c>
      <c r="Q24" s="20"/>
      <c r="R24" s="84"/>
      <c r="S24" s="84"/>
      <c r="T24" s="10">
        <f ca="1">T21-T22-T23</f>
        <v>2685.8674464756009</v>
      </c>
      <c r="U24" s="52">
        <f t="shared" ref="U24:X24" ca="1" si="14">U21-U22-U23</f>
        <v>4044.2562071969392</v>
      </c>
      <c r="V24" s="52">
        <f t="shared" ca="1" si="14"/>
        <v>5584.5216570264774</v>
      </c>
      <c r="W24" s="52">
        <f t="shared" ca="1" si="14"/>
        <v>7355.8451993304516</v>
      </c>
      <c r="X24" s="10">
        <f t="shared" ca="1" si="14"/>
        <v>9392.8462567300176</v>
      </c>
      <c r="Y24" s="18"/>
      <c r="Z24" s="19"/>
      <c r="AA24" s="19"/>
      <c r="AB24" s="19"/>
      <c r="AC24" s="19"/>
      <c r="AD24" s="19"/>
      <c r="AE24" s="20"/>
    </row>
    <row r="25" spans="2:45" ht="15" x14ac:dyDescent="0.2">
      <c r="B25" s="17" t="s">
        <v>60</v>
      </c>
      <c r="C25" s="51"/>
      <c r="D25" s="79"/>
      <c r="E25" s="6"/>
      <c r="F25" s="51"/>
      <c r="G25" s="80"/>
      <c r="H25" s="6"/>
      <c r="I25" s="51"/>
      <c r="J25" s="57"/>
      <c r="K25" s="6"/>
      <c r="L25" s="51"/>
      <c r="M25" s="57"/>
      <c r="N25" s="6"/>
      <c r="O25" s="51"/>
      <c r="P25" s="64"/>
      <c r="Q25" s="7"/>
      <c r="R25" s="83"/>
      <c r="S25" s="83"/>
      <c r="T25" s="13"/>
      <c r="U25" s="51"/>
      <c r="V25" s="51"/>
      <c r="W25" s="51"/>
      <c r="X25" s="13"/>
      <c r="Y25" s="17"/>
      <c r="Z25" s="6"/>
      <c r="AA25" s="6"/>
      <c r="AB25" s="6"/>
      <c r="AC25" s="6"/>
      <c r="AD25" s="6"/>
      <c r="AE25" s="7"/>
    </row>
    <row r="26" spans="2:45" ht="15" x14ac:dyDescent="0.2">
      <c r="B26" s="26" t="s">
        <v>61</v>
      </c>
      <c r="C26" s="53">
        <v>0.34</v>
      </c>
      <c r="D26" s="81"/>
      <c r="E26" s="19"/>
      <c r="F26" s="53">
        <v>0.31</v>
      </c>
      <c r="G26" s="82"/>
      <c r="H26" s="19"/>
      <c r="I26" s="53">
        <v>2.1</v>
      </c>
      <c r="J26" s="58"/>
      <c r="K26" s="19"/>
      <c r="L26" s="53">
        <v>2.61</v>
      </c>
      <c r="M26" s="58"/>
      <c r="N26" s="19"/>
      <c r="O26" s="53">
        <v>0.85</v>
      </c>
      <c r="P26" s="66"/>
      <c r="Q26" s="20"/>
      <c r="R26" s="84"/>
      <c r="S26" s="84"/>
      <c r="T26" s="28">
        <f ca="1">T24/T29</f>
        <v>1.6892248091041515</v>
      </c>
      <c r="U26" s="53">
        <f t="shared" ref="U26:X26" ca="1" si="15">U24/U29</f>
        <v>2.543557363016943</v>
      </c>
      <c r="V26" s="53">
        <f t="shared" ca="1" si="15"/>
        <v>3.5122777717147655</v>
      </c>
      <c r="W26" s="53">
        <f t="shared" ca="1" si="15"/>
        <v>4.626317735427957</v>
      </c>
      <c r="X26" s="28">
        <f t="shared" ca="1" si="15"/>
        <v>5.9074504759308288</v>
      </c>
      <c r="Y26" s="300" t="s">
        <v>155</v>
      </c>
      <c r="Z26" s="301"/>
      <c r="AA26" s="301"/>
      <c r="AB26" s="301"/>
      <c r="AC26" s="301"/>
      <c r="AD26" s="301"/>
      <c r="AE26" s="302"/>
    </row>
    <row r="27" spans="2:45" ht="15" x14ac:dyDescent="0.2">
      <c r="B27" s="29" t="s">
        <v>62</v>
      </c>
      <c r="C27" s="54">
        <v>0.32</v>
      </c>
      <c r="D27" s="79"/>
      <c r="E27" s="6"/>
      <c r="F27" s="54">
        <v>0.3</v>
      </c>
      <c r="G27" s="80"/>
      <c r="H27" s="6"/>
      <c r="I27" s="54">
        <v>2.06</v>
      </c>
      <c r="J27" s="57"/>
      <c r="K27" s="6"/>
      <c r="L27" s="54">
        <v>2.57</v>
      </c>
      <c r="M27" s="57"/>
      <c r="N27" s="6"/>
      <c r="O27" s="54">
        <v>0.84</v>
      </c>
      <c r="P27" s="64"/>
      <c r="Q27" s="7"/>
      <c r="R27" s="83"/>
      <c r="S27" s="83"/>
      <c r="T27" s="31">
        <f ca="1">T24/T30</f>
        <v>1.6786671540472506</v>
      </c>
      <c r="U27" s="54">
        <f t="shared" ref="U27:X27" ca="1" si="16">U24/U30</f>
        <v>2.5276601294980869</v>
      </c>
      <c r="V27" s="54">
        <f t="shared" ca="1" si="16"/>
        <v>3.4903260356415484</v>
      </c>
      <c r="W27" s="54">
        <f t="shared" ca="1" si="16"/>
        <v>4.5974032495815322</v>
      </c>
      <c r="X27" s="31">
        <f t="shared" ca="1" si="16"/>
        <v>5.8705289104562608</v>
      </c>
      <c r="Y27" s="271" t="s">
        <v>156</v>
      </c>
      <c r="Z27" s="272"/>
      <c r="AA27" s="272"/>
      <c r="AB27" s="272"/>
      <c r="AC27" s="272"/>
      <c r="AD27" s="272"/>
      <c r="AE27" s="273"/>
    </row>
    <row r="28" spans="2:45" ht="15" x14ac:dyDescent="0.2">
      <c r="B28" s="18" t="s">
        <v>63</v>
      </c>
      <c r="C28" s="52"/>
      <c r="D28" s="81"/>
      <c r="E28" s="19"/>
      <c r="F28" s="52"/>
      <c r="G28" s="82"/>
      <c r="H28" s="19"/>
      <c r="I28" s="52"/>
      <c r="J28" s="58"/>
      <c r="K28" s="19"/>
      <c r="L28" s="52"/>
      <c r="M28" s="58"/>
      <c r="N28" s="19"/>
      <c r="O28" s="52"/>
      <c r="P28" s="66"/>
      <c r="Q28" s="20"/>
      <c r="R28" s="84"/>
      <c r="S28" s="84"/>
      <c r="T28" s="10"/>
      <c r="U28" s="52"/>
      <c r="V28" s="52"/>
      <c r="W28" s="52"/>
      <c r="X28" s="10"/>
      <c r="Y28" s="18"/>
      <c r="Z28" s="19"/>
      <c r="AA28" s="19"/>
      <c r="AB28" s="19"/>
      <c r="AC28" s="19"/>
      <c r="AD28" s="19"/>
      <c r="AE28" s="20"/>
    </row>
    <row r="29" spans="2:45" ht="15" x14ac:dyDescent="0.2">
      <c r="B29" s="29" t="s">
        <v>61</v>
      </c>
      <c r="C29" s="51">
        <v>982</v>
      </c>
      <c r="D29" s="79"/>
      <c r="E29" s="6"/>
      <c r="F29" s="51">
        <v>1091</v>
      </c>
      <c r="G29" s="80"/>
      <c r="H29" s="6"/>
      <c r="I29" s="51">
        <v>1184</v>
      </c>
      <c r="J29" s="57"/>
      <c r="K29" s="6"/>
      <c r="L29" s="51">
        <v>1213</v>
      </c>
      <c r="M29" s="57"/>
      <c r="N29" s="6"/>
      <c r="O29" s="51">
        <v>1561</v>
      </c>
      <c r="P29" s="64"/>
      <c r="Q29" s="7"/>
      <c r="R29" s="83" t="s">
        <v>127</v>
      </c>
      <c r="S29" s="83">
        <v>1590</v>
      </c>
      <c r="T29" s="7">
        <v>1590</v>
      </c>
      <c r="U29" s="83">
        <v>1590</v>
      </c>
      <c r="V29" s="83">
        <v>1590</v>
      </c>
      <c r="W29" s="83">
        <v>1590</v>
      </c>
      <c r="X29" s="7">
        <v>1590</v>
      </c>
      <c r="Y29" s="289" t="s">
        <v>157</v>
      </c>
      <c r="Z29" s="290"/>
      <c r="AA29" s="290"/>
      <c r="AB29" s="290"/>
      <c r="AC29" s="290"/>
      <c r="AD29" s="290"/>
      <c r="AE29" s="303"/>
    </row>
    <row r="30" spans="2:45" ht="15" x14ac:dyDescent="0.2">
      <c r="B30" s="26" t="s">
        <v>62</v>
      </c>
      <c r="C30" s="52">
        <v>1064</v>
      </c>
      <c r="D30" s="81"/>
      <c r="E30" s="19"/>
      <c r="F30" s="52">
        <v>1120</v>
      </c>
      <c r="G30" s="82"/>
      <c r="H30" s="19"/>
      <c r="I30" s="52">
        <v>1207</v>
      </c>
      <c r="J30" s="58"/>
      <c r="K30" s="19"/>
      <c r="L30" s="52">
        <v>1229</v>
      </c>
      <c r="M30" s="58"/>
      <c r="N30" s="19"/>
      <c r="O30" s="52">
        <v>1571</v>
      </c>
      <c r="P30" s="66"/>
      <c r="Q30" s="20"/>
      <c r="R30" s="84" t="s">
        <v>127</v>
      </c>
      <c r="S30" s="84">
        <v>1600</v>
      </c>
      <c r="T30" s="20">
        <v>1600</v>
      </c>
      <c r="U30" s="84">
        <v>1600</v>
      </c>
      <c r="V30" s="84">
        <v>1600</v>
      </c>
      <c r="W30" s="84">
        <v>1600</v>
      </c>
      <c r="X30" s="20">
        <v>1600</v>
      </c>
      <c r="Y30" s="289"/>
      <c r="Z30" s="290"/>
      <c r="AA30" s="290"/>
      <c r="AB30" s="290"/>
      <c r="AC30" s="290"/>
      <c r="AD30" s="290"/>
      <c r="AE30" s="303"/>
    </row>
    <row r="31" spans="2:45" ht="15" x14ac:dyDescent="0.2">
      <c r="B31" s="100"/>
      <c r="C31" s="96"/>
      <c r="D31" s="96"/>
      <c r="E31" s="96"/>
      <c r="F31" s="96"/>
      <c r="G31" s="100"/>
      <c r="H31" s="96"/>
      <c r="I31" s="96"/>
      <c r="J31" s="96"/>
      <c r="K31" s="96"/>
      <c r="L31" s="96"/>
      <c r="M31" s="96"/>
      <c r="N31" s="96"/>
      <c r="O31" s="96"/>
      <c r="P31" s="96"/>
      <c r="Q31" s="101"/>
      <c r="R31" s="96"/>
      <c r="S31" s="96"/>
      <c r="T31" s="23"/>
      <c r="U31" s="85"/>
      <c r="V31" s="85"/>
      <c r="W31" s="85"/>
      <c r="X31" s="23"/>
      <c r="Y31" s="106"/>
      <c r="Z31" s="107"/>
      <c r="AA31" s="107"/>
      <c r="AB31" s="107"/>
      <c r="AC31" s="107"/>
      <c r="AD31" s="107"/>
      <c r="AE31" s="108"/>
    </row>
    <row r="32" spans="2:45" ht="15" x14ac:dyDescent="0.2">
      <c r="B32" s="14" t="s">
        <v>233</v>
      </c>
      <c r="C32" s="84"/>
      <c r="D32" s="84"/>
      <c r="E32" s="84"/>
      <c r="F32" s="84"/>
      <c r="G32" s="18"/>
      <c r="H32" s="84"/>
      <c r="I32" s="84"/>
      <c r="J32" s="84"/>
      <c r="K32" s="84"/>
      <c r="L32" s="84"/>
      <c r="M32" s="84"/>
      <c r="N32" s="84"/>
      <c r="O32" s="84"/>
      <c r="P32" s="84"/>
      <c r="Q32" s="20"/>
      <c r="R32" s="84"/>
      <c r="S32" s="84"/>
      <c r="T32" s="10"/>
      <c r="U32" s="52"/>
      <c r="V32" s="52"/>
      <c r="W32" s="52"/>
      <c r="X32" s="10"/>
      <c r="Y32" s="18"/>
      <c r="Z32" s="19"/>
      <c r="AA32" s="19"/>
      <c r="AB32" s="19"/>
      <c r="AC32" s="19"/>
      <c r="AD32" s="19"/>
      <c r="AE32" s="20"/>
    </row>
    <row r="33" spans="2:31" ht="15" x14ac:dyDescent="0.2">
      <c r="B33" s="5" t="s">
        <v>7</v>
      </c>
      <c r="C33" s="83"/>
      <c r="D33" s="83"/>
      <c r="E33" s="83"/>
      <c r="F33" s="83"/>
      <c r="G33" s="17"/>
      <c r="H33" s="83"/>
      <c r="I33" s="83"/>
      <c r="J33" s="83"/>
      <c r="K33" s="83"/>
      <c r="L33" s="83"/>
      <c r="M33" s="83"/>
      <c r="N33" s="83"/>
      <c r="O33" s="7"/>
      <c r="P33" s="83"/>
      <c r="Q33" s="7"/>
      <c r="R33" s="83"/>
      <c r="S33" s="83"/>
      <c r="T33" s="13"/>
      <c r="U33" s="51"/>
      <c r="V33" s="51"/>
      <c r="W33" s="51"/>
      <c r="X33" s="13"/>
      <c r="Y33" s="106"/>
      <c r="Z33" s="107"/>
      <c r="AA33" s="107"/>
      <c r="AB33" s="107"/>
      <c r="AC33" s="107"/>
      <c r="AD33" s="107"/>
      <c r="AE33" s="108"/>
    </row>
    <row r="34" spans="2:31" ht="15" x14ac:dyDescent="0.2">
      <c r="B34" s="132" t="s">
        <v>8</v>
      </c>
      <c r="C34" s="126">
        <v>1156</v>
      </c>
      <c r="D34" s="127">
        <f>C34/$C$9</f>
        <v>0.17853281853281852</v>
      </c>
      <c r="E34" s="128"/>
      <c r="F34" s="126">
        <v>1503</v>
      </c>
      <c r="G34" s="129">
        <f>F34/$F$9</f>
        <v>0.22329520130738376</v>
      </c>
      <c r="H34" s="128"/>
      <c r="I34" s="126">
        <v>2290</v>
      </c>
      <c r="J34" s="127">
        <f>I34/$I$9</f>
        <v>0.2345590494724982</v>
      </c>
      <c r="K34" s="128"/>
      <c r="L34" s="126">
        <v>3608</v>
      </c>
      <c r="M34" s="127">
        <f>L34/$L$9</f>
        <v>0.21954484605087016</v>
      </c>
      <c r="N34" s="128"/>
      <c r="O34" s="130">
        <v>5855</v>
      </c>
      <c r="P34" s="127">
        <f>O34/$O$9</f>
        <v>0.24808270835981527</v>
      </c>
      <c r="Q34" s="131"/>
      <c r="R34" s="128" t="s">
        <v>129</v>
      </c>
      <c r="S34" s="128">
        <v>1500</v>
      </c>
      <c r="T34" s="130">
        <f ca="1">IF(T73&lt;-$S$34,-T73,$S$34)</f>
        <v>8958.3659468197729</v>
      </c>
      <c r="U34" s="130">
        <f t="shared" ref="U34:X34" ca="1" si="17">IF(U73&lt;-$S$34,-U73,$S$34)</f>
        <v>11911.659741568335</v>
      </c>
      <c r="V34" s="130">
        <f t="shared" ca="1" si="17"/>
        <v>17059.137436779187</v>
      </c>
      <c r="W34" s="130">
        <f t="shared" ca="1" si="17"/>
        <v>23864.216142521662</v>
      </c>
      <c r="X34" s="130">
        <f t="shared" ca="1" si="17"/>
        <v>32575.390556625498</v>
      </c>
      <c r="Y34" s="304" t="s">
        <v>158</v>
      </c>
      <c r="Z34" s="305"/>
      <c r="AA34" s="305"/>
      <c r="AB34" s="305"/>
      <c r="AC34" s="305"/>
      <c r="AD34" s="305"/>
      <c r="AE34" s="306"/>
    </row>
    <row r="35" spans="2:31" ht="15" x14ac:dyDescent="0.2">
      <c r="B35" s="11" t="s">
        <v>9</v>
      </c>
      <c r="C35" s="51">
        <v>1235</v>
      </c>
      <c r="D35" s="64">
        <f t="shared" ref="D35:D69" si="18">C35/$C$9</f>
        <v>0.19073359073359072</v>
      </c>
      <c r="E35" s="83"/>
      <c r="F35" s="51">
        <v>1859</v>
      </c>
      <c r="G35" s="110">
        <f t="shared" ref="G35:G69" si="19">F35/$F$9</f>
        <v>0.27618481652057641</v>
      </c>
      <c r="H35" s="83"/>
      <c r="I35" s="51">
        <v>2066</v>
      </c>
      <c r="J35" s="64">
        <f t="shared" ref="J35:J69" si="20">I35/$I$9</f>
        <v>0.21161528218785208</v>
      </c>
      <c r="K35" s="83"/>
      <c r="L35" s="51">
        <v>2706</v>
      </c>
      <c r="M35" s="64">
        <f t="shared" ref="M35:M69" si="21">L35/$L$9</f>
        <v>0.1646586345381526</v>
      </c>
      <c r="N35" s="83"/>
      <c r="O35" s="13">
        <v>4126</v>
      </c>
      <c r="P35" s="64">
        <f t="shared" ref="P35:P69" si="22">O35/$O$9</f>
        <v>0.17482310071607135</v>
      </c>
      <c r="Q35" s="7"/>
      <c r="R35" s="83" t="s">
        <v>119</v>
      </c>
      <c r="S35" s="57">
        <f>AVERAGE(J35,M35,P35)</f>
        <v>0.18369900581402535</v>
      </c>
      <c r="T35" s="13">
        <f>$S$35*T9</f>
        <v>4985.8022716493333</v>
      </c>
      <c r="U35" s="51">
        <f t="shared" ref="U35:X35" si="23">$S$35*U9</f>
        <v>5733.6726123967328</v>
      </c>
      <c r="V35" s="51">
        <f t="shared" si="23"/>
        <v>6593.7235042562424</v>
      </c>
      <c r="W35" s="51">
        <f t="shared" si="23"/>
        <v>7582.7820298946781</v>
      </c>
      <c r="X35" s="13">
        <f t="shared" si="23"/>
        <v>8720.1993343788781</v>
      </c>
      <c r="Y35" s="307" t="s">
        <v>147</v>
      </c>
      <c r="Z35" s="308"/>
      <c r="AA35" s="308"/>
      <c r="AB35" s="308"/>
      <c r="AC35" s="308"/>
      <c r="AD35" s="308"/>
      <c r="AE35" s="309"/>
    </row>
    <row r="36" spans="2:31" ht="15" x14ac:dyDescent="0.2">
      <c r="B36" s="8" t="s">
        <v>10</v>
      </c>
      <c r="C36" s="52">
        <v>845</v>
      </c>
      <c r="D36" s="66">
        <f t="shared" si="18"/>
        <v>0.13050193050193051</v>
      </c>
      <c r="E36" s="84"/>
      <c r="F36" s="52">
        <v>982</v>
      </c>
      <c r="G36" s="109">
        <f t="shared" si="19"/>
        <v>0.14589214084088545</v>
      </c>
      <c r="H36" s="84"/>
      <c r="I36" s="52">
        <v>1399</v>
      </c>
      <c r="J36" s="66">
        <f t="shared" si="20"/>
        <v>0.14329611799651745</v>
      </c>
      <c r="K36" s="84"/>
      <c r="L36" s="52">
        <v>1955</v>
      </c>
      <c r="M36" s="66">
        <f t="shared" si="21"/>
        <v>0.11896069124984787</v>
      </c>
      <c r="N36" s="84"/>
      <c r="O36" s="10">
        <v>3771</v>
      </c>
      <c r="P36" s="66">
        <f t="shared" si="22"/>
        <v>0.15978136519639</v>
      </c>
      <c r="Q36" s="20"/>
      <c r="R36" s="84" t="s">
        <v>119</v>
      </c>
      <c r="S36" s="58">
        <f>AVERAGE(J36,M36,P36)</f>
        <v>0.14067939148091843</v>
      </c>
      <c r="T36" s="10">
        <f>$S$36*T9</f>
        <v>3818.200466092329</v>
      </c>
      <c r="U36" s="52">
        <f t="shared" ref="U36:X36" si="24">$S$36*U9</f>
        <v>4390.930536006178</v>
      </c>
      <c r="V36" s="52">
        <f t="shared" si="24"/>
        <v>5049.5701164071043</v>
      </c>
      <c r="W36" s="52">
        <f t="shared" si="24"/>
        <v>5807.0056338681698</v>
      </c>
      <c r="X36" s="10">
        <f t="shared" si="24"/>
        <v>6678.0564789483942</v>
      </c>
      <c r="Y36" s="300" t="s">
        <v>147</v>
      </c>
      <c r="Z36" s="301"/>
      <c r="AA36" s="301"/>
      <c r="AB36" s="301"/>
      <c r="AC36" s="301"/>
      <c r="AD36" s="301"/>
      <c r="AE36" s="302"/>
    </row>
    <row r="37" spans="2:31" ht="15" x14ac:dyDescent="0.2">
      <c r="B37" s="11" t="s">
        <v>11</v>
      </c>
      <c r="C37" s="51">
        <v>34</v>
      </c>
      <c r="D37" s="64">
        <f t="shared" si="18"/>
        <v>5.250965250965251E-3</v>
      </c>
      <c r="E37" s="83"/>
      <c r="F37" s="51">
        <v>20</v>
      </c>
      <c r="G37" s="111">
        <f t="shared" si="19"/>
        <v>2.9713266973703757E-3</v>
      </c>
      <c r="H37" s="83"/>
      <c r="I37" s="51">
        <v>10</v>
      </c>
      <c r="J37" s="73">
        <f t="shared" si="20"/>
        <v>1.0242753252074157E-3</v>
      </c>
      <c r="K37" s="83"/>
      <c r="L37" s="51">
        <v>2</v>
      </c>
      <c r="M37" s="76">
        <f t="shared" si="21"/>
        <v>1.2169891687963977E-4</v>
      </c>
      <c r="N37" s="83"/>
      <c r="O37" s="13">
        <v>2</v>
      </c>
      <c r="P37" s="76">
        <f t="shared" si="22"/>
        <v>8.4742171941866868E-5</v>
      </c>
      <c r="Q37" s="7"/>
      <c r="R37" s="83" t="s">
        <v>119</v>
      </c>
      <c r="S37" s="78">
        <v>1E-4</v>
      </c>
      <c r="T37" s="13">
        <f>$S$37*T9</f>
        <v>2.7141150000000001</v>
      </c>
      <c r="U37" s="51">
        <f t="shared" ref="U37:X37" si="25">$S$37*U9</f>
        <v>3.1212322499999998</v>
      </c>
      <c r="V37" s="51">
        <f t="shared" si="25"/>
        <v>3.5894170874999989</v>
      </c>
      <c r="W37" s="51">
        <f t="shared" si="25"/>
        <v>4.1278296506249985</v>
      </c>
      <c r="X37" s="13">
        <f t="shared" si="25"/>
        <v>4.7470040982187482</v>
      </c>
      <c r="Y37" s="307" t="s">
        <v>147</v>
      </c>
      <c r="Z37" s="308"/>
      <c r="AA37" s="308"/>
      <c r="AB37" s="308"/>
      <c r="AC37" s="308"/>
      <c r="AD37" s="308"/>
      <c r="AE37" s="309"/>
    </row>
    <row r="38" spans="2:31" ht="15" x14ac:dyDescent="0.2">
      <c r="B38" s="8" t="s">
        <v>12</v>
      </c>
      <c r="C38" s="59">
        <v>270</v>
      </c>
      <c r="D38" s="112">
        <f t="shared" si="18"/>
        <v>4.16988416988417E-2</v>
      </c>
      <c r="E38" s="113"/>
      <c r="F38" s="59">
        <v>233</v>
      </c>
      <c r="G38" s="114">
        <f t="shared" si="19"/>
        <v>3.4615956024364881E-2</v>
      </c>
      <c r="H38" s="113"/>
      <c r="I38" s="59">
        <v>378</v>
      </c>
      <c r="J38" s="112">
        <f t="shared" si="20"/>
        <v>3.8717607292840316E-2</v>
      </c>
      <c r="K38" s="113"/>
      <c r="L38" s="59">
        <v>312</v>
      </c>
      <c r="M38" s="112">
        <f t="shared" si="21"/>
        <v>1.8985031033223805E-2</v>
      </c>
      <c r="N38" s="113"/>
      <c r="O38" s="34">
        <v>1265</v>
      </c>
      <c r="P38" s="112">
        <f t="shared" si="22"/>
        <v>5.3599423753230797E-2</v>
      </c>
      <c r="Q38" s="20"/>
      <c r="R38" s="113" t="s">
        <v>119</v>
      </c>
      <c r="S38" s="115">
        <f>AVERAGE(J38,M38,P38)</f>
        <v>3.7100687359764968E-2</v>
      </c>
      <c r="T38" s="34">
        <f>$S$38*T9</f>
        <v>1006.9553207344849</v>
      </c>
      <c r="U38" s="59">
        <f t="shared" ref="U38:X38" si="26">$S$38*U9</f>
        <v>1157.9986188446576</v>
      </c>
      <c r="V38" s="59">
        <f t="shared" si="26"/>
        <v>1331.6984116713559</v>
      </c>
      <c r="W38" s="59">
        <f t="shared" si="26"/>
        <v>1531.4531734220593</v>
      </c>
      <c r="X38" s="34">
        <f t="shared" si="26"/>
        <v>1761.1711494353681</v>
      </c>
      <c r="Y38" s="300" t="s">
        <v>147</v>
      </c>
      <c r="Z38" s="301"/>
      <c r="AA38" s="301"/>
      <c r="AB38" s="301"/>
      <c r="AC38" s="301"/>
      <c r="AD38" s="301"/>
      <c r="AE38" s="302"/>
    </row>
    <row r="39" spans="2:31" ht="15" x14ac:dyDescent="0.2">
      <c r="B39" s="5" t="s">
        <v>13</v>
      </c>
      <c r="C39" s="51">
        <v>3540</v>
      </c>
      <c r="D39" s="64">
        <f t="shared" si="18"/>
        <v>0.54671814671814667</v>
      </c>
      <c r="E39" s="83"/>
      <c r="F39" s="51">
        <v>4597</v>
      </c>
      <c r="G39" s="110">
        <f t="shared" si="19"/>
        <v>0.68295944139058085</v>
      </c>
      <c r="H39" s="83"/>
      <c r="I39" s="51">
        <v>6143</v>
      </c>
      <c r="J39" s="64">
        <f t="shared" si="20"/>
        <v>0.62921233227491546</v>
      </c>
      <c r="K39" s="83"/>
      <c r="L39" s="51">
        <v>8583</v>
      </c>
      <c r="M39" s="64">
        <f t="shared" si="21"/>
        <v>0.52227090178897406</v>
      </c>
      <c r="N39" s="83"/>
      <c r="O39" s="13">
        <v>15019</v>
      </c>
      <c r="P39" s="64">
        <f t="shared" si="22"/>
        <v>0.63637134019744923</v>
      </c>
      <c r="Q39" s="7"/>
      <c r="R39" s="83"/>
      <c r="S39" s="83"/>
      <c r="T39" s="13">
        <f ca="1">SUM(T34,T35,T36,T37,T38)</f>
        <v>18772.038120295918</v>
      </c>
      <c r="U39" s="51">
        <f t="shared" ref="U39:X39" ca="1" si="27">SUM(U34,U35,U36,U37,U38)</f>
        <v>23197.3827410659</v>
      </c>
      <c r="V39" s="51">
        <f t="shared" ca="1" si="27"/>
        <v>30037.71888620139</v>
      </c>
      <c r="W39" s="51">
        <f t="shared" ca="1" si="27"/>
        <v>38789.584809357199</v>
      </c>
      <c r="X39" s="13">
        <f t="shared" ca="1" si="27"/>
        <v>49739.564523486348</v>
      </c>
      <c r="Y39" s="106"/>
      <c r="Z39" s="107"/>
      <c r="AA39" s="107"/>
      <c r="AB39" s="107"/>
      <c r="AC39" s="107"/>
      <c r="AD39" s="107"/>
      <c r="AE39" s="108"/>
    </row>
    <row r="40" spans="2:31" ht="15" x14ac:dyDescent="0.2">
      <c r="B40" s="18" t="s">
        <v>139</v>
      </c>
      <c r="C40" s="52">
        <v>442</v>
      </c>
      <c r="D40" s="66">
        <f t="shared" si="18"/>
        <v>6.8262548262548267E-2</v>
      </c>
      <c r="E40" s="84"/>
      <c r="F40" s="52">
        <v>642</v>
      </c>
      <c r="G40" s="109">
        <f>F40/F9</f>
        <v>9.5379586985589071E-2</v>
      </c>
      <c r="H40" s="84"/>
      <c r="I40" s="52">
        <v>858</v>
      </c>
      <c r="J40" s="66">
        <f>I40/I9</f>
        <v>8.7882822902796268E-2</v>
      </c>
      <c r="K40" s="84"/>
      <c r="L40" s="52">
        <v>998</v>
      </c>
      <c r="M40" s="66">
        <f>L40/L9</f>
        <v>6.0727759522940246E-2</v>
      </c>
      <c r="N40" s="84"/>
      <c r="O40" s="10">
        <v>1952</v>
      </c>
      <c r="P40" s="66">
        <f>O40/O9</f>
        <v>8.2708359815262061E-2</v>
      </c>
      <c r="Q40" s="20"/>
      <c r="R40" s="84" t="s">
        <v>119</v>
      </c>
      <c r="S40" s="58">
        <f>AVERAGE(J40,M40,P40)</f>
        <v>7.7106314080332861E-2</v>
      </c>
      <c r="T40" s="10">
        <f>$S$40*T9</f>
        <v>2092.7540364014262</v>
      </c>
      <c r="U40" s="52">
        <f t="shared" ref="U40:X40" si="28">$S$40*U9</f>
        <v>2406.6671418616397</v>
      </c>
      <c r="V40" s="52">
        <f t="shared" si="28"/>
        <v>2767.6672131408855</v>
      </c>
      <c r="W40" s="52">
        <f t="shared" si="28"/>
        <v>3182.8172951120182</v>
      </c>
      <c r="X40" s="10">
        <f t="shared" si="28"/>
        <v>3660.2398893788204</v>
      </c>
      <c r="Y40" s="300" t="s">
        <v>147</v>
      </c>
      <c r="Z40" s="301"/>
      <c r="AA40" s="301"/>
      <c r="AB40" s="301"/>
      <c r="AC40" s="301"/>
      <c r="AD40" s="301"/>
      <c r="AE40" s="302"/>
    </row>
    <row r="41" spans="2:31" ht="15" x14ac:dyDescent="0.2">
      <c r="B41" s="17" t="s">
        <v>140</v>
      </c>
      <c r="C41" s="51">
        <v>94</v>
      </c>
      <c r="D41" s="64">
        <f t="shared" si="18"/>
        <v>1.4517374517374518E-2</v>
      </c>
      <c r="E41" s="83"/>
      <c r="F41" s="51">
        <v>142</v>
      </c>
      <c r="G41" s="110"/>
      <c r="H41" s="83"/>
      <c r="I41" s="51">
        <v>217</v>
      </c>
      <c r="J41" s="64"/>
      <c r="K41" s="83"/>
      <c r="L41" s="51">
        <v>296</v>
      </c>
      <c r="M41" s="64"/>
      <c r="N41" s="83"/>
      <c r="O41" s="13">
        <v>439</v>
      </c>
      <c r="P41" s="64"/>
      <c r="Q41" s="7"/>
      <c r="R41" s="83" t="s">
        <v>145</v>
      </c>
      <c r="S41" s="57">
        <v>0.23</v>
      </c>
      <c r="T41" s="13">
        <f>$S$41*T40</f>
        <v>481.33342837232806</v>
      </c>
      <c r="U41" s="51">
        <f t="shared" ref="U41:X41" si="29">$S$41*U40</f>
        <v>553.53344262817711</v>
      </c>
      <c r="V41" s="51">
        <f t="shared" si="29"/>
        <v>636.56345902240366</v>
      </c>
      <c r="W41" s="51">
        <f t="shared" si="29"/>
        <v>732.04797787576422</v>
      </c>
      <c r="X41" s="13">
        <f t="shared" si="29"/>
        <v>841.85517455712875</v>
      </c>
      <c r="Y41" s="310" t="s">
        <v>159</v>
      </c>
      <c r="Z41" s="311"/>
      <c r="AA41" s="311"/>
      <c r="AB41" s="311"/>
      <c r="AC41" s="311"/>
      <c r="AD41" s="311"/>
      <c r="AE41" s="312"/>
    </row>
    <row r="42" spans="2:31" ht="15" x14ac:dyDescent="0.2">
      <c r="B42" s="18" t="s">
        <v>144</v>
      </c>
      <c r="C42" s="52">
        <v>348</v>
      </c>
      <c r="D42" s="66">
        <f t="shared" si="18"/>
        <v>5.3745173745173742E-2</v>
      </c>
      <c r="E42" s="84"/>
      <c r="F42" s="52">
        <v>500</v>
      </c>
      <c r="G42" s="109">
        <f t="shared" si="19"/>
        <v>7.4283167434259403E-2</v>
      </c>
      <c r="H42" s="84"/>
      <c r="I42" s="52">
        <v>641</v>
      </c>
      <c r="J42" s="66">
        <f t="shared" si="20"/>
        <v>6.5656048345795345E-2</v>
      </c>
      <c r="K42" s="84"/>
      <c r="L42" s="52">
        <v>702</v>
      </c>
      <c r="M42" s="66">
        <f t="shared" si="21"/>
        <v>4.271631982475356E-2</v>
      </c>
      <c r="N42" s="84"/>
      <c r="O42" s="10">
        <v>1513</v>
      </c>
      <c r="P42" s="66">
        <f t="shared" si="22"/>
        <v>6.4107453074022283E-2</v>
      </c>
      <c r="Q42" s="20"/>
      <c r="R42" s="84"/>
      <c r="S42" s="58"/>
      <c r="T42" s="10">
        <f>T40-T41</f>
        <v>1611.4206080290983</v>
      </c>
      <c r="U42" s="52">
        <f t="shared" ref="U42:X42" si="30">U40-U41</f>
        <v>1853.1336992334627</v>
      </c>
      <c r="V42" s="52">
        <f t="shared" si="30"/>
        <v>2131.1037541184819</v>
      </c>
      <c r="W42" s="52">
        <f t="shared" si="30"/>
        <v>2450.7693172362542</v>
      </c>
      <c r="X42" s="10">
        <f t="shared" si="30"/>
        <v>2818.3847148216919</v>
      </c>
      <c r="Y42" s="18"/>
      <c r="Z42" s="19"/>
      <c r="AA42" s="19"/>
      <c r="AB42" s="19"/>
      <c r="AC42" s="19"/>
      <c r="AD42" s="19"/>
      <c r="AE42" s="20"/>
    </row>
    <row r="43" spans="2:31" ht="15" x14ac:dyDescent="0.2">
      <c r="B43" s="17" t="s">
        <v>15</v>
      </c>
      <c r="C43" s="51">
        <v>0</v>
      </c>
      <c r="D43" s="77">
        <f t="shared" si="18"/>
        <v>0</v>
      </c>
      <c r="E43" s="83"/>
      <c r="F43" s="51">
        <v>205</v>
      </c>
      <c r="G43" s="110">
        <f t="shared" si="19"/>
        <v>3.0456098648046354E-2</v>
      </c>
      <c r="H43" s="83"/>
      <c r="I43" s="51">
        <v>208</v>
      </c>
      <c r="J43" s="64">
        <f t="shared" si="20"/>
        <v>2.1304926764314249E-2</v>
      </c>
      <c r="K43" s="83"/>
      <c r="L43" s="51">
        <v>367</v>
      </c>
      <c r="M43" s="64">
        <f t="shared" si="21"/>
        <v>2.2331751247413899E-2</v>
      </c>
      <c r="N43" s="83"/>
      <c r="O43" s="13">
        <v>460</v>
      </c>
      <c r="P43" s="64">
        <f t="shared" si="22"/>
        <v>1.9490699546629381E-2</v>
      </c>
      <c r="Q43" s="7"/>
      <c r="R43" s="83" t="s">
        <v>119</v>
      </c>
      <c r="S43" s="57">
        <f>AVERAGE(J43,M43,P43)</f>
        <v>2.1042459186119175E-2</v>
      </c>
      <c r="T43" s="13">
        <f>$S$43*T9</f>
        <v>571.11654113933844</v>
      </c>
      <c r="U43" s="51">
        <f t="shared" ref="U43:X43" si="31">$S$43*U9</f>
        <v>656.78402231023915</v>
      </c>
      <c r="V43" s="51">
        <f t="shared" si="31"/>
        <v>755.30162565677483</v>
      </c>
      <c r="W43" s="51">
        <f t="shared" si="31"/>
        <v>868.59686950529112</v>
      </c>
      <c r="X43" s="13">
        <f t="shared" si="31"/>
        <v>998.88639993108461</v>
      </c>
      <c r="Y43" s="307" t="s">
        <v>147</v>
      </c>
      <c r="Z43" s="308"/>
      <c r="AA43" s="308"/>
      <c r="AB43" s="308"/>
      <c r="AC43" s="308"/>
      <c r="AD43" s="308"/>
      <c r="AE43" s="309"/>
    </row>
    <row r="44" spans="2:31" ht="15" x14ac:dyDescent="0.2">
      <c r="B44" s="18" t="s">
        <v>16</v>
      </c>
      <c r="C44" s="52">
        <v>289</v>
      </c>
      <c r="D44" s="66">
        <f t="shared" si="18"/>
        <v>4.463320463320463E-2</v>
      </c>
      <c r="E44" s="84"/>
      <c r="F44" s="52">
        <v>289</v>
      </c>
      <c r="G44" s="109">
        <f t="shared" si="19"/>
        <v>4.293567077700193E-2</v>
      </c>
      <c r="H44" s="84"/>
      <c r="I44" s="52">
        <v>289</v>
      </c>
      <c r="J44" s="66">
        <f t="shared" si="20"/>
        <v>2.9601556898494315E-2</v>
      </c>
      <c r="K44" s="84"/>
      <c r="L44" s="52">
        <v>289</v>
      </c>
      <c r="M44" s="66">
        <f t="shared" si="21"/>
        <v>1.7585493489107946E-2</v>
      </c>
      <c r="N44" s="84"/>
      <c r="O44" s="10">
        <v>24177</v>
      </c>
      <c r="P44" s="66">
        <f t="shared" si="22"/>
        <v>1.0244057455192577</v>
      </c>
      <c r="Q44" s="20"/>
      <c r="R44" s="84" t="s">
        <v>126</v>
      </c>
      <c r="S44" s="52">
        <f>O44</f>
        <v>24177</v>
      </c>
      <c r="T44" s="10">
        <f>$S$44</f>
        <v>24177</v>
      </c>
      <c r="U44" s="52">
        <f t="shared" ref="U44:X44" si="32">$S$44</f>
        <v>24177</v>
      </c>
      <c r="V44" s="52">
        <f t="shared" si="32"/>
        <v>24177</v>
      </c>
      <c r="W44" s="52">
        <f t="shared" si="32"/>
        <v>24177</v>
      </c>
      <c r="X44" s="10">
        <f t="shared" si="32"/>
        <v>24177</v>
      </c>
      <c r="Y44" s="300" t="s">
        <v>160</v>
      </c>
      <c r="Z44" s="301"/>
      <c r="AA44" s="301"/>
      <c r="AB44" s="301"/>
      <c r="AC44" s="301"/>
      <c r="AD44" s="301"/>
      <c r="AE44" s="302"/>
    </row>
    <row r="45" spans="2:31" ht="15" x14ac:dyDescent="0.2">
      <c r="B45" s="17" t="s">
        <v>42</v>
      </c>
      <c r="C45" s="51">
        <v>0</v>
      </c>
      <c r="D45" s="68">
        <f t="shared" si="18"/>
        <v>0</v>
      </c>
      <c r="E45" s="51"/>
      <c r="F45" s="51">
        <v>0</v>
      </c>
      <c r="G45" s="116">
        <f t="shared" si="19"/>
        <v>0</v>
      </c>
      <c r="H45" s="51"/>
      <c r="I45" s="51">
        <v>0</v>
      </c>
      <c r="J45" s="68">
        <f t="shared" si="20"/>
        <v>0</v>
      </c>
      <c r="K45" s="51"/>
      <c r="L45" s="51">
        <v>0</v>
      </c>
      <c r="M45" s="68">
        <f t="shared" si="21"/>
        <v>0</v>
      </c>
      <c r="N45" s="83"/>
      <c r="O45" s="13">
        <v>24118</v>
      </c>
      <c r="P45" s="64">
        <f t="shared" si="22"/>
        <v>1.0219058514469725</v>
      </c>
      <c r="Q45" s="7"/>
      <c r="R45" s="83" t="s">
        <v>126</v>
      </c>
      <c r="S45" s="51">
        <f>O45</f>
        <v>24118</v>
      </c>
      <c r="T45" s="13">
        <f>$S$45</f>
        <v>24118</v>
      </c>
      <c r="U45" s="51">
        <f t="shared" ref="U45:X45" si="33">$S$45</f>
        <v>24118</v>
      </c>
      <c r="V45" s="51">
        <f t="shared" si="33"/>
        <v>24118</v>
      </c>
      <c r="W45" s="51">
        <f t="shared" si="33"/>
        <v>24118</v>
      </c>
      <c r="X45" s="13">
        <f t="shared" si="33"/>
        <v>24118</v>
      </c>
      <c r="Y45" s="307" t="s">
        <v>161</v>
      </c>
      <c r="Z45" s="308"/>
      <c r="AA45" s="308"/>
      <c r="AB45" s="308"/>
      <c r="AC45" s="308"/>
      <c r="AD45" s="308"/>
      <c r="AE45" s="309"/>
    </row>
    <row r="46" spans="2:31" ht="15" x14ac:dyDescent="0.2">
      <c r="B46" s="18" t="s">
        <v>37</v>
      </c>
      <c r="C46" s="52">
        <v>15</v>
      </c>
      <c r="D46" s="75">
        <f t="shared" si="18"/>
        <v>2.3166023166023165E-3</v>
      </c>
      <c r="E46" s="84"/>
      <c r="F46" s="52">
        <v>22</v>
      </c>
      <c r="G46" s="117">
        <f t="shared" si="19"/>
        <v>3.2684593671074135E-3</v>
      </c>
      <c r="H46" s="84"/>
      <c r="I46" s="52">
        <v>1245</v>
      </c>
      <c r="J46" s="66">
        <f t="shared" si="20"/>
        <v>0.12752227798832327</v>
      </c>
      <c r="K46" s="84"/>
      <c r="L46" s="52">
        <v>931</v>
      </c>
      <c r="M46" s="66">
        <f t="shared" si="21"/>
        <v>5.6650845807472316E-2</v>
      </c>
      <c r="N46" s="84"/>
      <c r="O46" s="10">
        <v>58</v>
      </c>
      <c r="P46" s="75">
        <f t="shared" si="22"/>
        <v>2.457522986314139E-3</v>
      </c>
      <c r="Q46" s="20"/>
      <c r="R46" s="84" t="s">
        <v>119</v>
      </c>
      <c r="S46" s="105">
        <f>AVERAGE(P46,G46,D46)</f>
        <v>2.6808615566746227E-3</v>
      </c>
      <c r="T46" s="10">
        <f>$S$46*T9</f>
        <v>72.761665638939434</v>
      </c>
      <c r="U46" s="52">
        <f t="shared" ref="U46:X46" si="34">$S$46*U9</f>
        <v>83.675915484780333</v>
      </c>
      <c r="V46" s="52">
        <f t="shared" si="34"/>
        <v>96.227302807497381</v>
      </c>
      <c r="W46" s="52">
        <f t="shared" si="34"/>
        <v>110.66139822862198</v>
      </c>
      <c r="X46" s="10">
        <f t="shared" si="34"/>
        <v>127.26060796291526</v>
      </c>
      <c r="Y46" s="294" t="s">
        <v>162</v>
      </c>
      <c r="Z46" s="295"/>
      <c r="AA46" s="295"/>
      <c r="AB46" s="295"/>
      <c r="AC46" s="295"/>
      <c r="AD46" s="295"/>
      <c r="AE46" s="296"/>
    </row>
    <row r="47" spans="2:31" ht="15" x14ac:dyDescent="0.2">
      <c r="B47" s="49" t="s">
        <v>38</v>
      </c>
      <c r="C47" s="86">
        <v>364</v>
      </c>
      <c r="D47" s="118">
        <f t="shared" si="18"/>
        <v>5.6216216216216218E-2</v>
      </c>
      <c r="E47" s="119"/>
      <c r="F47" s="86">
        <v>415</v>
      </c>
      <c r="G47" s="120">
        <f t="shared" si="19"/>
        <v>6.1655028970435302E-2</v>
      </c>
      <c r="H47" s="119"/>
      <c r="I47" s="86">
        <v>436</v>
      </c>
      <c r="J47" s="118">
        <f t="shared" si="20"/>
        <v>4.4658404179043328E-2</v>
      </c>
      <c r="K47" s="119"/>
      <c r="L47" s="86">
        <v>1547</v>
      </c>
      <c r="M47" s="118">
        <f t="shared" si="21"/>
        <v>9.413411220640136E-2</v>
      </c>
      <c r="N47" s="119"/>
      <c r="O47" s="37">
        <v>2235</v>
      </c>
      <c r="P47" s="118">
        <f t="shared" si="22"/>
        <v>9.469937714503622E-2</v>
      </c>
      <c r="Q47" s="7"/>
      <c r="R47" s="119" t="s">
        <v>119</v>
      </c>
      <c r="S47" s="121">
        <f>AVERAGE(M47,P47)</f>
        <v>9.4416744675718783E-2</v>
      </c>
      <c r="T47" s="37">
        <f>$S$47*T9</f>
        <v>2562.5790297553845</v>
      </c>
      <c r="U47" s="86">
        <f t="shared" ref="U47:X47" si="35">$S$47*U9</f>
        <v>2946.9658842186923</v>
      </c>
      <c r="V47" s="86">
        <f t="shared" si="35"/>
        <v>3389.0107668514956</v>
      </c>
      <c r="W47" s="86">
        <f t="shared" si="35"/>
        <v>3897.3623818792198</v>
      </c>
      <c r="X47" s="37">
        <f t="shared" si="35"/>
        <v>4481.9667391611019</v>
      </c>
      <c r="Y47" s="307" t="s">
        <v>163</v>
      </c>
      <c r="Z47" s="308"/>
      <c r="AA47" s="308"/>
      <c r="AB47" s="308"/>
      <c r="AC47" s="308"/>
      <c r="AD47" s="308"/>
      <c r="AE47" s="309"/>
    </row>
    <row r="48" spans="2:31" ht="15" x14ac:dyDescent="0.2">
      <c r="B48" s="14" t="s">
        <v>18</v>
      </c>
      <c r="C48" s="52">
        <v>4556</v>
      </c>
      <c r="D48" s="66">
        <f t="shared" si="18"/>
        <v>0.7036293436293436</v>
      </c>
      <c r="E48" s="84"/>
      <c r="F48" s="52">
        <v>6028</v>
      </c>
      <c r="G48" s="109">
        <f t="shared" si="19"/>
        <v>0.89555786658743131</v>
      </c>
      <c r="H48" s="84"/>
      <c r="I48" s="52">
        <v>8962</v>
      </c>
      <c r="J48" s="66">
        <f t="shared" si="20"/>
        <v>0.91795554645088595</v>
      </c>
      <c r="K48" s="84"/>
      <c r="L48" s="52">
        <v>12419</v>
      </c>
      <c r="M48" s="66">
        <f t="shared" si="21"/>
        <v>0.75568942436412312</v>
      </c>
      <c r="N48" s="84"/>
      <c r="O48" s="10">
        <v>67580</v>
      </c>
      <c r="P48" s="66">
        <f t="shared" si="22"/>
        <v>2.8634379899156817</v>
      </c>
      <c r="Q48" s="20"/>
      <c r="R48" s="84"/>
      <c r="S48" s="84"/>
      <c r="T48" s="10">
        <f ca="1">SUM(T39,T42:T47)</f>
        <v>71884.915964858679</v>
      </c>
      <c r="U48" s="52">
        <f t="shared" ref="U48:X48" ca="1" si="36">SUM(U39,U42:U47)</f>
        <v>77032.942262313067</v>
      </c>
      <c r="V48" s="52">
        <f t="shared" ca="1" si="36"/>
        <v>84704.36233563564</v>
      </c>
      <c r="W48" s="52">
        <f t="shared" ca="1" si="36"/>
        <v>94411.974776206596</v>
      </c>
      <c r="X48" s="10">
        <f t="shared" ca="1" si="36"/>
        <v>106461.06298536314</v>
      </c>
      <c r="Y48" s="18"/>
      <c r="Z48" s="19"/>
      <c r="AA48" s="19"/>
      <c r="AB48" s="19"/>
      <c r="AC48" s="19"/>
      <c r="AD48" s="19"/>
      <c r="AE48" s="20"/>
    </row>
    <row r="49" spans="2:45" ht="15" x14ac:dyDescent="0.2">
      <c r="B49" s="5" t="s">
        <v>19</v>
      </c>
      <c r="C49" s="51"/>
      <c r="D49" s="64"/>
      <c r="E49" s="83"/>
      <c r="F49" s="51"/>
      <c r="G49" s="110"/>
      <c r="H49" s="83"/>
      <c r="I49" s="51"/>
      <c r="J49" s="64"/>
      <c r="K49" s="83"/>
      <c r="L49" s="83"/>
      <c r="M49" s="64"/>
      <c r="N49" s="83"/>
      <c r="O49" s="7"/>
      <c r="P49" s="64"/>
      <c r="Q49" s="7"/>
      <c r="R49" s="83"/>
      <c r="S49" s="83"/>
      <c r="T49" s="13"/>
      <c r="U49" s="51"/>
      <c r="V49" s="51"/>
      <c r="W49" s="51"/>
      <c r="X49" s="13"/>
      <c r="Y49" s="106"/>
      <c r="Z49" s="107"/>
      <c r="AA49" s="107"/>
      <c r="AB49" s="107"/>
      <c r="AC49" s="6"/>
      <c r="AD49" s="6"/>
      <c r="AE49" s="7"/>
    </row>
    <row r="50" spans="2:45" ht="15" x14ac:dyDescent="0.2">
      <c r="B50" s="8" t="s">
        <v>20</v>
      </c>
      <c r="C50" s="52">
        <v>136</v>
      </c>
      <c r="D50" s="66">
        <f t="shared" si="18"/>
        <v>2.1003861003861004E-2</v>
      </c>
      <c r="E50" s="84"/>
      <c r="F50" s="52">
        <v>0</v>
      </c>
      <c r="G50" s="122">
        <f t="shared" si="19"/>
        <v>0</v>
      </c>
      <c r="H50" s="52"/>
      <c r="I50" s="52">
        <v>0</v>
      </c>
      <c r="J50" s="71">
        <f t="shared" si="20"/>
        <v>0</v>
      </c>
      <c r="K50" s="52"/>
      <c r="L50" s="52">
        <v>0</v>
      </c>
      <c r="M50" s="71">
        <f t="shared" si="21"/>
        <v>0</v>
      </c>
      <c r="N50" s="52"/>
      <c r="O50" s="10">
        <v>0</v>
      </c>
      <c r="P50" s="71">
        <f t="shared" si="22"/>
        <v>0</v>
      </c>
      <c r="Q50" s="20"/>
      <c r="R50" s="84" t="s">
        <v>128</v>
      </c>
      <c r="S50" s="58">
        <v>0</v>
      </c>
      <c r="T50" s="10">
        <f>$S$50*T9</f>
        <v>0</v>
      </c>
      <c r="U50" s="52">
        <f t="shared" ref="U50:X50" si="37">$S$50*U9</f>
        <v>0</v>
      </c>
      <c r="V50" s="52">
        <f t="shared" si="37"/>
        <v>0</v>
      </c>
      <c r="W50" s="52">
        <f t="shared" si="37"/>
        <v>0</v>
      </c>
      <c r="X50" s="10">
        <f t="shared" si="37"/>
        <v>0</v>
      </c>
      <c r="Y50" s="294" t="s">
        <v>164</v>
      </c>
      <c r="Z50" s="301"/>
      <c r="AA50" s="301"/>
      <c r="AB50" s="301"/>
      <c r="AC50" s="301"/>
      <c r="AD50" s="301"/>
      <c r="AE50" s="302"/>
    </row>
    <row r="51" spans="2:45" ht="15" x14ac:dyDescent="0.2">
      <c r="B51" s="11" t="s">
        <v>21</v>
      </c>
      <c r="C51" s="51">
        <v>834</v>
      </c>
      <c r="D51" s="64">
        <f t="shared" si="18"/>
        <v>0.1288030888030888</v>
      </c>
      <c r="E51" s="83"/>
      <c r="F51" s="51">
        <v>988</v>
      </c>
      <c r="G51" s="110">
        <f t="shared" si="19"/>
        <v>0.14678353885009657</v>
      </c>
      <c r="H51" s="83"/>
      <c r="I51" s="51">
        <v>468</v>
      </c>
      <c r="J51" s="64">
        <f t="shared" si="20"/>
        <v>4.7936085219707054E-2</v>
      </c>
      <c r="K51" s="83"/>
      <c r="L51" s="51">
        <v>1321</v>
      </c>
      <c r="M51" s="64">
        <f t="shared" si="21"/>
        <v>8.0382134599002064E-2</v>
      </c>
      <c r="N51" s="83"/>
      <c r="O51" s="13">
        <v>2493</v>
      </c>
      <c r="P51" s="64">
        <f t="shared" si="22"/>
        <v>0.10563111732553705</v>
      </c>
      <c r="Q51" s="7"/>
      <c r="R51" s="83" t="s">
        <v>119</v>
      </c>
      <c r="S51" s="57">
        <f>AVERAGE(M51,P51)</f>
        <v>9.3006625962269551E-2</v>
      </c>
      <c r="T51" s="13">
        <f>$S$51*T9</f>
        <v>2524.3067862358521</v>
      </c>
      <c r="U51" s="51">
        <f t="shared" ref="U51:X51" si="38">$S$51*U9</f>
        <v>2902.9528041712297</v>
      </c>
      <c r="V51" s="51">
        <f t="shared" si="38"/>
        <v>3338.3957247969133</v>
      </c>
      <c r="W51" s="51">
        <f t="shared" si="38"/>
        <v>3839.1550835164503</v>
      </c>
      <c r="X51" s="13">
        <f t="shared" si="38"/>
        <v>4415.0283460439177</v>
      </c>
      <c r="Y51" s="271" t="s">
        <v>163</v>
      </c>
      <c r="Z51" s="272"/>
      <c r="AA51" s="272"/>
      <c r="AB51" s="272"/>
      <c r="AC51" s="272"/>
      <c r="AD51" s="272"/>
      <c r="AE51" s="273"/>
    </row>
    <row r="52" spans="2:45" ht="15" x14ac:dyDescent="0.2">
      <c r="B52" s="8" t="s">
        <v>22</v>
      </c>
      <c r="C52" s="52">
        <v>207</v>
      </c>
      <c r="D52" s="66">
        <f t="shared" si="18"/>
        <v>3.1969111969111966E-2</v>
      </c>
      <c r="E52" s="84"/>
      <c r="F52" s="52">
        <v>213</v>
      </c>
      <c r="G52" s="109">
        <f t="shared" si="19"/>
        <v>3.1644629326994501E-2</v>
      </c>
      <c r="H52" s="84"/>
      <c r="I52" s="52">
        <v>78</v>
      </c>
      <c r="J52" s="66">
        <f t="shared" si="20"/>
        <v>7.989347536617843E-3</v>
      </c>
      <c r="K52" s="84"/>
      <c r="L52" s="52">
        <v>85</v>
      </c>
      <c r="M52" s="66">
        <f t="shared" si="21"/>
        <v>5.1722039673846899E-3</v>
      </c>
      <c r="N52" s="84"/>
      <c r="O52" s="10">
        <v>463</v>
      </c>
      <c r="P52" s="66">
        <f t="shared" si="22"/>
        <v>1.9617812804542181E-2</v>
      </c>
      <c r="Q52" s="20"/>
      <c r="R52" s="84" t="s">
        <v>119</v>
      </c>
      <c r="S52" s="58">
        <f>AVERAGE(J52,M52,P52)</f>
        <v>1.0926454769514905E-2</v>
      </c>
      <c r="T52" s="10">
        <f>$S$52*T9</f>
        <v>296.55654786761943</v>
      </c>
      <c r="U52" s="52">
        <f t="shared" ref="U52:X52" si="39">$S$52*U9</f>
        <v>341.04003004776234</v>
      </c>
      <c r="V52" s="52">
        <f t="shared" si="39"/>
        <v>392.19603455492665</v>
      </c>
      <c r="W52" s="52">
        <f t="shared" si="39"/>
        <v>451.02543973816563</v>
      </c>
      <c r="X52" s="10">
        <f t="shared" si="39"/>
        <v>518.67925569889042</v>
      </c>
      <c r="Y52" s="300" t="s">
        <v>147</v>
      </c>
      <c r="Z52" s="301"/>
      <c r="AA52" s="301"/>
      <c r="AB52" s="301"/>
      <c r="AC52" s="301"/>
      <c r="AD52" s="301"/>
      <c r="AE52" s="302"/>
    </row>
    <row r="53" spans="2:45" ht="15" x14ac:dyDescent="0.2">
      <c r="B53" s="11" t="s">
        <v>23</v>
      </c>
      <c r="C53" s="51">
        <v>783</v>
      </c>
      <c r="D53" s="64">
        <f t="shared" si="18"/>
        <v>0.12092664092664093</v>
      </c>
      <c r="E53" s="83"/>
      <c r="F53" s="51">
        <v>1084</v>
      </c>
      <c r="G53" s="110">
        <f t="shared" si="19"/>
        <v>0.16104590699747437</v>
      </c>
      <c r="H53" s="83"/>
      <c r="I53" s="51">
        <v>1796</v>
      </c>
      <c r="J53" s="64">
        <f t="shared" si="20"/>
        <v>0.18395984840725188</v>
      </c>
      <c r="K53" s="83"/>
      <c r="L53" s="51">
        <v>2424</v>
      </c>
      <c r="M53" s="64">
        <f t="shared" si="21"/>
        <v>0.14749908725812341</v>
      </c>
      <c r="N53" s="83"/>
      <c r="O53" s="13">
        <v>3077</v>
      </c>
      <c r="P53" s="64">
        <f t="shared" si="22"/>
        <v>0.13037583153256219</v>
      </c>
      <c r="Q53" s="7"/>
      <c r="R53" s="83" t="s">
        <v>119</v>
      </c>
      <c r="S53" s="57">
        <f>AVERAGE(J53,M53,P53)</f>
        <v>0.15394492239931248</v>
      </c>
      <c r="T53" s="13">
        <f>$S$53*T9</f>
        <v>4178.2422305781001</v>
      </c>
      <c r="U53" s="51">
        <f t="shared" ref="U53:X53" si="40">$S$53*U9</f>
        <v>4804.9785651648144</v>
      </c>
      <c r="V53" s="51">
        <f t="shared" si="40"/>
        <v>5525.7253499395356</v>
      </c>
      <c r="W53" s="51">
        <f t="shared" si="40"/>
        <v>6354.584152430466</v>
      </c>
      <c r="X53" s="13">
        <f t="shared" si="40"/>
        <v>7307.7717752950348</v>
      </c>
      <c r="Y53" s="271" t="s">
        <v>147</v>
      </c>
      <c r="Z53" s="272"/>
      <c r="AA53" s="272"/>
      <c r="AB53" s="272"/>
      <c r="AC53" s="272"/>
      <c r="AD53" s="272"/>
      <c r="AE53" s="273"/>
    </row>
    <row r="54" spans="2:45" ht="15" x14ac:dyDescent="0.2">
      <c r="B54" s="8" t="s">
        <v>39</v>
      </c>
      <c r="C54" s="52">
        <v>0</v>
      </c>
      <c r="D54" s="71">
        <f t="shared" si="18"/>
        <v>0</v>
      </c>
      <c r="E54" s="52"/>
      <c r="F54" s="52">
        <v>0</v>
      </c>
      <c r="G54" s="122">
        <f t="shared" si="19"/>
        <v>0</v>
      </c>
      <c r="H54" s="52"/>
      <c r="I54" s="52">
        <v>0</v>
      </c>
      <c r="J54" s="71">
        <f t="shared" si="20"/>
        <v>0</v>
      </c>
      <c r="K54" s="52"/>
      <c r="L54" s="52">
        <v>312</v>
      </c>
      <c r="M54" s="66">
        <f t="shared" si="21"/>
        <v>1.8985031033223805E-2</v>
      </c>
      <c r="N54" s="52"/>
      <c r="O54" s="10">
        <v>0</v>
      </c>
      <c r="P54" s="71">
        <f t="shared" si="22"/>
        <v>0</v>
      </c>
      <c r="Q54" s="20"/>
      <c r="R54" s="84"/>
      <c r="S54" s="58"/>
      <c r="T54" s="10">
        <v>750</v>
      </c>
      <c r="U54" s="52">
        <v>0</v>
      </c>
      <c r="V54" s="52">
        <v>1</v>
      </c>
      <c r="W54" s="52">
        <v>0</v>
      </c>
      <c r="X54" s="52">
        <v>0</v>
      </c>
      <c r="Y54" s="300" t="s">
        <v>242</v>
      </c>
      <c r="Z54" s="301"/>
      <c r="AA54" s="301"/>
      <c r="AB54" s="301"/>
      <c r="AC54" s="301"/>
      <c r="AD54" s="301"/>
      <c r="AE54" s="302"/>
    </row>
    <row r="55" spans="2:45" ht="15" x14ac:dyDescent="0.2">
      <c r="B55" s="11" t="s">
        <v>24</v>
      </c>
      <c r="C55" s="85">
        <v>24</v>
      </c>
      <c r="D55" s="123">
        <f t="shared" si="18"/>
        <v>3.7065637065637064E-3</v>
      </c>
      <c r="E55" s="96"/>
      <c r="F55" s="85">
        <v>74</v>
      </c>
      <c r="G55" s="124">
        <f t="shared" si="19"/>
        <v>1.099390878027039E-2</v>
      </c>
      <c r="H55" s="96"/>
      <c r="I55" s="85">
        <v>75</v>
      </c>
      <c r="J55" s="123">
        <f t="shared" si="20"/>
        <v>7.6820649390556177E-3</v>
      </c>
      <c r="K55" s="96"/>
      <c r="L55" s="85">
        <v>98</v>
      </c>
      <c r="M55" s="123">
        <f t="shared" si="21"/>
        <v>5.9632469271023491E-3</v>
      </c>
      <c r="N55" s="96"/>
      <c r="O55" s="23">
        <v>336</v>
      </c>
      <c r="P55" s="123">
        <f t="shared" si="22"/>
        <v>1.4236684886233635E-2</v>
      </c>
      <c r="Q55" s="7"/>
      <c r="R55" s="119" t="s">
        <v>119</v>
      </c>
      <c r="S55" s="121">
        <f>AVERAGE(J55,M55,P55)</f>
        <v>9.2939989174638665E-3</v>
      </c>
      <c r="T55" s="37">
        <f>$S$55*T9</f>
        <v>252.24981871872441</v>
      </c>
      <c r="U55" s="86">
        <f t="shared" ref="U55:X55" si="41">$S$55*U9</f>
        <v>290.08729152653302</v>
      </c>
      <c r="V55" s="86">
        <f t="shared" si="41"/>
        <v>333.60038525551295</v>
      </c>
      <c r="W55" s="86">
        <f t="shared" si="41"/>
        <v>383.64044304383987</v>
      </c>
      <c r="X55" s="37">
        <f t="shared" si="41"/>
        <v>441.18650950041581</v>
      </c>
      <c r="Y55" s="271" t="s">
        <v>147</v>
      </c>
      <c r="Z55" s="272"/>
      <c r="AA55" s="272"/>
      <c r="AB55" s="272"/>
      <c r="AC55" s="272"/>
      <c r="AD55" s="272"/>
      <c r="AE55" s="273"/>
    </row>
    <row r="56" spans="2:45" ht="15" x14ac:dyDescent="0.2">
      <c r="B56" s="14" t="s">
        <v>25</v>
      </c>
      <c r="C56" s="52">
        <v>1984</v>
      </c>
      <c r="D56" s="66">
        <f t="shared" si="18"/>
        <v>0.30640926640926641</v>
      </c>
      <c r="E56" s="84"/>
      <c r="F56" s="52">
        <v>2359</v>
      </c>
      <c r="G56" s="109">
        <f t="shared" si="19"/>
        <v>0.35046798395483586</v>
      </c>
      <c r="H56" s="84"/>
      <c r="I56" s="52">
        <v>2417</v>
      </c>
      <c r="J56" s="66">
        <f t="shared" si="20"/>
        <v>0.2475673461026324</v>
      </c>
      <c r="K56" s="84"/>
      <c r="L56" s="52">
        <v>4240</v>
      </c>
      <c r="M56" s="66">
        <f t="shared" si="21"/>
        <v>0.25800170378483633</v>
      </c>
      <c r="N56" s="84"/>
      <c r="O56" s="10">
        <v>6369</v>
      </c>
      <c r="P56" s="66">
        <f t="shared" si="22"/>
        <v>0.26986144654887506</v>
      </c>
      <c r="Q56" s="20"/>
      <c r="R56" s="84"/>
      <c r="S56" s="84"/>
      <c r="T56" s="10">
        <f>SUM(T51:T55)</f>
        <v>8001.355383400296</v>
      </c>
      <c r="U56" s="52">
        <f t="shared" ref="U56:X56" si="42">SUM(U51:U55)</f>
        <v>8339.0586909103404</v>
      </c>
      <c r="V56" s="52">
        <f t="shared" si="42"/>
        <v>9590.9174945468894</v>
      </c>
      <c r="W56" s="52">
        <f t="shared" si="42"/>
        <v>11028.405118728921</v>
      </c>
      <c r="X56" s="10">
        <f t="shared" si="42"/>
        <v>12682.665886538258</v>
      </c>
      <c r="Y56" s="18"/>
      <c r="Z56" s="19"/>
      <c r="AA56" s="19"/>
      <c r="AB56" s="19"/>
      <c r="AC56" s="19"/>
      <c r="AD56" s="19"/>
      <c r="AE56" s="20"/>
    </row>
    <row r="57" spans="2:45" ht="15" x14ac:dyDescent="0.2">
      <c r="B57" s="106" t="s">
        <v>237</v>
      </c>
      <c r="C57" s="144">
        <v>1114</v>
      </c>
      <c r="D57" s="145">
        <f t="shared" si="18"/>
        <v>0.17204633204633205</v>
      </c>
      <c r="E57" s="146"/>
      <c r="F57" s="144">
        <v>486</v>
      </c>
      <c r="G57" s="147">
        <f t="shared" si="19"/>
        <v>7.2203238746100129E-2</v>
      </c>
      <c r="H57" s="146"/>
      <c r="I57" s="144">
        <v>330</v>
      </c>
      <c r="J57" s="145">
        <f t="shared" si="20"/>
        <v>3.3801085731844718E-2</v>
      </c>
      <c r="K57" s="146"/>
      <c r="L57" s="144">
        <v>1</v>
      </c>
      <c r="M57" s="148">
        <f t="shared" si="21"/>
        <v>6.0849458439819885E-5</v>
      </c>
      <c r="N57" s="146"/>
      <c r="O57" s="149">
        <v>2467</v>
      </c>
      <c r="P57" s="145">
        <f t="shared" si="22"/>
        <v>0.10452946909029279</v>
      </c>
      <c r="Q57" s="108"/>
      <c r="R57" s="146"/>
      <c r="S57" s="146"/>
      <c r="T57" s="149">
        <f ca="1">O57+T19-T54</f>
        <v>1635.4562500000002</v>
      </c>
      <c r="U57" s="149">
        <f ca="1">T57-U54+U19</f>
        <v>1576.0375000000001</v>
      </c>
      <c r="V57" s="149">
        <f t="shared" ref="V57:X57" ca="1" si="43">U57-V54+V19</f>
        <v>1515.6187500000001</v>
      </c>
      <c r="W57" s="149">
        <f t="shared" ca="1" si="43"/>
        <v>1456.2212500000001</v>
      </c>
      <c r="X57" s="149">
        <f t="shared" ca="1" si="43"/>
        <v>1396.82375</v>
      </c>
      <c r="Y57" s="310" t="s">
        <v>240</v>
      </c>
      <c r="Z57" s="308"/>
      <c r="AA57" s="308"/>
      <c r="AB57" s="308"/>
      <c r="AC57" s="308"/>
      <c r="AD57" s="308"/>
      <c r="AE57" s="309"/>
    </row>
    <row r="58" spans="2:45" ht="15" x14ac:dyDescent="0.2">
      <c r="B58" s="18" t="s">
        <v>26</v>
      </c>
      <c r="C58" s="52">
        <v>0</v>
      </c>
      <c r="D58" s="71">
        <f t="shared" si="18"/>
        <v>0</v>
      </c>
      <c r="E58" s="84"/>
      <c r="F58" s="52">
        <v>199</v>
      </c>
      <c r="G58" s="109">
        <f t="shared" si="19"/>
        <v>2.9564700638835241E-2</v>
      </c>
      <c r="H58" s="84"/>
      <c r="I58" s="52">
        <v>201</v>
      </c>
      <c r="J58" s="66">
        <f t="shared" si="20"/>
        <v>2.0587934036669055E-2</v>
      </c>
      <c r="K58" s="84"/>
      <c r="L58" s="52">
        <v>348</v>
      </c>
      <c r="M58" s="66">
        <f t="shared" si="21"/>
        <v>2.1175611537057319E-2</v>
      </c>
      <c r="N58" s="84"/>
      <c r="O58" s="10">
        <v>396</v>
      </c>
      <c r="P58" s="66">
        <f t="shared" si="22"/>
        <v>1.6778950044489642E-2</v>
      </c>
      <c r="Q58" s="20"/>
      <c r="R58" s="84" t="s">
        <v>119</v>
      </c>
      <c r="S58" s="58">
        <f>AVERAGE(J58,M58,P58)</f>
        <v>1.9514165206072003E-2</v>
      </c>
      <c r="T58" s="10">
        <f>$S$58*T9</f>
        <v>529.63688498278111</v>
      </c>
      <c r="U58" s="52">
        <f t="shared" ref="U58:X58" si="44">$S$58*U9</f>
        <v>609.08241773019824</v>
      </c>
      <c r="V58" s="52">
        <f t="shared" si="44"/>
        <v>700.44478038972784</v>
      </c>
      <c r="W58" s="52">
        <f t="shared" si="44"/>
        <v>805.51149744818701</v>
      </c>
      <c r="X58" s="10">
        <f t="shared" si="44"/>
        <v>926.33822206541493</v>
      </c>
      <c r="Y58" s="300" t="s">
        <v>147</v>
      </c>
      <c r="Z58" s="301"/>
      <c r="AA58" s="301"/>
      <c r="AB58" s="301"/>
      <c r="AC58" s="301"/>
      <c r="AD58" s="301"/>
      <c r="AE58" s="302"/>
    </row>
    <row r="59" spans="2:45" ht="15" x14ac:dyDescent="0.2">
      <c r="B59" s="125" t="s">
        <v>234</v>
      </c>
      <c r="C59" s="126">
        <v>0</v>
      </c>
      <c r="D59" s="127">
        <v>0</v>
      </c>
      <c r="E59" s="128"/>
      <c r="F59" s="126">
        <v>0</v>
      </c>
      <c r="G59" s="129">
        <v>0</v>
      </c>
      <c r="H59" s="128"/>
      <c r="I59" s="126">
        <v>0</v>
      </c>
      <c r="J59" s="127">
        <v>0</v>
      </c>
      <c r="K59" s="128"/>
      <c r="L59" s="126">
        <v>0</v>
      </c>
      <c r="M59" s="127">
        <v>0</v>
      </c>
      <c r="N59" s="128"/>
      <c r="O59" s="130">
        <v>0</v>
      </c>
      <c r="P59" s="127">
        <v>0</v>
      </c>
      <c r="Q59" s="131"/>
      <c r="R59" s="128" t="s">
        <v>129</v>
      </c>
      <c r="S59" s="150"/>
      <c r="T59" s="130">
        <f ca="1">IF(T73&gt;-$S$34,T73+$S$34,0)</f>
        <v>0</v>
      </c>
      <c r="U59" s="130">
        <f t="shared" ref="U59:W59" ca="1" si="45">IF(U73&gt;-$S$34,U73+$S$34,0)</f>
        <v>0</v>
      </c>
      <c r="V59" s="130">
        <f t="shared" ca="1" si="45"/>
        <v>0</v>
      </c>
      <c r="W59" s="130">
        <f t="shared" ca="1" si="45"/>
        <v>0</v>
      </c>
      <c r="X59" s="130">
        <f ca="1">IF(X73&gt;-$S$34,X73+$S$34,0)</f>
        <v>0</v>
      </c>
      <c r="Y59" s="304" t="s">
        <v>241</v>
      </c>
      <c r="Z59" s="316"/>
      <c r="AA59" s="316"/>
      <c r="AB59" s="316"/>
      <c r="AC59" s="316"/>
      <c r="AD59" s="316"/>
      <c r="AE59" s="317"/>
    </row>
    <row r="60" spans="2:45" ht="15" x14ac:dyDescent="0.2">
      <c r="B60" s="207" t="s">
        <v>43</v>
      </c>
      <c r="C60" s="208">
        <v>11</v>
      </c>
      <c r="D60" s="209">
        <f t="shared" si="18"/>
        <v>1.6988416988416989E-3</v>
      </c>
      <c r="E60" s="210"/>
      <c r="F60" s="208">
        <v>11</v>
      </c>
      <c r="G60" s="211">
        <f t="shared" si="19"/>
        <v>1.6342296835537068E-3</v>
      </c>
      <c r="H60" s="210"/>
      <c r="I60" s="208">
        <v>11</v>
      </c>
      <c r="J60" s="209">
        <f t="shared" si="20"/>
        <v>1.1267028577281574E-3</v>
      </c>
      <c r="K60" s="210"/>
      <c r="L60" s="208">
        <v>12</v>
      </c>
      <c r="M60" s="209">
        <f t="shared" si="21"/>
        <v>7.3019350127783865E-4</v>
      </c>
      <c r="N60" s="210"/>
      <c r="O60" s="212">
        <v>1934</v>
      </c>
      <c r="P60" s="213">
        <f t="shared" si="22"/>
        <v>8.1945680267785259E-2</v>
      </c>
      <c r="Q60" s="214"/>
      <c r="R60" s="210" t="s">
        <v>119</v>
      </c>
      <c r="S60" s="215">
        <f>AVERAGE(D60,G60,J60,M60)</f>
        <v>1.2974919353503504E-3</v>
      </c>
      <c r="T60" s="212">
        <f>$O$60</f>
        <v>1934</v>
      </c>
      <c r="U60" s="212">
        <f t="shared" ref="U60:X60" si="46">$O$60</f>
        <v>1934</v>
      </c>
      <c r="V60" s="212">
        <f t="shared" si="46"/>
        <v>1934</v>
      </c>
      <c r="W60" s="212">
        <f t="shared" si="46"/>
        <v>1934</v>
      </c>
      <c r="X60" s="212">
        <f t="shared" si="46"/>
        <v>1934</v>
      </c>
      <c r="Y60" s="348" t="s">
        <v>165</v>
      </c>
      <c r="Z60" s="349"/>
      <c r="AA60" s="349"/>
      <c r="AB60" s="349"/>
      <c r="AC60" s="349"/>
      <c r="AD60" s="349"/>
      <c r="AE60" s="350"/>
      <c r="AF60" s="347" t="s">
        <v>399</v>
      </c>
      <c r="AG60" s="292"/>
      <c r="AH60" s="292"/>
      <c r="AI60" s="292"/>
      <c r="AJ60" s="292"/>
      <c r="AK60" s="292"/>
      <c r="AL60" s="292"/>
      <c r="AM60" s="292"/>
      <c r="AN60" s="292"/>
      <c r="AO60" s="292"/>
      <c r="AP60" s="292"/>
      <c r="AQ60" s="292"/>
      <c r="AR60" s="292"/>
      <c r="AS60" s="292"/>
    </row>
    <row r="61" spans="2:45" ht="15" x14ac:dyDescent="0.2">
      <c r="B61" s="17" t="s">
        <v>27</v>
      </c>
      <c r="C61" s="51">
        <v>181</v>
      </c>
      <c r="D61" s="153">
        <f t="shared" si="18"/>
        <v>2.7953667953667955E-2</v>
      </c>
      <c r="E61" s="83"/>
      <c r="F61" s="51">
        <v>146</v>
      </c>
      <c r="G61" s="154">
        <f t="shared" si="19"/>
        <v>2.1690684890803745E-2</v>
      </c>
      <c r="H61" s="83"/>
      <c r="I61" s="51">
        <v>166</v>
      </c>
      <c r="J61" s="153">
        <f t="shared" si="20"/>
        <v>1.7002970398443101E-2</v>
      </c>
      <c r="K61" s="83"/>
      <c r="L61" s="51">
        <v>321</v>
      </c>
      <c r="M61" s="153">
        <f t="shared" si="21"/>
        <v>1.9532676159182184E-2</v>
      </c>
      <c r="N61" s="83"/>
      <c r="O61" s="13">
        <v>1664</v>
      </c>
      <c r="P61" s="153">
        <f t="shared" si="22"/>
        <v>7.050548705563324E-2</v>
      </c>
      <c r="Q61" s="7"/>
      <c r="R61" s="83" t="s">
        <v>119</v>
      </c>
      <c r="S61" s="57">
        <f>P61</f>
        <v>7.050548705563324E-2</v>
      </c>
      <c r="T61" s="13">
        <f>$S$61*T9</f>
        <v>1913.6</v>
      </c>
      <c r="U61" s="51">
        <f t="shared" ref="U61:X61" si="47">$S$61*U9</f>
        <v>2200.64</v>
      </c>
      <c r="V61" s="51">
        <f t="shared" si="47"/>
        <v>2530.7359999999994</v>
      </c>
      <c r="W61" s="51">
        <f t="shared" si="47"/>
        <v>2910.346399999999</v>
      </c>
      <c r="X61" s="13">
        <f t="shared" si="47"/>
        <v>3346.8983599999988</v>
      </c>
      <c r="Y61" s="271" t="s">
        <v>257</v>
      </c>
      <c r="Z61" s="272"/>
      <c r="AA61" s="272"/>
      <c r="AB61" s="272"/>
      <c r="AC61" s="272"/>
      <c r="AD61" s="272"/>
      <c r="AE61" s="273"/>
    </row>
    <row r="62" spans="2:45" ht="15" x14ac:dyDescent="0.2">
      <c r="B62" s="14" t="s">
        <v>28</v>
      </c>
      <c r="C62" s="52"/>
      <c r="D62" s="66"/>
      <c r="E62" s="84"/>
      <c r="F62" s="52"/>
      <c r="G62" s="109"/>
      <c r="H62" s="84"/>
      <c r="I62" s="52"/>
      <c r="J62" s="66"/>
      <c r="K62" s="84"/>
      <c r="L62" s="84"/>
      <c r="M62" s="66"/>
      <c r="N62" s="84"/>
      <c r="O62" s="20"/>
      <c r="P62" s="66"/>
      <c r="Q62" s="20"/>
      <c r="R62" s="84"/>
      <c r="S62" s="84"/>
      <c r="T62" s="10"/>
      <c r="U62" s="52"/>
      <c r="V62" s="52"/>
      <c r="W62" s="52"/>
      <c r="X62" s="10"/>
      <c r="Y62" s="18"/>
      <c r="Z62" s="19"/>
      <c r="AA62" s="19"/>
      <c r="AB62" s="19"/>
      <c r="AC62" s="19"/>
      <c r="AD62" s="19"/>
      <c r="AE62" s="20"/>
    </row>
    <row r="63" spans="2:45" ht="15" x14ac:dyDescent="0.2">
      <c r="B63" s="17" t="s">
        <v>29</v>
      </c>
      <c r="C63" s="51"/>
      <c r="D63" s="153"/>
      <c r="E63" s="83"/>
      <c r="F63" s="51"/>
      <c r="G63" s="154"/>
      <c r="H63" s="83"/>
      <c r="I63" s="51"/>
      <c r="J63" s="153"/>
      <c r="K63" s="83"/>
      <c r="L63" s="83"/>
      <c r="M63" s="153"/>
      <c r="N63" s="83"/>
      <c r="O63" s="7"/>
      <c r="P63" s="153"/>
      <c r="Q63" s="7"/>
      <c r="R63" s="83"/>
      <c r="S63" s="83"/>
      <c r="T63" s="13"/>
      <c r="U63" s="51"/>
      <c r="V63" s="51"/>
      <c r="W63" s="51"/>
      <c r="X63" s="13"/>
      <c r="Y63" s="17"/>
      <c r="Z63" s="6"/>
      <c r="AA63" s="6"/>
      <c r="AB63" s="6"/>
      <c r="AC63" s="6"/>
      <c r="AD63" s="6"/>
      <c r="AE63" s="7"/>
    </row>
    <row r="64" spans="2:45" ht="15" x14ac:dyDescent="0.2">
      <c r="B64" s="8" t="s">
        <v>113</v>
      </c>
      <c r="C64" s="52">
        <v>8760</v>
      </c>
      <c r="D64" s="66">
        <f t="shared" si="18"/>
        <v>1.3528957528957528</v>
      </c>
      <c r="E64" s="84"/>
      <c r="F64" s="52">
        <v>9975</v>
      </c>
      <c r="G64" s="109">
        <f t="shared" si="19"/>
        <v>1.4819491903134749</v>
      </c>
      <c r="H64" s="84"/>
      <c r="I64" s="52">
        <v>10556</v>
      </c>
      <c r="J64" s="66">
        <f t="shared" si="20"/>
        <v>1.0812250332889481</v>
      </c>
      <c r="K64" s="84"/>
      <c r="L64" s="52">
        <v>11081</v>
      </c>
      <c r="M64" s="66">
        <f t="shared" si="21"/>
        <v>0.67427284897164419</v>
      </c>
      <c r="N64" s="84"/>
      <c r="O64" s="10">
        <v>58021</v>
      </c>
      <c r="P64" s="66">
        <f t="shared" si="22"/>
        <v>2.4584127791195289</v>
      </c>
      <c r="Q64" s="20"/>
      <c r="R64" s="18"/>
      <c r="S64" s="58"/>
      <c r="T64" s="10">
        <f>'Support tab'!H41</f>
        <v>59472</v>
      </c>
      <c r="U64" s="10">
        <f>'Support tab'!I41</f>
        <v>60938</v>
      </c>
      <c r="V64" s="10">
        <f>'Support tab'!J41</f>
        <v>62419</v>
      </c>
      <c r="W64" s="10">
        <f>'Support tab'!K41</f>
        <v>63915</v>
      </c>
      <c r="X64" s="10">
        <f>'Support tab'!L41</f>
        <v>65426</v>
      </c>
      <c r="Y64" s="294" t="s">
        <v>166</v>
      </c>
      <c r="Z64" s="295"/>
      <c r="AA64" s="295"/>
      <c r="AB64" s="295"/>
      <c r="AC64" s="295"/>
      <c r="AD64" s="295"/>
      <c r="AE64" s="296"/>
    </row>
    <row r="65" spans="2:31" ht="15" x14ac:dyDescent="0.2">
      <c r="B65" s="11" t="s">
        <v>32</v>
      </c>
      <c r="C65" s="51">
        <v>-50</v>
      </c>
      <c r="D65" s="153">
        <f t="shared" si="18"/>
        <v>-7.7220077220077222E-3</v>
      </c>
      <c r="E65" s="83"/>
      <c r="F65" s="51">
        <v>-53</v>
      </c>
      <c r="G65" s="154">
        <f t="shared" si="19"/>
        <v>-7.874015748031496E-3</v>
      </c>
      <c r="H65" s="83"/>
      <c r="I65" s="51">
        <v>-131</v>
      </c>
      <c r="J65" s="153">
        <f t="shared" si="20"/>
        <v>-1.3418006760217146E-2</v>
      </c>
      <c r="K65" s="83"/>
      <c r="L65" s="51">
        <v>-2130</v>
      </c>
      <c r="M65" s="153">
        <f t="shared" si="21"/>
        <v>-0.12960934647681635</v>
      </c>
      <c r="N65" s="83"/>
      <c r="O65" s="13">
        <v>-3099</v>
      </c>
      <c r="P65" s="153">
        <f t="shared" si="22"/>
        <v>-0.13130799542392271</v>
      </c>
      <c r="Q65" s="7"/>
      <c r="R65" s="83"/>
      <c r="S65" s="83"/>
      <c r="T65" s="13">
        <f>'Support tab'!I54</f>
        <v>-4106</v>
      </c>
      <c r="U65" s="13">
        <f>'Support tab'!J54</f>
        <v>-5113</v>
      </c>
      <c r="V65" s="13">
        <f>'Support tab'!K54</f>
        <v>-6120</v>
      </c>
      <c r="W65" s="13">
        <f>'Support tab'!L54</f>
        <v>-7127</v>
      </c>
      <c r="X65" s="13">
        <f>'Support tab'!M54</f>
        <v>-8134</v>
      </c>
      <c r="Y65" s="297" t="s">
        <v>167</v>
      </c>
      <c r="Z65" s="272"/>
      <c r="AA65" s="272"/>
      <c r="AB65" s="272"/>
      <c r="AC65" s="272"/>
      <c r="AD65" s="272"/>
      <c r="AE65" s="273"/>
    </row>
    <row r="66" spans="2:31" ht="15" x14ac:dyDescent="0.2">
      <c r="B66" s="50" t="s">
        <v>33</v>
      </c>
      <c r="C66" s="52">
        <v>-7436</v>
      </c>
      <c r="D66" s="66">
        <f t="shared" si="18"/>
        <v>-1.1484169884169884</v>
      </c>
      <c r="E66" s="84"/>
      <c r="F66" s="52">
        <v>-7095</v>
      </c>
      <c r="G66" s="109">
        <f t="shared" si="19"/>
        <v>-1.0540781458921409</v>
      </c>
      <c r="H66" s="84"/>
      <c r="I66" s="52">
        <v>-4605</v>
      </c>
      <c r="J66" s="66">
        <f t="shared" si="20"/>
        <v>-0.47167878725801493</v>
      </c>
      <c r="K66" s="84"/>
      <c r="L66" s="52">
        <v>-1451</v>
      </c>
      <c r="M66" s="66">
        <f t="shared" si="21"/>
        <v>-8.8292564196178661E-2</v>
      </c>
      <c r="N66" s="84"/>
      <c r="O66" s="10">
        <v>-131</v>
      </c>
      <c r="P66" s="66">
        <f t="shared" si="22"/>
        <v>-5.5506122621922799E-3</v>
      </c>
      <c r="Q66" s="20"/>
      <c r="R66" s="113"/>
      <c r="S66" s="113"/>
      <c r="T66" s="34">
        <f ca="1">O66+T24</f>
        <v>2554.8674464756009</v>
      </c>
      <c r="U66" s="59">
        <f ca="1">T66+U24</f>
        <v>6599.1236536725401</v>
      </c>
      <c r="V66" s="59">
        <f t="shared" ref="V66:X66" ca="1" si="48">U66+V24</f>
        <v>12183.645310699018</v>
      </c>
      <c r="W66" s="59">
        <f t="shared" ca="1" si="48"/>
        <v>19539.490510029471</v>
      </c>
      <c r="X66" s="34">
        <f t="shared" ca="1" si="48"/>
        <v>28932.336766759487</v>
      </c>
      <c r="Y66" s="300" t="s">
        <v>168</v>
      </c>
      <c r="Z66" s="301"/>
      <c r="AA66" s="301"/>
      <c r="AB66" s="301"/>
      <c r="AC66" s="301"/>
      <c r="AD66" s="301"/>
      <c r="AE66" s="302"/>
    </row>
    <row r="67" spans="2:31" ht="15" x14ac:dyDescent="0.2">
      <c r="B67" s="49" t="s">
        <v>34</v>
      </c>
      <c r="C67" s="85">
        <v>-8</v>
      </c>
      <c r="D67" s="155">
        <f t="shared" si="18"/>
        <v>-1.2355212355212356E-3</v>
      </c>
      <c r="E67" s="96"/>
      <c r="F67" s="85">
        <v>0</v>
      </c>
      <c r="G67" s="156">
        <f t="shared" si="19"/>
        <v>0</v>
      </c>
      <c r="H67" s="96"/>
      <c r="I67" s="85">
        <v>17</v>
      </c>
      <c r="J67" s="155">
        <f t="shared" si="20"/>
        <v>1.7412680528526069E-3</v>
      </c>
      <c r="K67" s="96"/>
      <c r="L67" s="85">
        <v>-3</v>
      </c>
      <c r="M67" s="155">
        <f t="shared" si="21"/>
        <v>-1.8254837531945966E-4</v>
      </c>
      <c r="N67" s="96"/>
      <c r="O67" s="23">
        <v>-41</v>
      </c>
      <c r="P67" s="155">
        <f t="shared" si="22"/>
        <v>-1.7372145248082708E-3</v>
      </c>
      <c r="Q67" s="61"/>
      <c r="R67" s="119"/>
      <c r="S67" s="119"/>
      <c r="T67" s="37">
        <v>-50</v>
      </c>
      <c r="U67" s="86">
        <v>-50</v>
      </c>
      <c r="V67" s="86">
        <v>-50</v>
      </c>
      <c r="W67" s="86">
        <v>-50</v>
      </c>
      <c r="X67" s="37">
        <v>-50</v>
      </c>
      <c r="Y67" s="17"/>
      <c r="Z67" s="6"/>
      <c r="AA67" s="6"/>
      <c r="AB67" s="6"/>
      <c r="AC67" s="6"/>
      <c r="AD67" s="6"/>
      <c r="AE67" s="7"/>
    </row>
    <row r="68" spans="2:31" ht="15" x14ac:dyDescent="0.2">
      <c r="B68" s="14" t="s">
        <v>35</v>
      </c>
      <c r="C68" s="52">
        <v>1266</v>
      </c>
      <c r="D68" s="66">
        <f t="shared" si="18"/>
        <v>0.19552123552123551</v>
      </c>
      <c r="E68" s="84"/>
      <c r="F68" s="52">
        <v>2827</v>
      </c>
      <c r="G68" s="109">
        <f t="shared" si="19"/>
        <v>0.41999702867330263</v>
      </c>
      <c r="H68" s="84"/>
      <c r="I68" s="52">
        <v>5837</v>
      </c>
      <c r="J68" s="66">
        <f t="shared" si="20"/>
        <v>0.59786950732356858</v>
      </c>
      <c r="K68" s="84"/>
      <c r="L68" s="52">
        <v>7497</v>
      </c>
      <c r="M68" s="66">
        <f t="shared" si="21"/>
        <v>0.45618838992332966</v>
      </c>
      <c r="N68" s="84"/>
      <c r="O68" s="10">
        <v>54750</v>
      </c>
      <c r="P68" s="112">
        <f t="shared" si="22"/>
        <v>2.3198169569086056</v>
      </c>
      <c r="Q68" s="113"/>
      <c r="R68" s="113"/>
      <c r="S68" s="113"/>
      <c r="T68" s="34">
        <f ca="1">T64+T65+T66+T67</f>
        <v>57870.867446475604</v>
      </c>
      <c r="U68" s="59">
        <f t="shared" ref="U68:X68" ca="1" si="49">U64+U65+U66+U67</f>
        <v>62374.123653672541</v>
      </c>
      <c r="V68" s="59">
        <f t="shared" ca="1" si="49"/>
        <v>68432.645310699023</v>
      </c>
      <c r="W68" s="59">
        <f t="shared" ca="1" si="49"/>
        <v>76277.490510029471</v>
      </c>
      <c r="X68" s="34">
        <f t="shared" ca="1" si="49"/>
        <v>86174.336766759487</v>
      </c>
      <c r="Y68" s="313" t="s">
        <v>169</v>
      </c>
      <c r="Z68" s="314"/>
      <c r="AA68" s="314"/>
      <c r="AB68" s="314"/>
      <c r="AC68" s="314"/>
      <c r="AD68" s="314"/>
      <c r="AE68" s="315"/>
    </row>
    <row r="69" spans="2:31" ht="15" x14ac:dyDescent="0.2">
      <c r="B69" s="157" t="s">
        <v>36</v>
      </c>
      <c r="C69" s="158">
        <v>4556</v>
      </c>
      <c r="D69" s="159">
        <f t="shared" si="18"/>
        <v>0.7036293436293436</v>
      </c>
      <c r="E69" s="96"/>
      <c r="F69" s="158">
        <v>6028</v>
      </c>
      <c r="G69" s="160">
        <f t="shared" si="19"/>
        <v>0.89555786658743131</v>
      </c>
      <c r="H69" s="96"/>
      <c r="I69" s="158">
        <v>8962</v>
      </c>
      <c r="J69" s="159">
        <f t="shared" si="20"/>
        <v>0.91795554645088595</v>
      </c>
      <c r="K69" s="96"/>
      <c r="L69" s="158">
        <v>12419</v>
      </c>
      <c r="M69" s="159">
        <f t="shared" si="21"/>
        <v>0.75568942436412312</v>
      </c>
      <c r="N69" s="96"/>
      <c r="O69" s="161">
        <v>67580</v>
      </c>
      <c r="P69" s="159">
        <f t="shared" si="22"/>
        <v>2.8634379899156817</v>
      </c>
      <c r="Q69" s="88"/>
      <c r="R69" s="119"/>
      <c r="S69" s="119"/>
      <c r="T69" s="37">
        <f ca="1">T68+SUM(T50:T55,T57:T61)</f>
        <v>71884.915964858679</v>
      </c>
      <c r="U69" s="86">
        <f ca="1">U68+SUM(U50:U55,U57:U61)</f>
        <v>77032.942262313081</v>
      </c>
      <c r="V69" s="86">
        <f t="shared" ref="V69:X69" ca="1" si="50">V68+SUM(V50:V55,V57:V61)</f>
        <v>84704.36233563564</v>
      </c>
      <c r="W69" s="86">
        <f t="shared" ca="1" si="50"/>
        <v>94411.974776206582</v>
      </c>
      <c r="X69" s="37">
        <f t="shared" ca="1" si="50"/>
        <v>106461.06298536315</v>
      </c>
      <c r="Y69" s="151"/>
      <c r="Z69" s="87"/>
      <c r="AA69" s="87"/>
      <c r="AB69" s="87"/>
      <c r="AC69" s="87"/>
      <c r="AD69" s="87"/>
      <c r="AE69" s="88"/>
    </row>
    <row r="70" spans="2:31" ht="15" x14ac:dyDescent="0.2">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2:31" ht="15" x14ac:dyDescent="0.2">
      <c r="B71" s="42" t="s">
        <v>215</v>
      </c>
      <c r="C71" s="6"/>
      <c r="D71" s="6"/>
      <c r="E71" s="6"/>
      <c r="F71" s="6"/>
      <c r="G71" s="6"/>
      <c r="H71" s="6"/>
      <c r="I71" s="6"/>
      <c r="J71" s="6"/>
      <c r="K71" s="6"/>
      <c r="L71" s="6"/>
      <c r="M71" s="6"/>
      <c r="N71" s="6"/>
      <c r="O71" s="6"/>
      <c r="P71" s="6"/>
      <c r="Q71" s="6"/>
      <c r="R71" s="96" t="s">
        <v>131</v>
      </c>
      <c r="S71" s="96"/>
      <c r="T71" s="85">
        <f>SUM(T35:T38,T42:T47)</f>
        <v>62926.550018038906</v>
      </c>
      <c r="U71" s="85">
        <f t="shared" ref="U71:X71" si="51">SUM(U35:U38,U42:U47)</f>
        <v>65121.282520744746</v>
      </c>
      <c r="V71" s="85">
        <f t="shared" si="51"/>
        <v>67645.224898856453</v>
      </c>
      <c r="W71" s="85">
        <f t="shared" si="51"/>
        <v>70547.75863368492</v>
      </c>
      <c r="X71" s="85">
        <f t="shared" si="51"/>
        <v>73885.672428737656</v>
      </c>
      <c r="Y71" s="6"/>
      <c r="Z71" s="6"/>
      <c r="AA71" s="6"/>
      <c r="AB71" s="6"/>
      <c r="AC71" s="6"/>
      <c r="AD71" s="6"/>
      <c r="AE71" s="6"/>
    </row>
    <row r="72" spans="2:31" ht="15" x14ac:dyDescent="0.2">
      <c r="B72" s="6"/>
      <c r="C72" s="6"/>
      <c r="D72" s="6"/>
      <c r="E72" s="6"/>
      <c r="F72" s="6"/>
      <c r="G72" s="6"/>
      <c r="H72" s="6"/>
      <c r="I72" s="6"/>
      <c r="J72" s="6"/>
      <c r="K72" s="6"/>
      <c r="L72" s="6"/>
      <c r="M72" s="6"/>
      <c r="N72" s="6"/>
      <c r="O72" s="6"/>
      <c r="P72" s="6"/>
      <c r="Q72" s="6"/>
      <c r="R72" s="96" t="s">
        <v>132</v>
      </c>
      <c r="S72" s="96"/>
      <c r="T72" s="85">
        <f ca="1">SUM(T50:T55,T57:T61,T68)-T59</f>
        <v>71884.915964858679</v>
      </c>
      <c r="U72" s="85">
        <f t="shared" ref="U72:X72" ca="1" si="52">SUM(U50:U55,U57:U61,U68)-U59</f>
        <v>77032.942262313081</v>
      </c>
      <c r="V72" s="85">
        <f t="shared" ca="1" si="52"/>
        <v>84704.36233563564</v>
      </c>
      <c r="W72" s="85">
        <f t="shared" ca="1" si="52"/>
        <v>94411.974776206582</v>
      </c>
      <c r="X72" s="85">
        <f t="shared" ca="1" si="52"/>
        <v>106461.06298536315</v>
      </c>
      <c r="Y72" s="6"/>
      <c r="Z72" s="6"/>
      <c r="AA72" s="6"/>
      <c r="AB72" s="6"/>
      <c r="AC72" s="6"/>
      <c r="AD72" s="6"/>
      <c r="AE72" s="6"/>
    </row>
    <row r="73" spans="2:31" ht="15" x14ac:dyDescent="0.2">
      <c r="B73" s="6"/>
      <c r="C73" s="6"/>
      <c r="D73" s="6"/>
      <c r="E73" s="6"/>
      <c r="F73" s="6"/>
      <c r="G73" s="6"/>
      <c r="H73" s="6"/>
      <c r="I73" s="6"/>
      <c r="J73" s="6"/>
      <c r="K73" s="6"/>
      <c r="L73" s="6"/>
      <c r="M73" s="6"/>
      <c r="N73" s="6"/>
      <c r="O73" s="6"/>
      <c r="P73" s="6"/>
      <c r="Q73" s="6"/>
      <c r="R73" s="96" t="s">
        <v>133</v>
      </c>
      <c r="S73" s="96"/>
      <c r="T73" s="85">
        <f ca="1">T71-T72</f>
        <v>-8958.3659468197729</v>
      </c>
      <c r="U73" s="85">
        <f t="shared" ref="U73:X73" ca="1" si="53">U71-U72</f>
        <v>-11911.659741568335</v>
      </c>
      <c r="V73" s="85">
        <f t="shared" ca="1" si="53"/>
        <v>-17059.137436779187</v>
      </c>
      <c r="W73" s="85">
        <f t="shared" ca="1" si="53"/>
        <v>-23864.216142521662</v>
      </c>
      <c r="X73" s="85">
        <f t="shared" ca="1" si="53"/>
        <v>-32575.390556625498</v>
      </c>
      <c r="Y73" s="6"/>
      <c r="Z73" s="6"/>
      <c r="AA73" s="6"/>
      <c r="AB73" s="6"/>
      <c r="AC73" s="6"/>
      <c r="AD73" s="6"/>
      <c r="AE73" s="6"/>
    </row>
    <row r="74" spans="2:31" ht="15" x14ac:dyDescent="0.2">
      <c r="R74" s="96" t="s">
        <v>238</v>
      </c>
      <c r="S74" s="96"/>
      <c r="T74" s="96">
        <v>1500</v>
      </c>
      <c r="U74" s="96">
        <v>1500</v>
      </c>
      <c r="V74" s="96">
        <v>1500</v>
      </c>
      <c r="W74" s="96">
        <v>1500</v>
      </c>
      <c r="X74" s="96">
        <v>1500</v>
      </c>
    </row>
    <row r="75" spans="2:31" ht="15" x14ac:dyDescent="0.2">
      <c r="R75" s="96" t="s">
        <v>239</v>
      </c>
      <c r="S75" s="96"/>
      <c r="T75" s="85">
        <f ca="1">T59</f>
        <v>0</v>
      </c>
      <c r="U75" s="85">
        <f t="shared" ref="U75:X75" ca="1" si="54">U59</f>
        <v>0</v>
      </c>
      <c r="V75" s="85">
        <f t="shared" ca="1" si="54"/>
        <v>0</v>
      </c>
      <c r="W75" s="85">
        <f t="shared" ca="1" si="54"/>
        <v>0</v>
      </c>
      <c r="X75" s="85">
        <f t="shared" ca="1" si="54"/>
        <v>0</v>
      </c>
    </row>
  </sheetData>
  <mergeCells count="53">
    <mergeCell ref="C6:Q6"/>
    <mergeCell ref="R6:S6"/>
    <mergeCell ref="T6:X6"/>
    <mergeCell ref="C7:D7"/>
    <mergeCell ref="F7:G7"/>
    <mergeCell ref="I7:J7"/>
    <mergeCell ref="L7:M7"/>
    <mergeCell ref="O7:P7"/>
    <mergeCell ref="R7:S7"/>
    <mergeCell ref="Y23:AE23"/>
    <mergeCell ref="Y9:AE9"/>
    <mergeCell ref="Y10:AE10"/>
    <mergeCell ref="Y11:AE11"/>
    <mergeCell ref="Y12:AE12"/>
    <mergeCell ref="Y14:AE14"/>
    <mergeCell ref="Y15:AE15"/>
    <mergeCell ref="Y16:AE16"/>
    <mergeCell ref="Y17:AE17"/>
    <mergeCell ref="Y19:AE19"/>
    <mergeCell ref="Y20:AE20"/>
    <mergeCell ref="Y22:AE22"/>
    <mergeCell ref="Y44:AE44"/>
    <mergeCell ref="Y26:AE26"/>
    <mergeCell ref="Y27:AE27"/>
    <mergeCell ref="Y29:AE30"/>
    <mergeCell ref="Y34:AE34"/>
    <mergeCell ref="Y35:AE35"/>
    <mergeCell ref="Y36:AE36"/>
    <mergeCell ref="Y65:AE65"/>
    <mergeCell ref="Y66:AE66"/>
    <mergeCell ref="Y68:AE68"/>
    <mergeCell ref="Y53:AE53"/>
    <mergeCell ref="Y54:AE54"/>
    <mergeCell ref="Y55:AE55"/>
    <mergeCell ref="Y57:AE57"/>
    <mergeCell ref="Y58:AE58"/>
    <mergeCell ref="Y59:AE59"/>
    <mergeCell ref="AF60:AS60"/>
    <mergeCell ref="AF19:AS19"/>
    <mergeCell ref="Y60:AE60"/>
    <mergeCell ref="Y61:AE61"/>
    <mergeCell ref="Y64:AE64"/>
    <mergeCell ref="Y45:AE45"/>
    <mergeCell ref="Y46:AE46"/>
    <mergeCell ref="Y47:AE47"/>
    <mergeCell ref="Y50:AE50"/>
    <mergeCell ref="Y51:AE51"/>
    <mergeCell ref="Y52:AE52"/>
    <mergeCell ref="Y37:AE37"/>
    <mergeCell ref="Y38:AE38"/>
    <mergeCell ref="Y40:AE40"/>
    <mergeCell ref="Y41:AE41"/>
    <mergeCell ref="Y43:AE43"/>
  </mergeCells>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986BA-D756-43B5-857B-D2A1CED4627E}">
  <dimension ref="A1:Y285"/>
  <sheetViews>
    <sheetView showGridLines="0" topLeftCell="A77" zoomScaleNormal="100" workbookViewId="0">
      <selection activeCell="L35" sqref="L35"/>
    </sheetView>
  </sheetViews>
  <sheetFormatPr defaultRowHeight="14.25" x14ac:dyDescent="0.2"/>
  <cols>
    <col min="2" max="2" width="32.375" customWidth="1"/>
    <col min="3" max="3" width="13.375" customWidth="1"/>
    <col min="4" max="9" width="12.125" bestFit="1" customWidth="1"/>
    <col min="10" max="12" width="13.125" bestFit="1" customWidth="1"/>
    <col min="16" max="21" width="16.125" customWidth="1"/>
    <col min="24" max="25" width="20.5" customWidth="1"/>
  </cols>
  <sheetData>
    <row r="1" spans="1:25" ht="15" x14ac:dyDescent="0.2">
      <c r="B1" s="385" t="s">
        <v>334</v>
      </c>
      <c r="C1" s="386"/>
      <c r="D1" s="386"/>
      <c r="E1" s="386"/>
      <c r="F1" s="386"/>
      <c r="G1" s="386"/>
      <c r="H1" s="386"/>
      <c r="I1" s="386"/>
      <c r="J1" s="386"/>
      <c r="K1" s="386"/>
      <c r="L1" s="387"/>
      <c r="P1" s="267" t="s">
        <v>273</v>
      </c>
      <c r="Q1" s="382"/>
      <c r="R1" s="382"/>
      <c r="S1" s="382"/>
      <c r="T1" s="382"/>
      <c r="U1" s="382"/>
    </row>
    <row r="2" spans="1:25" ht="15" x14ac:dyDescent="0.2">
      <c r="A2" s="168"/>
      <c r="B2" s="60"/>
      <c r="C2" s="94">
        <v>2018</v>
      </c>
      <c r="D2" s="94">
        <v>2019</v>
      </c>
      <c r="E2" s="94">
        <v>2020</v>
      </c>
      <c r="F2" s="94">
        <v>2021</v>
      </c>
      <c r="G2" s="191" t="s">
        <v>336</v>
      </c>
      <c r="H2" s="94">
        <v>2023</v>
      </c>
      <c r="I2" s="94">
        <v>2024</v>
      </c>
      <c r="J2" s="94">
        <v>2025</v>
      </c>
      <c r="K2" s="94">
        <v>2026</v>
      </c>
      <c r="L2" s="95">
        <v>2027</v>
      </c>
      <c r="M2" s="6"/>
      <c r="N2" s="6"/>
      <c r="O2" s="6"/>
      <c r="P2" s="6"/>
      <c r="Q2" s="43" t="s">
        <v>280</v>
      </c>
      <c r="R2" s="43" t="s">
        <v>285</v>
      </c>
      <c r="S2" s="43" t="s">
        <v>281</v>
      </c>
      <c r="T2" s="43" t="s">
        <v>286</v>
      </c>
      <c r="U2" s="43" t="s">
        <v>274</v>
      </c>
    </row>
    <row r="3" spans="1:25" ht="15" x14ac:dyDescent="0.25">
      <c r="A3" s="168"/>
      <c r="B3" s="17" t="s">
        <v>54</v>
      </c>
      <c r="C3" s="12">
        <f>-'IS&amp;BS pro forma'!C19</f>
        <v>121</v>
      </c>
      <c r="D3" s="12">
        <f>-'IS&amp;BS pro forma'!F19</f>
        <v>94</v>
      </c>
      <c r="E3" s="12">
        <f>-'IS&amp;BS pro forma'!I19</f>
        <v>47</v>
      </c>
      <c r="F3" s="12">
        <f>-'IS&amp;BS pro forma'!L19</f>
        <v>34</v>
      </c>
      <c r="G3" s="12">
        <f>-'IS&amp;BS pro forma'!O19</f>
        <v>88</v>
      </c>
      <c r="H3" s="12">
        <f ca="1">-'IS&amp;BS pro forma'!T19</f>
        <v>81.543749999999989</v>
      </c>
      <c r="I3" s="12">
        <f ca="1">-'IS&amp;BS pro forma'!U19</f>
        <v>59.418750000000003</v>
      </c>
      <c r="J3" s="12">
        <f ca="1">-'IS&amp;BS pro forma'!V19</f>
        <v>59.418750000000003</v>
      </c>
      <c r="K3" s="12">
        <f ca="1">-'IS&amp;BS pro forma'!W19</f>
        <v>59.397499999999994</v>
      </c>
      <c r="L3" s="13">
        <f ca="1">-'IS&amp;BS pro forma'!X19</f>
        <v>59.397499999999994</v>
      </c>
      <c r="M3" s="6"/>
      <c r="N3" s="6"/>
      <c r="O3" s="6"/>
      <c r="P3" s="172">
        <v>43070</v>
      </c>
      <c r="Q3" s="139">
        <v>10.28</v>
      </c>
      <c r="R3" s="139"/>
      <c r="S3" s="139">
        <v>2673.61</v>
      </c>
      <c r="T3" s="139"/>
      <c r="U3" s="254">
        <v>2.4</v>
      </c>
      <c r="X3" s="39" t="s">
        <v>275</v>
      </c>
      <c r="Y3" s="245" t="s">
        <v>276</v>
      </c>
    </row>
    <row r="4" spans="1:25" ht="15" x14ac:dyDescent="0.25">
      <c r="A4" s="168"/>
      <c r="B4" s="17" t="s">
        <v>191</v>
      </c>
      <c r="C4" s="12">
        <v>18</v>
      </c>
      <c r="D4" s="12">
        <v>15</v>
      </c>
      <c r="E4" s="12">
        <v>8</v>
      </c>
      <c r="F4" s="12">
        <v>8</v>
      </c>
      <c r="G4" s="12">
        <v>65</v>
      </c>
      <c r="H4" s="12">
        <f>'Support tab'!F77</f>
        <v>65</v>
      </c>
      <c r="I4" s="12">
        <f>'Support tab'!G77</f>
        <v>65</v>
      </c>
      <c r="J4" s="12">
        <f>'Support tab'!H77</f>
        <v>65</v>
      </c>
      <c r="K4" s="12">
        <f>'Support tab'!I77</f>
        <v>65</v>
      </c>
      <c r="L4" s="13">
        <f>'Support tab'!J77</f>
        <v>65</v>
      </c>
      <c r="M4" s="6"/>
      <c r="N4" s="6"/>
      <c r="O4" s="6"/>
      <c r="P4" s="172">
        <v>43101</v>
      </c>
      <c r="Q4" s="139">
        <v>13.74</v>
      </c>
      <c r="R4" s="139">
        <f>LN(Q4/Q3)*100</f>
        <v>29.01110267671843</v>
      </c>
      <c r="S4" s="139">
        <v>2823.81</v>
      </c>
      <c r="T4" s="139">
        <f>LN(S4/S3)*100</f>
        <v>5.4657417787024949</v>
      </c>
      <c r="U4" s="254">
        <v>2.72</v>
      </c>
      <c r="X4" s="246" cm="1">
        <f t="array" ref="X4:Y4">LINEST(R3:R63-U3:U63,T3:T63-U3:U63,TRUE)</f>
        <v>2.0175313633923198</v>
      </c>
      <c r="Y4" s="247">
        <v>3.9137253333729065</v>
      </c>
    </row>
    <row r="5" spans="1:25" ht="15" x14ac:dyDescent="0.25">
      <c r="A5" s="168"/>
      <c r="B5" s="17" t="s">
        <v>261</v>
      </c>
      <c r="C5" s="12">
        <f>C3-C4</f>
        <v>103</v>
      </c>
      <c r="D5" s="12">
        <f t="shared" ref="D5:G5" si="0">D3-D4</f>
        <v>79</v>
      </c>
      <c r="E5" s="12">
        <f t="shared" si="0"/>
        <v>39</v>
      </c>
      <c r="F5" s="12">
        <f t="shared" si="0"/>
        <v>26</v>
      </c>
      <c r="G5" s="12">
        <f t="shared" si="0"/>
        <v>23</v>
      </c>
      <c r="H5" s="12">
        <f ca="1">H3-H4</f>
        <v>16.543749999999989</v>
      </c>
      <c r="I5" s="12">
        <f t="shared" ref="I5:L5" ca="1" si="1">I3-I4</f>
        <v>-5.5812499999999972</v>
      </c>
      <c r="J5" s="12">
        <f t="shared" ca="1" si="1"/>
        <v>-5.5812499999999972</v>
      </c>
      <c r="K5" s="12">
        <f t="shared" ca="1" si="1"/>
        <v>-5.6025000000000063</v>
      </c>
      <c r="L5" s="13">
        <f t="shared" ca="1" si="1"/>
        <v>-5.6025000000000063</v>
      </c>
      <c r="M5" s="6"/>
      <c r="N5" s="6"/>
      <c r="O5" s="6"/>
      <c r="P5" s="172">
        <v>43132</v>
      </c>
      <c r="Q5" s="139">
        <v>12.11</v>
      </c>
      <c r="R5" s="139">
        <f t="shared" ref="R5:R57" si="2">LN(Q5/Q4)*100</f>
        <v>-12.627972922920247</v>
      </c>
      <c r="S5" s="139">
        <v>2713.83</v>
      </c>
      <c r="T5" s="139">
        <f t="shared" ref="T5:T57" si="3">LN(S5/S4)*100</f>
        <v>-3.9726115635920696</v>
      </c>
      <c r="U5" s="254">
        <v>2.87</v>
      </c>
      <c r="X5" s="5" t="s">
        <v>130</v>
      </c>
      <c r="Y5" s="248" t="s">
        <v>339</v>
      </c>
    </row>
    <row r="6" spans="1:25" ht="15" x14ac:dyDescent="0.25">
      <c r="A6" s="168"/>
      <c r="B6" s="17" t="s">
        <v>262</v>
      </c>
      <c r="C6" s="12">
        <f>BSmod!B3</f>
        <v>1156</v>
      </c>
      <c r="D6" s="12">
        <f>BSmod!C3</f>
        <v>1503</v>
      </c>
      <c r="E6" s="12">
        <f>BSmod!D3</f>
        <v>2290</v>
      </c>
      <c r="F6" s="12">
        <f>BSmod!E3</f>
        <v>3608</v>
      </c>
      <c r="G6" s="12">
        <f>BSmod!F3</f>
        <v>5855</v>
      </c>
      <c r="H6" s="12">
        <f ca="1">'IS&amp;BS pro forma'!T34</f>
        <v>8958.3659468197729</v>
      </c>
      <c r="I6" s="12">
        <f ca="1">'IS&amp;BS pro forma'!U34</f>
        <v>11911.659741568335</v>
      </c>
      <c r="J6" s="12">
        <f ca="1">'IS&amp;BS pro forma'!V34</f>
        <v>17059.137436779187</v>
      </c>
      <c r="K6" s="12">
        <f ca="1">'IS&amp;BS pro forma'!W34</f>
        <v>23864.216142521662</v>
      </c>
      <c r="L6" s="13">
        <f ca="1">'IS&amp;BS pro forma'!X34</f>
        <v>32575.390556625498</v>
      </c>
      <c r="M6" s="6"/>
      <c r="N6" s="6"/>
      <c r="O6" s="6"/>
      <c r="P6" s="172">
        <v>43160</v>
      </c>
      <c r="Q6" s="139">
        <v>10.050000000000001</v>
      </c>
      <c r="R6" s="139">
        <f t="shared" si="2"/>
        <v>-18.645892305991605</v>
      </c>
      <c r="S6" s="139">
        <v>2640.87</v>
      </c>
      <c r="T6" s="139">
        <f t="shared" si="3"/>
        <v>-2.7252512953792429</v>
      </c>
      <c r="U6" s="254">
        <v>2.74</v>
      </c>
      <c r="X6" s="249">
        <v>0.14000000000000001</v>
      </c>
      <c r="Y6" s="182">
        <v>3.5900000000000001E-2</v>
      </c>
    </row>
    <row r="7" spans="1:25" ht="15" x14ac:dyDescent="0.25">
      <c r="A7" s="168"/>
      <c r="B7" s="17" t="s">
        <v>20</v>
      </c>
      <c r="C7" s="12">
        <f>BSmod!B19</f>
        <v>136</v>
      </c>
      <c r="D7" s="12">
        <f>BSmod!C19</f>
        <v>0</v>
      </c>
      <c r="E7" s="12">
        <f>BSmod!D19</f>
        <v>0</v>
      </c>
      <c r="F7" s="12">
        <f>BSmod!E19</f>
        <v>0</v>
      </c>
      <c r="G7" s="12">
        <f>BSmod!F19</f>
        <v>0</v>
      </c>
      <c r="H7" s="12">
        <f>'IS&amp;BS pro forma'!T50</f>
        <v>0</v>
      </c>
      <c r="I7" s="12">
        <f>'IS&amp;BS pro forma'!U50</f>
        <v>0</v>
      </c>
      <c r="J7" s="12">
        <f>'IS&amp;BS pro forma'!V50</f>
        <v>0</v>
      </c>
      <c r="K7" s="12">
        <f>'IS&amp;BS pro forma'!W50</f>
        <v>0</v>
      </c>
      <c r="L7" s="13">
        <f>'IS&amp;BS pro forma'!X50</f>
        <v>0</v>
      </c>
      <c r="M7" s="6"/>
      <c r="N7" s="6"/>
      <c r="O7" s="6"/>
      <c r="P7" s="172">
        <v>43191</v>
      </c>
      <c r="Q7" s="139">
        <v>10.88</v>
      </c>
      <c r="R7" s="139">
        <f t="shared" si="2"/>
        <v>7.9353606922711819</v>
      </c>
      <c r="S7" s="139">
        <v>2648.05</v>
      </c>
      <c r="T7" s="139">
        <f t="shared" si="3"/>
        <v>0.27151117471289338</v>
      </c>
      <c r="U7" s="254">
        <v>2.95</v>
      </c>
      <c r="X7" s="250" t="s">
        <v>371</v>
      </c>
      <c r="Y7" s="7" t="s">
        <v>277</v>
      </c>
    </row>
    <row r="8" spans="1:25" ht="15" x14ac:dyDescent="0.25">
      <c r="A8" s="168"/>
      <c r="B8" s="173" t="s">
        <v>39</v>
      </c>
      <c r="C8" s="12">
        <f>BSmod!B23</f>
        <v>0</v>
      </c>
      <c r="D8" s="12">
        <f>BSmod!C23</f>
        <v>0</v>
      </c>
      <c r="E8" s="12">
        <f>BSmod!D23</f>
        <v>0</v>
      </c>
      <c r="F8" s="12">
        <f>BSmod!E23</f>
        <v>312</v>
      </c>
      <c r="G8" s="12">
        <f>BSmod!F23</f>
        <v>0</v>
      </c>
      <c r="H8" s="12">
        <f>'IS&amp;BS pro forma'!T54</f>
        <v>750</v>
      </c>
      <c r="I8" s="12">
        <f>'IS&amp;BS pro forma'!U54</f>
        <v>0</v>
      </c>
      <c r="J8" s="12">
        <f>'IS&amp;BS pro forma'!V54</f>
        <v>1</v>
      </c>
      <c r="K8" s="12">
        <f>'IS&amp;BS pro forma'!W54</f>
        <v>0</v>
      </c>
      <c r="L8" s="13">
        <f>'IS&amp;BS pro forma'!X54</f>
        <v>0</v>
      </c>
      <c r="M8" s="6"/>
      <c r="N8" s="6"/>
      <c r="O8" s="6"/>
      <c r="P8" s="172">
        <v>43221</v>
      </c>
      <c r="Q8" s="139">
        <v>13.73</v>
      </c>
      <c r="R8" s="139">
        <f t="shared" si="2"/>
        <v>23.265697835208314</v>
      </c>
      <c r="S8" s="139">
        <v>2705.27</v>
      </c>
      <c r="T8" s="139">
        <f t="shared" si="3"/>
        <v>2.1378202402637565</v>
      </c>
      <c r="U8" s="254">
        <v>2.83</v>
      </c>
      <c r="X8" s="251">
        <v>5.1400000000000001E-2</v>
      </c>
      <c r="Y8" s="182">
        <f>X8+Y6</f>
        <v>8.7300000000000003E-2</v>
      </c>
    </row>
    <row r="9" spans="1:25" ht="15" x14ac:dyDescent="0.25">
      <c r="A9" s="168"/>
      <c r="B9" s="17" t="s">
        <v>263</v>
      </c>
      <c r="C9" s="12">
        <f>BSmod!B26</f>
        <v>1114</v>
      </c>
      <c r="D9" s="12">
        <f>BSmod!C26</f>
        <v>486</v>
      </c>
      <c r="E9" s="12">
        <f>BSmod!D26</f>
        <v>330</v>
      </c>
      <c r="F9" s="12">
        <f>BSmod!E26</f>
        <v>1</v>
      </c>
      <c r="G9" s="12">
        <f>BSmod!F26</f>
        <v>2467</v>
      </c>
      <c r="H9" s="12">
        <f ca="1">'IS&amp;BS pro forma'!T57</f>
        <v>1635.4562500000002</v>
      </c>
      <c r="I9" s="12">
        <f ca="1">'IS&amp;BS pro forma'!U57</f>
        <v>1576.0375000000001</v>
      </c>
      <c r="J9" s="12">
        <f ca="1">'IS&amp;BS pro forma'!V57</f>
        <v>1515.6187500000001</v>
      </c>
      <c r="K9" s="12">
        <f ca="1">'IS&amp;BS pro forma'!W57</f>
        <v>1456.2212500000001</v>
      </c>
      <c r="L9" s="13">
        <f ca="1">'IS&amp;BS pro forma'!X57</f>
        <v>1396.82375</v>
      </c>
      <c r="M9" s="6"/>
      <c r="N9" s="6"/>
      <c r="O9" s="6"/>
      <c r="P9" s="172">
        <v>43252</v>
      </c>
      <c r="Q9" s="139">
        <v>14.99</v>
      </c>
      <c r="R9" s="139">
        <f t="shared" si="2"/>
        <v>8.7800092334626552</v>
      </c>
      <c r="S9" s="139">
        <v>2718.37</v>
      </c>
      <c r="T9" s="139">
        <f t="shared" si="3"/>
        <v>0.48307134968018611</v>
      </c>
      <c r="U9" s="254">
        <v>2.85</v>
      </c>
      <c r="X9" s="5" t="s">
        <v>278</v>
      </c>
      <c r="Y9" s="133" t="s">
        <v>279</v>
      </c>
    </row>
    <row r="10" spans="1:25" ht="15" x14ac:dyDescent="0.25">
      <c r="A10" s="168"/>
      <c r="B10" s="17" t="s">
        <v>264</v>
      </c>
      <c r="C10" s="12">
        <f>SUM(C7:C9)-C6</f>
        <v>94</v>
      </c>
      <c r="D10" s="12">
        <f t="shared" ref="D10:L10" si="4">SUM(D7:D9)-D6</f>
        <v>-1017</v>
      </c>
      <c r="E10" s="12">
        <f t="shared" si="4"/>
        <v>-1960</v>
      </c>
      <c r="F10" s="12">
        <f t="shared" si="4"/>
        <v>-3295</v>
      </c>
      <c r="G10" s="12">
        <f t="shared" si="4"/>
        <v>-3388</v>
      </c>
      <c r="H10" s="12">
        <f t="shared" ca="1" si="4"/>
        <v>-6572.9096968197728</v>
      </c>
      <c r="I10" s="12">
        <f t="shared" ca="1" si="4"/>
        <v>-10335.622241568335</v>
      </c>
      <c r="J10" s="12">
        <f t="shared" ca="1" si="4"/>
        <v>-15542.518686779187</v>
      </c>
      <c r="K10" s="12">
        <f t="shared" ca="1" si="4"/>
        <v>-22407.994892521663</v>
      </c>
      <c r="L10" s="13">
        <f t="shared" ca="1" si="4"/>
        <v>-31178.566806625498</v>
      </c>
      <c r="M10" s="6"/>
      <c r="N10" s="6"/>
      <c r="O10" s="6"/>
      <c r="P10" s="172">
        <v>43282</v>
      </c>
      <c r="Q10" s="139">
        <v>18.329999999999998</v>
      </c>
      <c r="R10" s="139">
        <f t="shared" si="2"/>
        <v>20.115574973710721</v>
      </c>
      <c r="S10" s="139">
        <v>2816.29</v>
      </c>
      <c r="T10" s="139">
        <f t="shared" si="3"/>
        <v>3.538797997679926</v>
      </c>
      <c r="U10" s="254">
        <v>2.96</v>
      </c>
      <c r="X10" s="251">
        <f>Y6+X4*X8</f>
        <v>0.13960111207836523</v>
      </c>
      <c r="Y10" s="182">
        <f>Y6*(1-X6)+X4*(Y8-Y6*(1-X6))</f>
        <v>0.14471522471077505</v>
      </c>
    </row>
    <row r="11" spans="1:25" ht="15" x14ac:dyDescent="0.25">
      <c r="A11" s="168"/>
      <c r="B11" s="5" t="s">
        <v>265</v>
      </c>
      <c r="C11" s="12"/>
      <c r="D11" s="135">
        <f>D3/((SUM(C8,C7,C9,D9,D8,D7)/2))</f>
        <v>0.10829493087557604</v>
      </c>
      <c r="E11" s="135">
        <f t="shared" ref="E11:L11" si="5">E3/((SUM(D8,D7,D9,E9,E8,E7)/2))</f>
        <v>0.11519607843137254</v>
      </c>
      <c r="F11" s="135">
        <f t="shared" si="5"/>
        <v>0.10575427682737169</v>
      </c>
      <c r="G11" s="135">
        <f t="shared" si="5"/>
        <v>6.3309352517985612E-2</v>
      </c>
      <c r="H11" s="135">
        <f t="shared" ca="1" si="5"/>
        <v>3.3609267471499608E-2</v>
      </c>
      <c r="I11" s="135">
        <f t="shared" ca="1" si="5"/>
        <v>2.9998154105380072E-2</v>
      </c>
      <c r="J11" s="135">
        <f t="shared" ca="1" si="5"/>
        <v>3.842570605769717E-2</v>
      </c>
      <c r="K11" s="135">
        <f t="shared" ca="1" si="5"/>
        <v>3.9960105488354561E-2</v>
      </c>
      <c r="L11" s="136">
        <f t="shared" ca="1" si="5"/>
        <v>4.1637969257407433E-2</v>
      </c>
      <c r="M11" s="6"/>
      <c r="N11" s="6"/>
      <c r="O11" s="6"/>
      <c r="P11" s="172">
        <v>43313</v>
      </c>
      <c r="Q11" s="139">
        <v>25.17</v>
      </c>
      <c r="R11" s="139">
        <f t="shared" si="2"/>
        <v>31.711374729561108</v>
      </c>
      <c r="S11" s="139">
        <v>2901.52</v>
      </c>
      <c r="T11" s="139">
        <f t="shared" si="3"/>
        <v>2.9814321663194847</v>
      </c>
      <c r="U11" s="254">
        <v>2.86</v>
      </c>
      <c r="X11" s="17"/>
      <c r="Y11" s="7"/>
    </row>
    <row r="12" spans="1:25" ht="15" x14ac:dyDescent="0.25">
      <c r="A12" s="168"/>
      <c r="B12" s="5" t="s">
        <v>266</v>
      </c>
      <c r="C12" s="12"/>
      <c r="D12" s="12"/>
      <c r="E12" s="12"/>
      <c r="F12" s="12"/>
      <c r="G12" s="12"/>
      <c r="H12" s="12"/>
      <c r="I12" s="12"/>
      <c r="J12" s="12"/>
      <c r="K12" s="12"/>
      <c r="L12" s="12"/>
      <c r="M12" s="351" t="s">
        <v>484</v>
      </c>
      <c r="N12" s="270"/>
      <c r="O12" s="6"/>
      <c r="P12" s="172">
        <v>43344</v>
      </c>
      <c r="Q12" s="139">
        <v>30.889999</v>
      </c>
      <c r="R12" s="139">
        <f t="shared" si="2"/>
        <v>20.477966541032895</v>
      </c>
      <c r="S12" s="139">
        <v>2913.98</v>
      </c>
      <c r="T12" s="139">
        <f t="shared" si="3"/>
        <v>0.42851067203219051</v>
      </c>
      <c r="U12" s="254">
        <v>3.05</v>
      </c>
      <c r="X12" s="5" t="s">
        <v>282</v>
      </c>
      <c r="Y12" s="133" t="s">
        <v>283</v>
      </c>
    </row>
    <row r="13" spans="1:25" ht="15" x14ac:dyDescent="0.25">
      <c r="A13" s="168"/>
      <c r="B13" s="17" t="s">
        <v>465</v>
      </c>
      <c r="C13" s="12">
        <f>ISmod!B2</f>
        <v>6475</v>
      </c>
      <c r="D13" s="12">
        <f>ISmod!C2</f>
        <v>6731</v>
      </c>
      <c r="E13" s="12">
        <f>ISmod!D2</f>
        <v>9763</v>
      </c>
      <c r="F13" s="12">
        <f>ISmod!E2</f>
        <v>16434</v>
      </c>
      <c r="G13" s="12">
        <f>ISmod!F2</f>
        <v>23601</v>
      </c>
      <c r="H13" s="12">
        <f>G13*(1+$M$13)</f>
        <v>27141.149999999998</v>
      </c>
      <c r="I13" s="12">
        <f t="shared" ref="I13:L13" si="6">H13*(1+$M$13)</f>
        <v>31212.322499999995</v>
      </c>
      <c r="J13" s="12">
        <f t="shared" si="6"/>
        <v>35894.170874999989</v>
      </c>
      <c r="K13" s="12">
        <f t="shared" si="6"/>
        <v>41278.296506249986</v>
      </c>
      <c r="L13" s="12">
        <f t="shared" si="6"/>
        <v>47470.040982187478</v>
      </c>
      <c r="M13" s="352">
        <v>0.15</v>
      </c>
      <c r="N13" s="353"/>
      <c r="O13" s="6"/>
      <c r="P13" s="172">
        <v>43374</v>
      </c>
      <c r="Q13" s="139">
        <v>18.209999</v>
      </c>
      <c r="R13" s="139">
        <f t="shared" si="2"/>
        <v>-52.846163573292039</v>
      </c>
      <c r="S13" s="139">
        <v>2711.74</v>
      </c>
      <c r="T13" s="139">
        <f t="shared" si="3"/>
        <v>-7.1929349055660206</v>
      </c>
      <c r="U13" s="254">
        <v>3.15</v>
      </c>
      <c r="X13" s="17">
        <v>1.48</v>
      </c>
      <c r="Y13" s="184">
        <f>Valuation!G9/'IS&amp;BS pro forma'!O68</f>
        <v>4.5059360730593606E-2</v>
      </c>
    </row>
    <row r="14" spans="1:25" ht="15" x14ac:dyDescent="0.25">
      <c r="A14" s="168"/>
      <c r="B14" s="17" t="s">
        <v>267</v>
      </c>
      <c r="C14" s="12">
        <f>C13-ISmod!B5-ISmod!B7-ISmod!B8+ISmod!B12-ISmod!B15+ISmod!B16-ISmod!B10-ISmod!B9+ISmod!B13</f>
        <v>337</v>
      </c>
      <c r="D14" s="12">
        <f>D13-ISmod!C5-ISmod!C7-ISmod!C8+ISmod!C12-ISmod!C15+ISmod!C16-ISmod!C10-ISmod!C9+ISmod!C13</f>
        <v>341</v>
      </c>
      <c r="E14" s="12">
        <f>E13-ISmod!D5-ISmod!D7-ISmod!D8+ISmod!D12-ISmod!D15+ISmod!D16-ISmod!D10-ISmod!D9+ISmod!D13</f>
        <v>2490</v>
      </c>
      <c r="F14" s="12">
        <f>F13-ISmod!E5-ISmod!E7-ISmod!E8+ISmod!E12-ISmod!E15+ISmod!E16-ISmod!E10-ISmod!E9+ISmod!E13</f>
        <v>3162</v>
      </c>
      <c r="G14" s="12">
        <f>G13-ISmod!F5-ISmod!F7-ISmod!F8+ISmod!F12-ISmod!F15+ISmod!F16-ISmod!F10-ISmod!F9+ISmod!F13</f>
        <v>1320</v>
      </c>
      <c r="H14" s="12">
        <f ca="1">H13-'IS&amp;BS pro forma'!T12-'IS&amp;BS pro forma'!T14-'IS&amp;BS pro forma'!T15-'IS&amp;BS pro forma'!T16+'IS&amp;BS pro forma'!T19+'IS&amp;BS pro forma'!T20-'IS&amp;BS pro forma'!T22-'IS&amp;BS pro forma'!T23</f>
        <v>2685.8674464756009</v>
      </c>
      <c r="I14" s="12">
        <f ca="1">I13-'IS&amp;BS pro forma'!U12-'IS&amp;BS pro forma'!U14-'IS&amp;BS pro forma'!U15-'IS&amp;BS pro forma'!U16+'IS&amp;BS pro forma'!U19+'IS&amp;BS pro forma'!U20-'IS&amp;BS pro forma'!U22-'IS&amp;BS pro forma'!U23</f>
        <v>4044.2562071969392</v>
      </c>
      <c r="J14" s="12">
        <f ca="1">J13-'IS&amp;BS pro forma'!V12-'IS&amp;BS pro forma'!V14-'IS&amp;BS pro forma'!V15-'IS&amp;BS pro forma'!V16+'IS&amp;BS pro forma'!V19+'IS&amp;BS pro forma'!V20-'IS&amp;BS pro forma'!V22-'IS&amp;BS pro forma'!V23</f>
        <v>5584.5216570264774</v>
      </c>
      <c r="K14" s="12">
        <f ca="1">K13-'IS&amp;BS pro forma'!W12-'IS&amp;BS pro forma'!W14-'IS&amp;BS pro forma'!W15-'IS&amp;BS pro forma'!W16+'IS&amp;BS pro forma'!W19+'IS&amp;BS pro forma'!W20-'IS&amp;BS pro forma'!W22-'IS&amp;BS pro forma'!W23</f>
        <v>7355.8451993304516</v>
      </c>
      <c r="L14" s="13">
        <f ca="1">L13-'IS&amp;BS pro forma'!X12-'IS&amp;BS pro forma'!X14-'IS&amp;BS pro forma'!X15-'IS&amp;BS pro forma'!X16+'IS&amp;BS pro forma'!X19+'IS&amp;BS pro forma'!X20-'IS&amp;BS pro forma'!X22-'IS&amp;BS pro forma'!X23</f>
        <v>9392.8462567300176</v>
      </c>
      <c r="M14" s="6"/>
      <c r="N14" s="6"/>
      <c r="O14" s="6"/>
      <c r="P14" s="172">
        <v>43405</v>
      </c>
      <c r="Q14" s="139">
        <v>21.299999</v>
      </c>
      <c r="R14" s="139">
        <f t="shared" si="2"/>
        <v>15.673618694238831</v>
      </c>
      <c r="S14" s="139">
        <v>2760.17</v>
      </c>
      <c r="T14" s="139">
        <f t="shared" si="3"/>
        <v>1.7701776759294796</v>
      </c>
      <c r="U14" s="254">
        <v>3.01</v>
      </c>
      <c r="X14" s="5" t="s">
        <v>284</v>
      </c>
      <c r="Y14" s="7"/>
    </row>
    <row r="15" spans="1:25" ht="15" x14ac:dyDescent="0.25">
      <c r="A15" s="168"/>
      <c r="B15" s="174" t="s">
        <v>332</v>
      </c>
      <c r="C15" s="12">
        <f>BSmod!B10</f>
        <v>94</v>
      </c>
      <c r="D15" s="12">
        <f>BSmod!C10</f>
        <v>142</v>
      </c>
      <c r="E15" s="12">
        <f>BSmod!D10</f>
        <v>217</v>
      </c>
      <c r="F15" s="12">
        <f>BSmod!E10</f>
        <v>296</v>
      </c>
      <c r="G15" s="12">
        <f>BSmod!F10+ISmod!F9</f>
        <v>2539</v>
      </c>
      <c r="H15" s="12">
        <f>'IS&amp;BS pro forma'!T41</f>
        <v>481.33342837232806</v>
      </c>
      <c r="I15" s="12">
        <f>'IS&amp;BS pro forma'!U41</f>
        <v>553.53344262817711</v>
      </c>
      <c r="J15" s="12">
        <f>'IS&amp;BS pro forma'!V41</f>
        <v>636.56345902240366</v>
      </c>
      <c r="K15" s="12">
        <f>'IS&amp;BS pro forma'!W41</f>
        <v>732.04797787576422</v>
      </c>
      <c r="L15" s="13">
        <f>'IS&amp;BS pro forma'!X41</f>
        <v>841.85517455712875</v>
      </c>
      <c r="M15" s="6"/>
      <c r="N15" s="6"/>
      <c r="O15" s="6"/>
      <c r="P15" s="172">
        <v>43435</v>
      </c>
      <c r="Q15" s="139">
        <v>18.459999</v>
      </c>
      <c r="R15" s="139">
        <f t="shared" si="2"/>
        <v>-14.310085086349783</v>
      </c>
      <c r="S15" s="139">
        <v>2506.85</v>
      </c>
      <c r="T15" s="139">
        <f t="shared" si="3"/>
        <v>-9.6265287118076071</v>
      </c>
      <c r="U15" s="254">
        <v>2.69</v>
      </c>
      <c r="X15" s="17">
        <f>X13*(1+(1-X6)*Y13)</f>
        <v>1.5373515543378997</v>
      </c>
      <c r="Y15" s="7"/>
    </row>
    <row r="16" spans="1:25" ht="15" x14ac:dyDescent="0.25">
      <c r="A16" s="168"/>
      <c r="B16" s="174" t="s">
        <v>268</v>
      </c>
      <c r="C16" s="12"/>
      <c r="D16" s="12">
        <f>-(BSmod!C8-BSmod!C3-(BSmod!B8-BSmod!B3))</f>
        <v>-710</v>
      </c>
      <c r="E16" s="12">
        <f>-(BSmod!D8-BSmod!D3-(BSmod!C8-BSmod!C3))</f>
        <v>-759</v>
      </c>
      <c r="F16" s="12">
        <f>-(BSmod!E8-BSmod!E3-(BSmod!D8-BSmod!D3))</f>
        <v>-1122</v>
      </c>
      <c r="G16" s="12">
        <f>-(BSmod!F8-BSmod!F3-(BSmod!E8-BSmod!E3))</f>
        <v>-4189</v>
      </c>
      <c r="H16" s="12">
        <f ca="1">-('IS&amp;BS pro forma'!T39-'IS&amp;BS pro forma'!T34-('IS&amp;BS pro forma'!O39-'IS&amp;BS pro forma'!O34))</f>
        <v>-649.67217347614496</v>
      </c>
      <c r="I16" s="12">
        <f ca="1">-('IS&amp;BS pro forma'!U39-'IS&amp;BS pro forma'!U34-('IS&amp;BS pro forma'!T39-'IS&amp;BS pro forma'!T34))</f>
        <v>-1472.0508260214192</v>
      </c>
      <c r="J16" s="12">
        <f ca="1">-('IS&amp;BS pro forma'!V39-'IS&amp;BS pro forma'!V34-('IS&amp;BS pro forma'!U39-'IS&amp;BS pro forma'!U34))</f>
        <v>-1692.858449924639</v>
      </c>
      <c r="K16" s="12">
        <f ca="1">-('IS&amp;BS pro forma'!W39-'IS&amp;BS pro forma'!W34-('IS&amp;BS pro forma'!V39-'IS&amp;BS pro forma'!V34))</f>
        <v>-1946.7872174133336</v>
      </c>
      <c r="L16" s="13">
        <f ca="1">-('IS&amp;BS pro forma'!X39-'IS&amp;BS pro forma'!X34-('IS&amp;BS pro forma'!W39-'IS&amp;BS pro forma'!W34))</f>
        <v>-2238.805300025313</v>
      </c>
      <c r="M16" s="6"/>
      <c r="N16" s="6"/>
      <c r="O16" s="6"/>
      <c r="P16" s="172">
        <v>43466</v>
      </c>
      <c r="Q16" s="139">
        <v>24.41</v>
      </c>
      <c r="R16" s="139">
        <f t="shared" si="2"/>
        <v>27.938670950134497</v>
      </c>
      <c r="S16" s="139">
        <v>2704.1</v>
      </c>
      <c r="T16" s="139">
        <f t="shared" si="3"/>
        <v>7.5742154828375607</v>
      </c>
      <c r="U16" s="254">
        <v>2.63</v>
      </c>
      <c r="X16" s="5" t="s">
        <v>278</v>
      </c>
      <c r="Y16" s="133" t="s">
        <v>279</v>
      </c>
    </row>
    <row r="17" spans="1:25" ht="15" x14ac:dyDescent="0.25">
      <c r="A17" s="168"/>
      <c r="B17" s="174" t="s">
        <v>269</v>
      </c>
      <c r="C17" s="12"/>
      <c r="D17" s="12">
        <f>BSmod!C25-BSmod!C19-BSmod!C23-(BSmod!B25-BSmod!B23-BSmod!B19)</f>
        <v>511</v>
      </c>
      <c r="E17" s="12">
        <f>BSmod!D25-BSmod!D19-BSmod!D23-(BSmod!C25-BSmod!C23-BSmod!C19)</f>
        <v>58</v>
      </c>
      <c r="F17" s="12">
        <f>BSmod!E25-BSmod!E19-BSmod!E23-(BSmod!D25-BSmod!D23-BSmod!D19)</f>
        <v>1511</v>
      </c>
      <c r="G17" s="12">
        <f>BSmod!F25-BSmod!F19-BSmod!F23-(BSmod!E25-BSmod!E23-BSmod!E19)</f>
        <v>2441</v>
      </c>
      <c r="H17" s="12">
        <f>'IS&amp;BS pro forma'!T56-'IS&amp;BS pro forma'!T50-'IS&amp;BS pro forma'!T54-('IS&amp;BS pro forma'!O56-'IS&amp;BS pro forma'!O50-'IS&amp;BS pro forma'!O54)</f>
        <v>882.35538340029598</v>
      </c>
      <c r="I17" s="12">
        <f>'IS&amp;BS pro forma'!U56-'IS&amp;BS pro forma'!U54-'IS&amp;BS pro forma'!U50-('IS&amp;BS pro forma'!T56-'IS&amp;BS pro forma'!T54-'IS&amp;BS pro forma'!T50)</f>
        <v>1087.7033075100444</v>
      </c>
      <c r="J17" s="12">
        <f>'IS&amp;BS pro forma'!V56-'IS&amp;BS pro forma'!V54-'IS&amp;BS pro forma'!V50-('IS&amp;BS pro forma'!U56-'IS&amp;BS pro forma'!U54-'IS&amp;BS pro forma'!U50)</f>
        <v>1250.8588036365491</v>
      </c>
      <c r="K17" s="12">
        <f>'IS&amp;BS pro forma'!W56-'IS&amp;BS pro forma'!W54-'IS&amp;BS pro forma'!W50-('IS&amp;BS pro forma'!V56-'IS&amp;BS pro forma'!V54-'IS&amp;BS pro forma'!V50)</f>
        <v>1438.4876241820311</v>
      </c>
      <c r="L17" s="13">
        <f>'IS&amp;BS pro forma'!X56-'IS&amp;BS pro forma'!X54-'IS&amp;BS pro forma'!X50-('IS&amp;BS pro forma'!W56-'IS&amp;BS pro forma'!W54-'IS&amp;BS pro forma'!W50)</f>
        <v>1654.2607678093373</v>
      </c>
      <c r="M17" s="6"/>
      <c r="N17" s="6"/>
      <c r="O17" s="6"/>
      <c r="P17" s="172">
        <v>43497</v>
      </c>
      <c r="Q17" s="139">
        <v>23.530000999999999</v>
      </c>
      <c r="R17" s="139">
        <f t="shared" si="2"/>
        <v>-3.6716639166661054</v>
      </c>
      <c r="S17" s="139">
        <v>2784.49</v>
      </c>
      <c r="T17" s="139">
        <f t="shared" si="3"/>
        <v>2.9295592986693513</v>
      </c>
      <c r="U17" s="254">
        <v>2.73</v>
      </c>
      <c r="X17" s="252">
        <f>Y6+X15*X8</f>
        <v>0.11491986989296805</v>
      </c>
      <c r="Y17" s="253">
        <f>Y6*(1-X6)+X15*(Y8-Y6*(1-X6))</f>
        <v>0.11762059880507034</v>
      </c>
    </row>
    <row r="18" spans="1:25" ht="15" x14ac:dyDescent="0.25">
      <c r="A18" s="168"/>
      <c r="B18" s="174" t="s">
        <v>270</v>
      </c>
      <c r="C18" s="12"/>
      <c r="D18" s="12">
        <f>-(BSmod!C9-BSmod!B9)</f>
        <v>-200</v>
      </c>
      <c r="E18" s="12">
        <f>-(BSmod!D9-BSmod!C9)</f>
        <v>-216</v>
      </c>
      <c r="F18" s="12">
        <f>-(BSmod!E9-BSmod!D9)</f>
        <v>-140</v>
      </c>
      <c r="G18" s="12">
        <f>-(BSmod!F9-BSmod!E9)</f>
        <v>-954</v>
      </c>
      <c r="H18" s="12">
        <f>-('IS&amp;BS pro forma'!T40-'IS&amp;BS pro forma'!O40)</f>
        <v>-140.75403640142622</v>
      </c>
      <c r="I18" s="12">
        <f>-('IS&amp;BS pro forma'!U40-'IS&amp;BS pro forma'!T40)</f>
        <v>-313.9131054602135</v>
      </c>
      <c r="J18" s="12">
        <f>-('IS&amp;BS pro forma'!V40-'IS&amp;BS pro forma'!U40)</f>
        <v>-361.00007127924573</v>
      </c>
      <c r="K18" s="12">
        <f>-('IS&amp;BS pro forma'!W40-'IS&amp;BS pro forma'!V40)</f>
        <v>-415.15008197113275</v>
      </c>
      <c r="L18" s="13">
        <f>-('IS&amp;BS pro forma'!X40-'IS&amp;BS pro forma'!W40)</f>
        <v>-477.42259426680221</v>
      </c>
      <c r="M18" s="6"/>
      <c r="N18" s="6"/>
      <c r="O18" s="6"/>
      <c r="P18" s="172">
        <v>43525</v>
      </c>
      <c r="Q18" s="139">
        <v>25.52</v>
      </c>
      <c r="R18" s="139">
        <f t="shared" si="2"/>
        <v>8.1186213238381466</v>
      </c>
      <c r="S18" s="139">
        <v>2834.4</v>
      </c>
      <c r="T18" s="139">
        <f t="shared" si="3"/>
        <v>1.7765541837019907</v>
      </c>
      <c r="U18" s="254">
        <v>2.41</v>
      </c>
    </row>
    <row r="19" spans="1:25" ht="15" x14ac:dyDescent="0.25">
      <c r="A19" s="168"/>
      <c r="B19" s="174" t="s">
        <v>271</v>
      </c>
      <c r="C19" s="12"/>
      <c r="D19" s="12">
        <f>(1-'IS&amp;BS pro forma'!$S$22)*Valuation!D5</f>
        <v>67.94</v>
      </c>
      <c r="E19" s="12">
        <f>(1-'IS&amp;BS pro forma'!$S$22)*Valuation!E5</f>
        <v>33.54</v>
      </c>
      <c r="F19" s="12">
        <f>(1-'IS&amp;BS pro forma'!$S$22)*Valuation!F5</f>
        <v>22.36</v>
      </c>
      <c r="G19" s="12">
        <f>(1-'IS&amp;BS pro forma'!$S$22)*Valuation!G5</f>
        <v>19.78</v>
      </c>
      <c r="H19" s="12">
        <f ca="1">(1-'IS&amp;BS pro forma'!$S$22)*Valuation!H5</f>
        <v>14.227624999999991</v>
      </c>
      <c r="I19" s="12">
        <f ca="1">(1-'IS&amp;BS pro forma'!$S$22)*Valuation!I5</f>
        <v>-4.7998749999999974</v>
      </c>
      <c r="J19" s="12">
        <f ca="1">(1-'IS&amp;BS pro forma'!$S$22)*Valuation!J5</f>
        <v>-4.7998749999999974</v>
      </c>
      <c r="K19" s="12">
        <f ca="1">(1-'IS&amp;BS pro forma'!$S$22)*Valuation!K5</f>
        <v>-4.8181500000000055</v>
      </c>
      <c r="L19" s="13">
        <f ca="1">(1-'IS&amp;BS pro forma'!$S$22)*Valuation!L5</f>
        <v>-4.8181500000000055</v>
      </c>
      <c r="M19" s="6"/>
      <c r="N19" s="6"/>
      <c r="O19" s="6"/>
      <c r="P19" s="172">
        <v>43556</v>
      </c>
      <c r="Q19" s="139">
        <v>27.629999000000002</v>
      </c>
      <c r="R19" s="139">
        <f t="shared" si="2"/>
        <v>7.9439644266191127</v>
      </c>
      <c r="S19" s="139">
        <v>2945.83</v>
      </c>
      <c r="T19" s="139">
        <f t="shared" si="3"/>
        <v>3.8560336443090391</v>
      </c>
      <c r="U19" s="254">
        <v>2.5099999999999998</v>
      </c>
    </row>
    <row r="20" spans="1:25" ht="15" x14ac:dyDescent="0.25">
      <c r="A20" s="168"/>
      <c r="B20" s="21" t="s">
        <v>272</v>
      </c>
      <c r="C20" s="36"/>
      <c r="D20" s="36">
        <f>SUM(D14:D19)</f>
        <v>151.94</v>
      </c>
      <c r="E20" s="36">
        <f t="shared" ref="E20:G20" si="7">SUM(E14:E19)</f>
        <v>1823.54</v>
      </c>
      <c r="F20" s="36">
        <f t="shared" si="7"/>
        <v>3729.36</v>
      </c>
      <c r="G20" s="190">
        <f t="shared" si="7"/>
        <v>1176.78</v>
      </c>
      <c r="H20" s="36">
        <f ca="1">SUM(H14:H19)</f>
        <v>3273.3576733706536</v>
      </c>
      <c r="I20" s="36">
        <f t="shared" ref="I20:L20" ca="1" si="8">SUM(I14:I19)</f>
        <v>3894.7291508535282</v>
      </c>
      <c r="J20" s="36">
        <f t="shared" ca="1" si="8"/>
        <v>5413.2855234815461</v>
      </c>
      <c r="K20" s="36">
        <f t="shared" ca="1" si="8"/>
        <v>7159.6253520037808</v>
      </c>
      <c r="L20" s="37">
        <f t="shared" ca="1" si="8"/>
        <v>9167.9161548043703</v>
      </c>
      <c r="M20" s="6"/>
      <c r="N20" s="6"/>
      <c r="O20" s="6"/>
      <c r="P20" s="172">
        <v>43586</v>
      </c>
      <c r="Q20" s="139">
        <v>27.41</v>
      </c>
      <c r="R20" s="139">
        <f t="shared" si="2"/>
        <v>-0.79941924280858556</v>
      </c>
      <c r="S20" s="139">
        <v>2752.06</v>
      </c>
      <c r="T20" s="139">
        <f t="shared" si="3"/>
        <v>-6.8040888853204304</v>
      </c>
      <c r="U20" s="254">
        <v>2.14</v>
      </c>
    </row>
    <row r="21" spans="1:25" ht="15" x14ac:dyDescent="0.25">
      <c r="A21" s="168"/>
      <c r="B21" s="6"/>
      <c r="C21" s="6"/>
      <c r="D21" s="6"/>
      <c r="E21" s="6"/>
      <c r="F21" s="6"/>
      <c r="G21" s="6"/>
      <c r="H21" s="6"/>
      <c r="I21" s="6"/>
      <c r="J21" s="6"/>
      <c r="K21" s="6"/>
      <c r="L21" s="6"/>
      <c r="M21" s="6"/>
      <c r="N21" s="6"/>
      <c r="O21" s="6"/>
      <c r="P21" s="172">
        <v>43617</v>
      </c>
      <c r="Q21" s="139">
        <v>30.370000999999998</v>
      </c>
      <c r="R21" s="139">
        <f t="shared" si="2"/>
        <v>10.254740167019317</v>
      </c>
      <c r="S21" s="139">
        <v>2941.76</v>
      </c>
      <c r="T21" s="139">
        <f t="shared" si="3"/>
        <v>6.6658319534241439</v>
      </c>
      <c r="U21" s="254">
        <v>2</v>
      </c>
    </row>
    <row r="22" spans="1:25" ht="15" x14ac:dyDescent="0.25">
      <c r="A22" s="168"/>
      <c r="B22" s="60" t="s">
        <v>320</v>
      </c>
      <c r="C22" s="94"/>
      <c r="D22" s="94"/>
      <c r="E22" s="95"/>
      <c r="F22" s="6"/>
      <c r="G22" s="6"/>
      <c r="H22" s="6"/>
      <c r="I22" s="6"/>
      <c r="J22" s="6"/>
      <c r="K22" s="6"/>
      <c r="L22" s="6"/>
      <c r="M22" s="6"/>
      <c r="N22" s="6"/>
      <c r="O22" s="6"/>
      <c r="P22" s="172">
        <v>43647</v>
      </c>
      <c r="Q22" s="139">
        <v>30.450001</v>
      </c>
      <c r="R22" s="139">
        <f t="shared" si="2"/>
        <v>0.26307150117402889</v>
      </c>
      <c r="S22" s="139">
        <v>2980.38</v>
      </c>
      <c r="T22" s="139">
        <f t="shared" si="3"/>
        <v>1.3042767473010495</v>
      </c>
      <c r="U22" s="254">
        <v>2.02</v>
      </c>
    </row>
    <row r="23" spans="1:25" ht="15" x14ac:dyDescent="0.25">
      <c r="A23" s="168"/>
      <c r="B23" s="175" t="s">
        <v>324</v>
      </c>
      <c r="C23" s="176" t="s">
        <v>321</v>
      </c>
      <c r="D23" s="176" t="s">
        <v>322</v>
      </c>
      <c r="E23" s="177" t="s">
        <v>323</v>
      </c>
      <c r="F23" s="6"/>
      <c r="G23" s="6"/>
      <c r="H23" s="6"/>
      <c r="I23" s="6"/>
      <c r="J23" s="6"/>
      <c r="K23" s="6"/>
      <c r="L23" s="6"/>
      <c r="M23" s="6"/>
      <c r="N23" s="6"/>
      <c r="O23" s="6"/>
      <c r="P23" s="172">
        <v>43678</v>
      </c>
      <c r="Q23" s="139">
        <v>31.450001</v>
      </c>
      <c r="R23" s="139">
        <f t="shared" si="2"/>
        <v>3.2312987946323348</v>
      </c>
      <c r="S23" s="139">
        <v>2926.46</v>
      </c>
      <c r="T23" s="139">
        <f t="shared" si="3"/>
        <v>-1.8257307714875135</v>
      </c>
      <c r="U23" s="254">
        <v>1.5</v>
      </c>
    </row>
    <row r="24" spans="1:25" ht="15" x14ac:dyDescent="0.25">
      <c r="A24" s="168"/>
      <c r="B24" s="175" t="s">
        <v>325</v>
      </c>
      <c r="C24" s="176" t="s">
        <v>328</v>
      </c>
      <c r="D24" s="176" t="s">
        <v>329</v>
      </c>
      <c r="E24" s="177" t="s">
        <v>330</v>
      </c>
      <c r="F24" s="6"/>
      <c r="G24" s="6"/>
      <c r="H24" s="6"/>
      <c r="I24" s="6"/>
      <c r="J24" s="6"/>
      <c r="K24" s="6"/>
      <c r="L24" s="6"/>
      <c r="M24" s="6"/>
      <c r="N24" s="6"/>
      <c r="O24" s="6"/>
      <c r="P24" s="172">
        <v>43709</v>
      </c>
      <c r="Q24" s="139">
        <v>28.99</v>
      </c>
      <c r="R24" s="139">
        <f t="shared" si="2"/>
        <v>-8.144807200938736</v>
      </c>
      <c r="S24" s="139">
        <v>2976.74</v>
      </c>
      <c r="T24" s="139">
        <f t="shared" si="3"/>
        <v>1.7035240523677682</v>
      </c>
      <c r="U24" s="254">
        <v>1.68</v>
      </c>
    </row>
    <row r="25" spans="1:25" ht="15" x14ac:dyDescent="0.25">
      <c r="A25" s="168"/>
      <c r="B25" s="175" t="s">
        <v>326</v>
      </c>
      <c r="C25" s="178">
        <v>4.2880000000000001E-2</v>
      </c>
      <c r="D25" s="178">
        <v>4.9329999999999999E-2</v>
      </c>
      <c r="E25" s="179">
        <v>4.9279999999999997E-2</v>
      </c>
      <c r="F25" s="6"/>
      <c r="G25" s="6"/>
      <c r="H25" s="6"/>
      <c r="I25" s="6"/>
      <c r="J25" s="6"/>
      <c r="K25" s="6"/>
      <c r="L25" s="6"/>
      <c r="M25" s="6"/>
      <c r="N25" s="6"/>
      <c r="O25" s="6"/>
      <c r="P25" s="172">
        <v>43739</v>
      </c>
      <c r="Q25" s="139">
        <v>33.93</v>
      </c>
      <c r="R25" s="139">
        <f t="shared" si="2"/>
        <v>15.73486358625747</v>
      </c>
      <c r="S25" s="139">
        <v>3037.56</v>
      </c>
      <c r="T25" s="139">
        <f t="shared" si="3"/>
        <v>2.0225819582931024</v>
      </c>
      <c r="U25" s="254">
        <v>1.69</v>
      </c>
    </row>
    <row r="26" spans="1:25" ht="15" x14ac:dyDescent="0.25">
      <c r="A26" s="168"/>
      <c r="B26" s="188" t="s">
        <v>327</v>
      </c>
      <c r="C26" s="170">
        <f>AVERAGE(C25:E25)</f>
        <v>4.7163333333333335E-2</v>
      </c>
      <c r="D26" s="87"/>
      <c r="E26" s="88"/>
      <c r="F26" s="6"/>
      <c r="G26" s="6"/>
      <c r="H26" s="6"/>
      <c r="I26" s="6"/>
      <c r="J26" s="6"/>
      <c r="K26" s="6"/>
      <c r="L26" s="6"/>
      <c r="M26" s="6"/>
      <c r="N26" s="6"/>
      <c r="O26" s="6"/>
      <c r="P26" s="172">
        <v>43770</v>
      </c>
      <c r="Q26" s="139">
        <v>39.150002000000001</v>
      </c>
      <c r="R26" s="139">
        <f t="shared" si="2"/>
        <v>14.310089472624046</v>
      </c>
      <c r="S26" s="139">
        <v>3140.98</v>
      </c>
      <c r="T26" s="139">
        <f t="shared" si="3"/>
        <v>3.3480291579323125</v>
      </c>
      <c r="U26" s="254">
        <v>1.78</v>
      </c>
    </row>
    <row r="27" spans="1:25" ht="15" x14ac:dyDescent="0.25">
      <c r="A27" s="168"/>
      <c r="B27" s="6"/>
      <c r="C27" s="6"/>
      <c r="D27" s="6"/>
      <c r="E27" s="6"/>
      <c r="F27" s="6"/>
      <c r="G27" s="6"/>
      <c r="H27" s="6"/>
      <c r="I27" s="6"/>
      <c r="J27" s="6"/>
      <c r="K27" s="6"/>
      <c r="L27" s="6"/>
      <c r="M27" s="6"/>
      <c r="N27" s="6"/>
      <c r="O27" s="6"/>
      <c r="P27" s="172">
        <v>43800</v>
      </c>
      <c r="Q27" s="139">
        <v>45.860000999999997</v>
      </c>
      <c r="R27" s="139">
        <f t="shared" si="2"/>
        <v>15.819282571287394</v>
      </c>
      <c r="S27" s="139">
        <v>3230.78</v>
      </c>
      <c r="T27" s="139">
        <f t="shared" si="3"/>
        <v>2.818874101228944</v>
      </c>
      <c r="U27" s="254">
        <v>1.92</v>
      </c>
    </row>
    <row r="28" spans="1:25" ht="15" x14ac:dyDescent="0.25">
      <c r="A28" s="168"/>
      <c r="B28" s="6"/>
      <c r="C28" s="6"/>
      <c r="D28" s="6"/>
      <c r="E28" s="6"/>
      <c r="F28" s="6"/>
      <c r="G28" s="6"/>
      <c r="H28" s="6"/>
      <c r="I28" s="6"/>
      <c r="J28" s="6"/>
      <c r="K28" s="6"/>
      <c r="L28" s="6"/>
      <c r="M28" s="6"/>
      <c r="N28" s="6"/>
      <c r="O28" s="6"/>
      <c r="P28" s="172">
        <v>43831</v>
      </c>
      <c r="Q28" s="139">
        <v>47</v>
      </c>
      <c r="R28" s="139">
        <f t="shared" si="2"/>
        <v>2.4554302474805527</v>
      </c>
      <c r="S28" s="139">
        <v>3225.52</v>
      </c>
      <c r="T28" s="139">
        <f t="shared" si="3"/>
        <v>-0.16294165896177357</v>
      </c>
      <c r="U28" s="254">
        <v>1.51</v>
      </c>
    </row>
    <row r="29" spans="1:25" ht="15" x14ac:dyDescent="0.25">
      <c r="A29" s="168"/>
      <c r="B29" s="277" t="s">
        <v>287</v>
      </c>
      <c r="C29" s="279"/>
      <c r="D29" s="6"/>
      <c r="E29" s="277" t="s">
        <v>311</v>
      </c>
      <c r="F29" s="278"/>
      <c r="G29" s="278"/>
      <c r="H29" s="278"/>
      <c r="I29" s="278"/>
      <c r="J29" s="278"/>
      <c r="K29" s="278"/>
      <c r="L29" s="279"/>
      <c r="M29" s="6"/>
      <c r="N29" s="6"/>
      <c r="O29" s="6"/>
      <c r="P29" s="172">
        <v>43862</v>
      </c>
      <c r="Q29" s="139">
        <v>45.48</v>
      </c>
      <c r="R29" s="139">
        <f t="shared" si="2"/>
        <v>-3.2874932827723367</v>
      </c>
      <c r="S29" s="139">
        <v>2954.22</v>
      </c>
      <c r="T29" s="139">
        <f t="shared" si="3"/>
        <v>-8.7859520936204838</v>
      </c>
      <c r="U29" s="254">
        <v>1.1299999999999999</v>
      </c>
    </row>
    <row r="30" spans="1:25" ht="15" x14ac:dyDescent="0.25">
      <c r="A30" s="168"/>
      <c r="B30" s="17" t="s">
        <v>288</v>
      </c>
      <c r="C30" s="13">
        <v>1610.36187</v>
      </c>
      <c r="D30" s="6"/>
      <c r="E30" s="17" t="s">
        <v>302</v>
      </c>
      <c r="F30" s="180">
        <f>C55</f>
        <v>0.14044596112522365</v>
      </c>
      <c r="G30" s="6"/>
      <c r="H30" s="6"/>
      <c r="I30" s="6"/>
      <c r="J30" s="6"/>
      <c r="K30" s="6"/>
      <c r="L30" s="7"/>
      <c r="M30" s="6"/>
      <c r="N30" s="6"/>
      <c r="O30" s="6"/>
      <c r="P30" s="172">
        <v>43891</v>
      </c>
      <c r="Q30" s="139">
        <v>45.48</v>
      </c>
      <c r="R30" s="139">
        <f t="shared" si="2"/>
        <v>0</v>
      </c>
      <c r="S30" s="139">
        <v>2584.59</v>
      </c>
      <c r="T30" s="139">
        <f t="shared" si="3"/>
        <v>-13.366776859296694</v>
      </c>
      <c r="U30" s="254">
        <v>0.7</v>
      </c>
    </row>
    <row r="31" spans="1:25" ht="15" x14ac:dyDescent="0.25">
      <c r="A31" s="168"/>
      <c r="B31" s="17" t="s">
        <v>402</v>
      </c>
      <c r="C31" s="7">
        <v>89.37</v>
      </c>
      <c r="D31" s="6"/>
      <c r="E31" s="125" t="s">
        <v>337</v>
      </c>
      <c r="F31" s="180">
        <v>0.1</v>
      </c>
      <c r="G31" s="6"/>
      <c r="H31" s="6"/>
      <c r="I31" s="6"/>
      <c r="J31" s="6"/>
      <c r="K31" s="6"/>
      <c r="L31" s="7"/>
      <c r="M31" s="6"/>
      <c r="N31" s="6"/>
      <c r="O31" s="6"/>
      <c r="P31" s="172">
        <v>43922</v>
      </c>
      <c r="Q31" s="139">
        <v>52.389999000000003</v>
      </c>
      <c r="R31" s="139">
        <f t="shared" si="2"/>
        <v>14.144304545018086</v>
      </c>
      <c r="S31" s="139">
        <v>2912.43</v>
      </c>
      <c r="T31" s="139">
        <f t="shared" si="3"/>
        <v>11.942089623740584</v>
      </c>
      <c r="U31" s="254">
        <v>0.64</v>
      </c>
    </row>
    <row r="32" spans="1:25" ht="15" x14ac:dyDescent="0.25">
      <c r="A32" s="168"/>
      <c r="B32" s="17" t="s">
        <v>292</v>
      </c>
      <c r="C32" s="13">
        <f>C31*C30</f>
        <v>143918.04032190001</v>
      </c>
      <c r="D32" s="6"/>
      <c r="E32" s="17"/>
      <c r="F32" s="6"/>
      <c r="G32" s="6"/>
      <c r="H32" s="6"/>
      <c r="I32" s="6"/>
      <c r="J32" s="6"/>
      <c r="K32" s="6"/>
      <c r="L32" s="7"/>
      <c r="M32" s="6"/>
      <c r="N32" s="6"/>
      <c r="O32" s="6"/>
      <c r="P32" s="172">
        <v>43952</v>
      </c>
      <c r="Q32" s="139">
        <v>53.799999</v>
      </c>
      <c r="R32" s="139">
        <f t="shared" si="2"/>
        <v>2.6557734247861808</v>
      </c>
      <c r="S32" s="139">
        <v>3044.31</v>
      </c>
      <c r="T32" s="139">
        <f t="shared" si="3"/>
        <v>4.42864902305306</v>
      </c>
      <c r="U32" s="254">
        <v>0.65</v>
      </c>
    </row>
    <row r="33" spans="1:21" ht="15" x14ac:dyDescent="0.25">
      <c r="A33" s="168"/>
      <c r="B33" s="17" t="s">
        <v>297</v>
      </c>
      <c r="C33" s="13">
        <f>G9</f>
        <v>2467</v>
      </c>
      <c r="D33" s="6"/>
      <c r="E33" s="17"/>
      <c r="F33" s="6"/>
      <c r="G33" s="6">
        <v>2022</v>
      </c>
      <c r="H33" s="6">
        <v>2023</v>
      </c>
      <c r="I33" s="6">
        <v>2024</v>
      </c>
      <c r="J33" s="6">
        <v>2025</v>
      </c>
      <c r="K33" s="6">
        <v>2026</v>
      </c>
      <c r="L33" s="7">
        <v>2027</v>
      </c>
      <c r="M33" s="6"/>
      <c r="N33" s="6"/>
      <c r="O33" s="6"/>
      <c r="P33" s="172">
        <v>43983</v>
      </c>
      <c r="Q33" s="139">
        <v>52.610000999999997</v>
      </c>
      <c r="R33" s="139">
        <f t="shared" si="2"/>
        <v>-2.2367213829869179</v>
      </c>
      <c r="S33" s="139">
        <v>3100.29</v>
      </c>
      <c r="T33" s="139">
        <f t="shared" si="3"/>
        <v>1.8221381004063584</v>
      </c>
      <c r="U33" s="254">
        <v>0.66</v>
      </c>
    </row>
    <row r="34" spans="1:21" ht="15" x14ac:dyDescent="0.25">
      <c r="A34" s="168"/>
      <c r="B34" s="17" t="s">
        <v>130</v>
      </c>
      <c r="C34" s="181">
        <v>0.14000000000000001</v>
      </c>
      <c r="D34" s="6"/>
      <c r="E34" s="347" t="s">
        <v>272</v>
      </c>
      <c r="F34" s="292"/>
      <c r="G34" s="6"/>
      <c r="H34" s="12">
        <f ca="1">H20</f>
        <v>3273.3576733706536</v>
      </c>
      <c r="I34" s="12">
        <f ca="1">I20</f>
        <v>3894.7291508535282</v>
      </c>
      <c r="J34" s="12">
        <f ca="1">J20</f>
        <v>5413.2855234815461</v>
      </c>
      <c r="K34" s="12">
        <f ca="1">K20</f>
        <v>7159.6253520037808</v>
      </c>
      <c r="L34" s="13">
        <f ca="1">L20</f>
        <v>9167.9161548043703</v>
      </c>
      <c r="M34" s="6"/>
      <c r="N34" s="6"/>
      <c r="O34" s="6"/>
      <c r="P34" s="172">
        <v>44013</v>
      </c>
      <c r="Q34" s="139">
        <v>77.430000000000007</v>
      </c>
      <c r="R34" s="139">
        <f t="shared" si="2"/>
        <v>38.646806764812339</v>
      </c>
      <c r="S34" s="139">
        <v>3271.12</v>
      </c>
      <c r="T34" s="139">
        <f t="shared" si="3"/>
        <v>5.3636778409248578</v>
      </c>
      <c r="U34" s="254">
        <v>0.55000000000000004</v>
      </c>
    </row>
    <row r="35" spans="1:21" ht="15" x14ac:dyDescent="0.25">
      <c r="A35" s="168"/>
      <c r="B35" s="125" t="s">
        <v>335</v>
      </c>
      <c r="C35" s="189">
        <f>C26</f>
        <v>4.7163333333333335E-2</v>
      </c>
      <c r="D35" s="6"/>
      <c r="E35" s="347" t="s">
        <v>307</v>
      </c>
      <c r="F35" s="292"/>
      <c r="G35" s="6"/>
      <c r="H35" s="6"/>
      <c r="I35" s="6"/>
      <c r="J35" s="6"/>
      <c r="K35" s="6"/>
      <c r="L35" s="13">
        <f ca="1">(L34*(1+F31))/(F30-F31)</f>
        <v>249337.81988915577</v>
      </c>
      <c r="M35" s="6"/>
      <c r="N35" s="6"/>
      <c r="O35" s="6"/>
      <c r="P35" s="172">
        <v>44044</v>
      </c>
      <c r="Q35" s="139">
        <v>90.82</v>
      </c>
      <c r="R35" s="139">
        <f t="shared" si="2"/>
        <v>15.950522327117273</v>
      </c>
      <c r="S35" s="139">
        <v>3500.31</v>
      </c>
      <c r="T35" s="139">
        <f t="shared" si="3"/>
        <v>6.7719102089653678</v>
      </c>
      <c r="U35" s="254">
        <v>0.72</v>
      </c>
    </row>
    <row r="36" spans="1:21" ht="15" x14ac:dyDescent="0.25">
      <c r="A36" s="168"/>
      <c r="B36" s="17" t="s">
        <v>289</v>
      </c>
      <c r="C36" s="182">
        <v>5.1400000000000001E-2</v>
      </c>
      <c r="D36" s="6"/>
      <c r="E36" s="347" t="s">
        <v>308</v>
      </c>
      <c r="F36" s="292"/>
      <c r="G36" s="6"/>
      <c r="H36" s="12">
        <f ca="1">H34+H35</f>
        <v>3273.3576733706536</v>
      </c>
      <c r="I36" s="12">
        <f t="shared" ref="I36:L36" ca="1" si="9">I34+I35</f>
        <v>3894.7291508535282</v>
      </c>
      <c r="J36" s="12">
        <f t="shared" ca="1" si="9"/>
        <v>5413.2855234815461</v>
      </c>
      <c r="K36" s="12">
        <f t="shared" ca="1" si="9"/>
        <v>7159.6253520037808</v>
      </c>
      <c r="L36" s="13">
        <f t="shared" ca="1" si="9"/>
        <v>258505.73604396015</v>
      </c>
      <c r="M36" s="6"/>
      <c r="N36" s="6"/>
      <c r="O36" s="6"/>
      <c r="P36" s="172">
        <v>44075</v>
      </c>
      <c r="Q36" s="139">
        <v>81.989998</v>
      </c>
      <c r="R36" s="139">
        <f t="shared" si="2"/>
        <v>-10.228226145493759</v>
      </c>
      <c r="S36" s="139">
        <v>3363</v>
      </c>
      <c r="T36" s="139">
        <f t="shared" si="3"/>
        <v>-4.0018103243589485</v>
      </c>
      <c r="U36" s="254">
        <v>0.69</v>
      </c>
    </row>
    <row r="37" spans="1:21" ht="15" x14ac:dyDescent="0.25">
      <c r="A37" s="168"/>
      <c r="B37" s="17" t="s">
        <v>290</v>
      </c>
      <c r="C37" s="182">
        <v>3.5900000000000001E-2</v>
      </c>
      <c r="D37" s="6"/>
      <c r="E37" s="347" t="s">
        <v>309</v>
      </c>
      <c r="F37" s="292"/>
      <c r="G37" s="265">
        <f ca="1">NPV(F30,H36:L36)*(1+F30)^(1/3)</f>
        <v>154360.22684587585</v>
      </c>
      <c r="H37" s="6"/>
      <c r="I37" s="6"/>
      <c r="J37" s="6"/>
      <c r="K37" s="6"/>
      <c r="L37" s="7"/>
      <c r="M37" s="6"/>
      <c r="N37" s="6"/>
      <c r="O37" s="6"/>
      <c r="P37" s="172">
        <v>44105</v>
      </c>
      <c r="Q37" s="139">
        <v>75.290001000000004</v>
      </c>
      <c r="R37" s="139">
        <f t="shared" si="2"/>
        <v>-8.5249927070860103</v>
      </c>
      <c r="S37" s="139">
        <v>3269.96</v>
      </c>
      <c r="T37" s="139">
        <f t="shared" si="3"/>
        <v>-2.8055680339689233</v>
      </c>
      <c r="U37" s="254">
        <v>0.88</v>
      </c>
    </row>
    <row r="38" spans="1:21" ht="15" x14ac:dyDescent="0.25">
      <c r="A38" s="168"/>
      <c r="B38" s="17" t="s">
        <v>293</v>
      </c>
      <c r="C38" s="140">
        <f>X4</f>
        <v>2.0175313633923198</v>
      </c>
      <c r="D38" s="6"/>
      <c r="E38" s="347" t="s">
        <v>314</v>
      </c>
      <c r="F38" s="292"/>
      <c r="G38" s="12">
        <f>BSmod!F3</f>
        <v>5855</v>
      </c>
      <c r="H38" s="6"/>
      <c r="I38" s="6"/>
      <c r="J38" s="6"/>
      <c r="K38" s="6"/>
      <c r="L38" s="7"/>
      <c r="M38" s="6"/>
      <c r="N38" s="6"/>
      <c r="O38" s="6"/>
      <c r="P38" s="172">
        <v>44136</v>
      </c>
      <c r="Q38" s="139">
        <v>92.660004000000001</v>
      </c>
      <c r="R38" s="139">
        <f t="shared" si="2"/>
        <v>20.758958601306738</v>
      </c>
      <c r="S38" s="139">
        <v>3621.63</v>
      </c>
      <c r="T38" s="139">
        <f t="shared" si="3"/>
        <v>10.214644831840362</v>
      </c>
      <c r="U38" s="254">
        <v>0.84</v>
      </c>
    </row>
    <row r="39" spans="1:21" ht="15" x14ac:dyDescent="0.25">
      <c r="A39" s="168"/>
      <c r="B39" s="17" t="s">
        <v>294</v>
      </c>
      <c r="C39" s="140">
        <f>X15</f>
        <v>1.5373515543378997</v>
      </c>
      <c r="D39" s="6"/>
      <c r="E39" s="347" t="s">
        <v>313</v>
      </c>
      <c r="F39" s="292"/>
      <c r="G39" s="12">
        <f ca="1">G37+G38</f>
        <v>160215.22684587585</v>
      </c>
      <c r="H39" s="6"/>
      <c r="I39" s="6"/>
      <c r="J39" s="6"/>
      <c r="K39" s="6"/>
      <c r="L39" s="7"/>
      <c r="M39" s="6"/>
      <c r="N39" s="6"/>
      <c r="O39" s="6"/>
      <c r="P39" s="172">
        <v>44166</v>
      </c>
      <c r="Q39" s="139">
        <v>91.709998999999996</v>
      </c>
      <c r="R39" s="139">
        <f t="shared" si="2"/>
        <v>-1.0305509490158251</v>
      </c>
      <c r="S39" s="139">
        <v>3756.07</v>
      </c>
      <c r="T39" s="139">
        <f t="shared" si="3"/>
        <v>3.6448997283216107</v>
      </c>
      <c r="U39" s="254">
        <v>0.93</v>
      </c>
    </row>
    <row r="40" spans="1:21" ht="15" x14ac:dyDescent="0.25">
      <c r="A40" s="168"/>
      <c r="B40" s="17" t="s">
        <v>295</v>
      </c>
      <c r="C40" s="140">
        <f>C32/(C32+C33)</f>
        <v>0.98314718502262888</v>
      </c>
      <c r="D40" s="6"/>
      <c r="E40" s="347" t="s">
        <v>315</v>
      </c>
      <c r="F40" s="292"/>
      <c r="G40" s="12">
        <f>G9</f>
        <v>2467</v>
      </c>
      <c r="H40" s="6"/>
      <c r="I40" s="6"/>
      <c r="J40" s="6"/>
      <c r="K40" s="6"/>
      <c r="L40" s="7"/>
      <c r="M40" s="6"/>
      <c r="N40" s="6"/>
      <c r="O40" s="6"/>
      <c r="P40" s="172">
        <v>44197</v>
      </c>
      <c r="Q40" s="139">
        <v>85.639999000000003</v>
      </c>
      <c r="R40" s="139">
        <f t="shared" si="2"/>
        <v>-6.8478961622220886</v>
      </c>
      <c r="S40" s="139">
        <v>3714.24</v>
      </c>
      <c r="T40" s="139">
        <f t="shared" si="3"/>
        <v>-1.1199116821942241</v>
      </c>
      <c r="U40" s="254">
        <v>1.1100000000000001</v>
      </c>
    </row>
    <row r="41" spans="1:21" ht="15" x14ac:dyDescent="0.25">
      <c r="A41" s="168"/>
      <c r="B41" s="17" t="s">
        <v>296</v>
      </c>
      <c r="C41" s="140">
        <f>C33/(C32+C33)</f>
        <v>1.6852814977371174E-2</v>
      </c>
      <c r="D41" s="6"/>
      <c r="E41" s="347" t="s">
        <v>291</v>
      </c>
      <c r="F41" s="292"/>
      <c r="G41" s="12">
        <f ca="1">G39-G40</f>
        <v>157748.22684587585</v>
      </c>
      <c r="H41" s="6"/>
      <c r="I41" s="6"/>
      <c r="J41" s="6"/>
      <c r="K41" s="6"/>
      <c r="L41" s="7"/>
      <c r="M41" s="6"/>
      <c r="N41" s="6"/>
      <c r="O41" s="6"/>
      <c r="P41" s="172">
        <v>44228</v>
      </c>
      <c r="Q41" s="139">
        <v>84.510002</v>
      </c>
      <c r="R41" s="139">
        <f t="shared" si="2"/>
        <v>-1.3282557822466445</v>
      </c>
      <c r="S41" s="139">
        <v>3811.15</v>
      </c>
      <c r="T41" s="139">
        <f t="shared" si="3"/>
        <v>2.575689966712559</v>
      </c>
      <c r="U41" s="254">
        <v>1.44</v>
      </c>
    </row>
    <row r="42" spans="1:21" ht="15" x14ac:dyDescent="0.25">
      <c r="A42" s="168"/>
      <c r="B42" s="17"/>
      <c r="C42" s="7"/>
      <c r="D42" s="6"/>
      <c r="E42" s="363" t="s">
        <v>310</v>
      </c>
      <c r="F42" s="364"/>
      <c r="G42" s="183">
        <f ca="1">G41/C30</f>
        <v>97.958247636523993</v>
      </c>
      <c r="H42" s="87"/>
      <c r="I42" s="87"/>
      <c r="J42" s="87"/>
      <c r="K42" s="87"/>
      <c r="L42" s="88"/>
      <c r="M42" s="6"/>
      <c r="N42" s="6"/>
      <c r="O42" s="6"/>
      <c r="P42" s="172">
        <v>44256</v>
      </c>
      <c r="Q42" s="139">
        <v>78.5</v>
      </c>
      <c r="R42" s="139">
        <f t="shared" si="2"/>
        <v>-7.3771269433866289</v>
      </c>
      <c r="S42" s="139">
        <v>3972.89</v>
      </c>
      <c r="T42" s="139">
        <f t="shared" si="3"/>
        <v>4.1562808697442968</v>
      </c>
      <c r="U42" s="254">
        <v>1.74</v>
      </c>
    </row>
    <row r="43" spans="1:21" ht="15" x14ac:dyDescent="0.25">
      <c r="A43" s="168"/>
      <c r="B43" s="280" t="s">
        <v>298</v>
      </c>
      <c r="C43" s="281"/>
      <c r="D43" s="6"/>
      <c r="E43" s="6"/>
      <c r="F43" s="6"/>
      <c r="G43" s="6"/>
      <c r="H43" s="6"/>
      <c r="I43" s="6"/>
      <c r="J43" s="6"/>
      <c r="K43" s="6"/>
      <c r="L43" s="6"/>
      <c r="M43" s="6"/>
      <c r="N43" s="6"/>
      <c r="O43" s="6"/>
      <c r="P43" s="172">
        <v>44287</v>
      </c>
      <c r="Q43" s="139">
        <v>81.620002999999997</v>
      </c>
      <c r="R43" s="139">
        <f t="shared" si="2"/>
        <v>3.8975741944993314</v>
      </c>
      <c r="S43" s="139">
        <v>4181.17</v>
      </c>
      <c r="T43" s="139">
        <f t="shared" si="3"/>
        <v>5.1097322114293924</v>
      </c>
      <c r="U43" s="254">
        <v>1.65</v>
      </c>
    </row>
    <row r="44" spans="1:21" ht="15" x14ac:dyDescent="0.25">
      <c r="A44" s="168"/>
      <c r="B44" s="17" t="s">
        <v>299</v>
      </c>
      <c r="C44" s="13">
        <f>-CFstm!F39+CFstm!F38-CFstm!F40</f>
        <v>4275</v>
      </c>
      <c r="D44" s="6"/>
      <c r="E44" s="277" t="s">
        <v>306</v>
      </c>
      <c r="F44" s="278"/>
      <c r="G44" s="278"/>
      <c r="H44" s="278"/>
      <c r="I44" s="278"/>
      <c r="J44" s="278"/>
      <c r="K44" s="278"/>
      <c r="L44" s="279"/>
      <c r="M44" s="6"/>
      <c r="N44" s="6"/>
      <c r="O44" s="6"/>
      <c r="P44" s="172">
        <v>44317</v>
      </c>
      <c r="Q44" s="139">
        <v>80.080001999999993</v>
      </c>
      <c r="R44" s="139">
        <f t="shared" si="2"/>
        <v>-1.9048206751366277</v>
      </c>
      <c r="S44" s="139">
        <v>4204.1099999999997</v>
      </c>
      <c r="T44" s="139">
        <f t="shared" si="3"/>
        <v>0.54715065520221506</v>
      </c>
      <c r="U44" s="254">
        <v>1.58</v>
      </c>
    </row>
    <row r="45" spans="1:21" ht="15" x14ac:dyDescent="0.25">
      <c r="A45" s="168"/>
      <c r="B45" s="17" t="s">
        <v>300</v>
      </c>
      <c r="C45" s="184">
        <f>(C44/(-CFstm!E39-CFstm!E40+CFstm!E38))-1</f>
        <v>1.0328102710413694</v>
      </c>
      <c r="D45" s="6"/>
      <c r="E45" s="347" t="s">
        <v>312</v>
      </c>
      <c r="F45" s="292"/>
      <c r="G45" s="12">
        <f>CFstm!F24+CFstm!F27</f>
        <v>3115</v>
      </c>
      <c r="H45" s="6"/>
      <c r="I45" s="6"/>
      <c r="J45" s="6"/>
      <c r="K45" s="6"/>
      <c r="L45" s="7"/>
      <c r="M45" s="6"/>
      <c r="N45" s="6"/>
      <c r="O45" s="6"/>
      <c r="P45" s="172">
        <v>44348</v>
      </c>
      <c r="Q45" s="139">
        <v>93.93</v>
      </c>
      <c r="R45" s="139">
        <f t="shared" si="2"/>
        <v>15.952366402443435</v>
      </c>
      <c r="S45" s="139">
        <v>4297.5</v>
      </c>
      <c r="T45" s="139">
        <f t="shared" si="3"/>
        <v>2.1970840045862019</v>
      </c>
      <c r="U45" s="254">
        <v>1.45</v>
      </c>
    </row>
    <row r="46" spans="1:21" ht="15" x14ac:dyDescent="0.25">
      <c r="A46" s="168"/>
      <c r="B46" s="17" t="s">
        <v>301</v>
      </c>
      <c r="C46" s="184">
        <f>(C44*(1+C45)/C32)+C45</f>
        <v>1.093193694059529</v>
      </c>
      <c r="D46" s="6"/>
      <c r="E46" s="383" t="s">
        <v>338</v>
      </c>
      <c r="F46" s="384"/>
      <c r="G46" s="185">
        <f ca="1">C253</f>
        <v>0.24673384927160039</v>
      </c>
      <c r="H46" s="6"/>
      <c r="I46" s="6"/>
      <c r="J46" s="6"/>
      <c r="K46" s="6"/>
      <c r="L46" s="7"/>
      <c r="M46" s="6"/>
      <c r="N46" s="6"/>
      <c r="O46" s="6"/>
      <c r="P46" s="172">
        <v>44378</v>
      </c>
      <c r="Q46" s="139">
        <v>106.19000200000001</v>
      </c>
      <c r="R46" s="139">
        <f t="shared" si="2"/>
        <v>12.268013724349521</v>
      </c>
      <c r="S46" s="139">
        <v>4395.26</v>
      </c>
      <c r="T46" s="139">
        <f t="shared" si="3"/>
        <v>2.2493229246743218</v>
      </c>
      <c r="U46" s="254">
        <v>1.24</v>
      </c>
    </row>
    <row r="47" spans="1:21" ht="15" x14ac:dyDescent="0.25">
      <c r="A47" s="168"/>
      <c r="B47" s="5" t="s">
        <v>302</v>
      </c>
      <c r="C47" s="186">
        <f>C40*C46+C35*(1-C34)*C41</f>
        <v>1.0754538610392441</v>
      </c>
      <c r="D47" s="6"/>
      <c r="E47" s="347" t="s">
        <v>316</v>
      </c>
      <c r="F47" s="292"/>
      <c r="G47" s="185">
        <v>0.1</v>
      </c>
      <c r="H47" s="6"/>
      <c r="I47" s="6"/>
      <c r="J47" s="6"/>
      <c r="K47" s="6"/>
      <c r="L47" s="7"/>
      <c r="M47" s="6" t="s">
        <v>331</v>
      </c>
      <c r="N47" s="6"/>
      <c r="O47" s="6"/>
      <c r="P47" s="172">
        <v>44409</v>
      </c>
      <c r="Q47" s="139">
        <v>110.720001</v>
      </c>
      <c r="R47" s="139">
        <f t="shared" si="2"/>
        <v>4.1774539651231919</v>
      </c>
      <c r="S47" s="139">
        <v>4522.68</v>
      </c>
      <c r="T47" s="139">
        <f t="shared" si="3"/>
        <v>2.857805096868915</v>
      </c>
      <c r="U47" s="254">
        <v>1.3</v>
      </c>
    </row>
    <row r="48" spans="1:21" ht="15" x14ac:dyDescent="0.25">
      <c r="A48" s="168"/>
      <c r="B48" s="280" t="s">
        <v>303</v>
      </c>
      <c r="C48" s="281"/>
      <c r="D48" s="6"/>
      <c r="E48" s="347" t="s">
        <v>302</v>
      </c>
      <c r="F48" s="292"/>
      <c r="G48" s="180">
        <f>C55</f>
        <v>0.14044596112522365</v>
      </c>
      <c r="H48" s="6"/>
      <c r="I48" s="6"/>
      <c r="J48" s="6"/>
      <c r="K48" s="6"/>
      <c r="L48" s="7"/>
      <c r="M48" s="6"/>
      <c r="N48" s="6"/>
      <c r="O48" s="6"/>
      <c r="P48" s="172">
        <v>44440</v>
      </c>
      <c r="Q48" s="139">
        <v>102.900002</v>
      </c>
      <c r="R48" s="139">
        <f t="shared" si="2"/>
        <v>-7.3246838624801542</v>
      </c>
      <c r="S48" s="139">
        <v>4307.54</v>
      </c>
      <c r="T48" s="139">
        <f t="shared" si="3"/>
        <v>-4.8737762984622721</v>
      </c>
      <c r="U48" s="254">
        <v>1.52</v>
      </c>
    </row>
    <row r="49" spans="1:21" ht="15" x14ac:dyDescent="0.25">
      <c r="A49" s="168"/>
      <c r="B49" s="17" t="s">
        <v>301</v>
      </c>
      <c r="C49" s="182">
        <f>X10</f>
        <v>0.13960111207836523</v>
      </c>
      <c r="D49" s="6"/>
      <c r="E49" s="173"/>
      <c r="F49" s="165"/>
      <c r="G49" s="6"/>
      <c r="H49" s="6"/>
      <c r="I49" s="6"/>
      <c r="J49" s="6"/>
      <c r="K49" s="6"/>
      <c r="L49" s="7"/>
      <c r="M49" s="6"/>
      <c r="N49" s="6"/>
      <c r="O49" s="6"/>
      <c r="P49" s="172">
        <v>44470</v>
      </c>
      <c r="Q49" s="139">
        <v>120.230003</v>
      </c>
      <c r="R49" s="139">
        <f t="shared" si="2"/>
        <v>15.564893766264277</v>
      </c>
      <c r="S49" s="139">
        <v>4605.38</v>
      </c>
      <c r="T49" s="139">
        <f t="shared" si="3"/>
        <v>6.6858209798173656</v>
      </c>
      <c r="U49" s="254">
        <v>1.55</v>
      </c>
    </row>
    <row r="50" spans="1:21" ht="15" x14ac:dyDescent="0.25">
      <c r="A50" s="168"/>
      <c r="B50" s="5" t="s">
        <v>302</v>
      </c>
      <c r="C50" s="187">
        <f>C49*C40+C41*C35*(1-C34)</f>
        <v>0.13793199840600245</v>
      </c>
      <c r="D50" s="6"/>
      <c r="E50" s="173"/>
      <c r="F50" s="165"/>
      <c r="G50" s="6">
        <v>2022</v>
      </c>
      <c r="H50" s="6">
        <v>2023</v>
      </c>
      <c r="I50" s="6">
        <v>2024</v>
      </c>
      <c r="J50" s="6">
        <v>2025</v>
      </c>
      <c r="K50" s="6">
        <v>2026</v>
      </c>
      <c r="L50" s="7">
        <v>2027</v>
      </c>
      <c r="M50" s="6"/>
      <c r="N50" s="6"/>
      <c r="O50" s="6"/>
      <c r="P50" s="172">
        <v>44501</v>
      </c>
      <c r="Q50" s="139">
        <v>158.36999499999999</v>
      </c>
      <c r="R50" s="139">
        <f t="shared" si="2"/>
        <v>27.552743599300548</v>
      </c>
      <c r="S50" s="139">
        <v>4567</v>
      </c>
      <c r="T50" s="139">
        <f t="shared" si="3"/>
        <v>-0.83686511009886011</v>
      </c>
      <c r="U50" s="254">
        <v>1.43</v>
      </c>
    </row>
    <row r="51" spans="1:21" ht="15" x14ac:dyDescent="0.25">
      <c r="A51" s="168"/>
      <c r="B51" s="280" t="s">
        <v>304</v>
      </c>
      <c r="C51" s="281"/>
      <c r="D51" s="6"/>
      <c r="E51" s="347" t="s">
        <v>272</v>
      </c>
      <c r="F51" s="292"/>
      <c r="G51" s="12">
        <f>G45</f>
        <v>3115</v>
      </c>
      <c r="H51" s="12">
        <f ca="1">G51*(1+$G$46)</f>
        <v>3883.5759404810356</v>
      </c>
      <c r="I51" s="12">
        <f ca="1">H51*(1+$G$46)</f>
        <v>4841.7855812144971</v>
      </c>
      <c r="J51" s="12">
        <f ca="1">I51*(1+$G$46)</f>
        <v>6036.4179750152834</v>
      </c>
      <c r="K51" s="12">
        <f ca="1">J51*(1+$G$46)</f>
        <v>7525.806617803084</v>
      </c>
      <c r="L51" s="13">
        <f ca="1">K51*(1+$G$46)</f>
        <v>9382.6778534873229</v>
      </c>
      <c r="M51" s="6"/>
      <c r="N51" s="6"/>
      <c r="O51" s="6"/>
      <c r="P51" s="172">
        <v>44531</v>
      </c>
      <c r="Q51" s="139">
        <v>143.89999399999999</v>
      </c>
      <c r="R51" s="139">
        <f t="shared" si="2"/>
        <v>-9.5815463734298643</v>
      </c>
      <c r="S51" s="139">
        <v>4766.18</v>
      </c>
      <c r="T51" s="139">
        <f t="shared" si="3"/>
        <v>4.2688611280446649</v>
      </c>
      <c r="U51" s="254">
        <v>1.52</v>
      </c>
    </row>
    <row r="52" spans="1:21" ht="15" x14ac:dyDescent="0.25">
      <c r="A52" s="168"/>
      <c r="B52" s="17" t="s">
        <v>301</v>
      </c>
      <c r="C52" s="182">
        <f>Y10</f>
        <v>0.14471522471077505</v>
      </c>
      <c r="D52" s="6"/>
      <c r="E52" s="347" t="s">
        <v>307</v>
      </c>
      <c r="F52" s="292"/>
      <c r="G52" s="12"/>
      <c r="H52" s="12"/>
      <c r="I52" s="12"/>
      <c r="J52" s="12"/>
      <c r="K52" s="12"/>
      <c r="L52" s="13">
        <f ca="1">L51*(1+G47)/(G48-G47)</f>
        <v>255178.64705654187</v>
      </c>
      <c r="M52" s="6"/>
      <c r="N52" s="6"/>
      <c r="O52" s="6"/>
      <c r="P52" s="172">
        <v>44562</v>
      </c>
      <c r="Q52" s="139">
        <v>114.25</v>
      </c>
      <c r="R52" s="139">
        <f t="shared" si="2"/>
        <v>-23.072954242338518</v>
      </c>
      <c r="S52" s="139">
        <v>4515.55</v>
      </c>
      <c r="T52" s="139">
        <f t="shared" si="3"/>
        <v>-5.4018149865018845</v>
      </c>
      <c r="U52" s="254">
        <v>1.79</v>
      </c>
    </row>
    <row r="53" spans="1:21" ht="15" x14ac:dyDescent="0.25">
      <c r="A53" s="168"/>
      <c r="B53" s="5" t="s">
        <v>302</v>
      </c>
      <c r="C53" s="187">
        <f>C40*C52+C35*(1-C34)*C41</f>
        <v>0.14295992384444484</v>
      </c>
      <c r="D53" s="6"/>
      <c r="E53" s="347" t="s">
        <v>308</v>
      </c>
      <c r="F53" s="292"/>
      <c r="G53" s="12">
        <f>G51+G52</f>
        <v>3115</v>
      </c>
      <c r="H53" s="12">
        <f t="shared" ref="H53:L53" ca="1" si="10">H51+H52</f>
        <v>3883.5759404810356</v>
      </c>
      <c r="I53" s="12">
        <f t="shared" ca="1" si="10"/>
        <v>4841.7855812144971</v>
      </c>
      <c r="J53" s="12">
        <f t="shared" ca="1" si="10"/>
        <v>6036.4179750152834</v>
      </c>
      <c r="K53" s="12">
        <f t="shared" ca="1" si="10"/>
        <v>7525.806617803084</v>
      </c>
      <c r="L53" s="13">
        <f t="shared" ca="1" si="10"/>
        <v>264561.32491002919</v>
      </c>
      <c r="M53" s="6"/>
      <c r="N53" s="6"/>
      <c r="O53" s="6"/>
      <c r="P53" s="172">
        <v>44593</v>
      </c>
      <c r="Q53" s="139">
        <v>123.339996</v>
      </c>
      <c r="R53" s="139">
        <f t="shared" si="2"/>
        <v>7.6555707358352656</v>
      </c>
      <c r="S53" s="139">
        <v>4373.9399999999996</v>
      </c>
      <c r="T53" s="139">
        <f t="shared" si="3"/>
        <v>-3.1862790878923102</v>
      </c>
      <c r="U53" s="254">
        <v>1.83</v>
      </c>
    </row>
    <row r="54" spans="1:21" ht="15" x14ac:dyDescent="0.25">
      <c r="A54" s="168"/>
      <c r="B54" s="17"/>
      <c r="C54" s="7"/>
      <c r="D54" s="6"/>
      <c r="E54" s="347" t="s">
        <v>317</v>
      </c>
      <c r="F54" s="292"/>
      <c r="G54" s="12">
        <f ca="1">NPV(G48,H53:L53)*(1+G48)^(1/3)</f>
        <v>159624.60338357513</v>
      </c>
      <c r="H54" s="12"/>
      <c r="I54" s="12"/>
      <c r="J54" s="12"/>
      <c r="K54" s="12"/>
      <c r="L54" s="13"/>
      <c r="M54" s="6"/>
      <c r="N54" s="6"/>
      <c r="O54" s="6"/>
      <c r="P54" s="172">
        <v>44621</v>
      </c>
      <c r="Q54" s="139">
        <v>109.339996</v>
      </c>
      <c r="R54" s="139">
        <f t="shared" si="2"/>
        <v>-12.048248024894944</v>
      </c>
      <c r="S54" s="139">
        <v>4530.41</v>
      </c>
      <c r="T54" s="139">
        <f t="shared" si="3"/>
        <v>3.5148238386268407</v>
      </c>
      <c r="U54" s="254">
        <v>2.3199999999999998</v>
      </c>
    </row>
    <row r="55" spans="1:21" ht="15" x14ac:dyDescent="0.25">
      <c r="A55" s="168"/>
      <c r="B55" s="21" t="s">
        <v>305</v>
      </c>
      <c r="C55" s="202">
        <f>AVERAGE(C53,C50)</f>
        <v>0.14044596112522365</v>
      </c>
      <c r="D55" s="6"/>
      <c r="E55" s="347" t="s">
        <v>318</v>
      </c>
      <c r="F55" s="292"/>
      <c r="G55" s="12">
        <f>G6</f>
        <v>5855</v>
      </c>
      <c r="H55" s="12"/>
      <c r="I55" s="12"/>
      <c r="J55" s="12"/>
      <c r="K55" s="12"/>
      <c r="L55" s="13"/>
      <c r="M55" s="6"/>
      <c r="N55" s="6"/>
      <c r="O55" s="6"/>
      <c r="P55" s="172">
        <v>44652</v>
      </c>
      <c r="Q55" s="139">
        <v>85.519997000000004</v>
      </c>
      <c r="R55" s="139">
        <f t="shared" si="2"/>
        <v>-24.571202524644168</v>
      </c>
      <c r="S55" s="139">
        <v>4131.93</v>
      </c>
      <c r="T55" s="139">
        <f t="shared" si="3"/>
        <v>-9.2067832960435183</v>
      </c>
      <c r="U55" s="254">
        <v>2.89</v>
      </c>
    </row>
    <row r="56" spans="1:21" ht="15" x14ac:dyDescent="0.25">
      <c r="A56" s="168"/>
      <c r="B56" s="6"/>
      <c r="C56" s="6"/>
      <c r="D56" s="6"/>
      <c r="E56" s="347" t="s">
        <v>319</v>
      </c>
      <c r="F56" s="292"/>
      <c r="G56" s="12">
        <f>G9</f>
        <v>2467</v>
      </c>
      <c r="H56" s="12"/>
      <c r="I56" s="12"/>
      <c r="J56" s="12"/>
      <c r="K56" s="12"/>
      <c r="L56" s="13"/>
      <c r="M56" s="6"/>
      <c r="N56" s="6"/>
      <c r="O56" s="6"/>
      <c r="P56" s="172">
        <v>44682</v>
      </c>
      <c r="Q56" s="139">
        <v>101.860001</v>
      </c>
      <c r="R56" s="139">
        <f t="shared" si="2"/>
        <v>17.48490996365793</v>
      </c>
      <c r="S56" s="139">
        <v>4132.1499999999996</v>
      </c>
      <c r="T56" s="139">
        <f t="shared" si="3"/>
        <v>5.3242466203463354E-3</v>
      </c>
      <c r="U56" s="254">
        <v>2.85</v>
      </c>
    </row>
    <row r="57" spans="1:21" ht="15" x14ac:dyDescent="0.25">
      <c r="A57" s="168"/>
      <c r="B57" s="6"/>
      <c r="C57" s="6"/>
      <c r="D57" s="6"/>
      <c r="E57" s="347" t="s">
        <v>291</v>
      </c>
      <c r="F57" s="292"/>
      <c r="G57" s="12">
        <f ca="1">G54+G55-G56</f>
        <v>163012.60338357513</v>
      </c>
      <c r="H57" s="12"/>
      <c r="I57" s="12"/>
      <c r="J57" s="12"/>
      <c r="K57" s="12"/>
      <c r="L57" s="13"/>
      <c r="M57" s="6"/>
      <c r="N57" s="6"/>
      <c r="O57" s="6"/>
      <c r="P57" s="172">
        <v>44713</v>
      </c>
      <c r="Q57" s="139">
        <v>76.470000999999996</v>
      </c>
      <c r="R57" s="139">
        <f t="shared" si="2"/>
        <v>-28.670081114069763</v>
      </c>
      <c r="S57" s="139">
        <v>3785.38</v>
      </c>
      <c r="T57" s="139">
        <f t="shared" si="3"/>
        <v>-8.7651574480173391</v>
      </c>
      <c r="U57" s="254">
        <v>2.98</v>
      </c>
    </row>
    <row r="58" spans="1:21" ht="15" x14ac:dyDescent="0.25">
      <c r="A58" s="168"/>
      <c r="B58" s="6"/>
      <c r="C58" s="6"/>
      <c r="D58" s="6"/>
      <c r="E58" s="363" t="s">
        <v>310</v>
      </c>
      <c r="F58" s="364"/>
      <c r="G58" s="183">
        <f ca="1">G57/C30</f>
        <v>101.2273119603702</v>
      </c>
      <c r="H58" s="87"/>
      <c r="I58" s="87"/>
      <c r="J58" s="87"/>
      <c r="K58" s="87"/>
      <c r="L58" s="88"/>
      <c r="M58" s="6"/>
      <c r="N58" s="6"/>
      <c r="O58" s="6"/>
      <c r="P58" s="172">
        <v>44743</v>
      </c>
      <c r="Q58" s="139">
        <v>94.470000999999996</v>
      </c>
      <c r="R58" s="139">
        <f t="shared" ref="R58:R63" si="11">LN(Q58/Q57)*100</f>
        <v>21.138381423325665</v>
      </c>
      <c r="S58" s="139">
        <v>4130.29</v>
      </c>
      <c r="T58" s="139">
        <f t="shared" ref="T58:T63" si="12">LN(S58/S57)*100</f>
        <v>8.7201344274224581</v>
      </c>
      <c r="U58" s="254">
        <v>2.67</v>
      </c>
    </row>
    <row r="59" spans="1:21" ht="15" x14ac:dyDescent="0.25">
      <c r="A59" s="168"/>
      <c r="B59" s="6"/>
      <c r="C59" s="6"/>
      <c r="D59" s="6"/>
      <c r="E59" s="6"/>
      <c r="F59" s="6"/>
      <c r="G59" s="6"/>
      <c r="H59" s="6"/>
      <c r="I59" s="6"/>
      <c r="J59" s="6"/>
      <c r="K59" s="6"/>
      <c r="L59" s="6"/>
      <c r="M59" s="6"/>
      <c r="N59" s="6"/>
      <c r="O59" s="6"/>
      <c r="P59" s="172">
        <v>44774</v>
      </c>
      <c r="Q59" s="139">
        <v>84.870002999999997</v>
      </c>
      <c r="R59" s="139">
        <f t="shared" si="11"/>
        <v>-10.716162503664947</v>
      </c>
      <c r="S59" s="139">
        <v>3955</v>
      </c>
      <c r="T59" s="139">
        <f t="shared" si="12"/>
        <v>-4.3367021205837171</v>
      </c>
      <c r="U59" s="254">
        <v>3.15</v>
      </c>
    </row>
    <row r="60" spans="1:21" ht="15" x14ac:dyDescent="0.25">
      <c r="A60" s="168"/>
      <c r="B60" s="6"/>
      <c r="C60" s="6"/>
      <c r="D60" s="6"/>
      <c r="E60" s="6"/>
      <c r="F60" s="6"/>
      <c r="G60" s="6"/>
      <c r="H60" s="6"/>
      <c r="I60" s="6"/>
      <c r="J60" s="6"/>
      <c r="K60" s="6"/>
      <c r="L60" s="6"/>
      <c r="M60" s="6"/>
      <c r="N60" s="6"/>
      <c r="O60" s="6"/>
      <c r="P60" s="172">
        <v>44805</v>
      </c>
      <c r="Q60" s="139">
        <v>63.360000999999997</v>
      </c>
      <c r="R60" s="139">
        <f t="shared" si="11"/>
        <v>-29.22879460407659</v>
      </c>
      <c r="S60" s="139">
        <v>3585.62</v>
      </c>
      <c r="T60" s="139">
        <f t="shared" si="12"/>
        <v>-9.8049199303624359</v>
      </c>
      <c r="U60" s="254">
        <v>3.83</v>
      </c>
    </row>
    <row r="61" spans="1:21" ht="15" x14ac:dyDescent="0.25">
      <c r="A61" s="168"/>
      <c r="B61" s="6"/>
      <c r="C61" s="6"/>
      <c r="D61" s="6"/>
      <c r="E61" s="340" t="s">
        <v>340</v>
      </c>
      <c r="F61" s="359"/>
      <c r="G61" s="359"/>
      <c r="H61" s="359"/>
      <c r="I61" s="359"/>
      <c r="J61" s="359"/>
      <c r="K61" s="341"/>
      <c r="L61" s="43"/>
      <c r="M61" s="6"/>
      <c r="N61" s="6"/>
      <c r="O61" s="6"/>
      <c r="P61" s="172">
        <v>44835</v>
      </c>
      <c r="Q61" s="139">
        <v>60.060001</v>
      </c>
      <c r="R61" s="139">
        <f t="shared" si="11"/>
        <v>-5.3488684083797837</v>
      </c>
      <c r="S61" s="139">
        <v>3871.98</v>
      </c>
      <c r="T61" s="139">
        <f t="shared" si="12"/>
        <v>7.6834602195741324</v>
      </c>
      <c r="U61" s="254">
        <v>4.0999999999999996</v>
      </c>
    </row>
    <row r="62" spans="1:21" ht="15" x14ac:dyDescent="0.25">
      <c r="A62" s="168"/>
      <c r="B62" s="6"/>
      <c r="D62" s="6"/>
      <c r="E62" s="394" t="s">
        <v>373</v>
      </c>
      <c r="F62" s="335"/>
      <c r="G62" s="335"/>
      <c r="H62" s="335"/>
      <c r="I62" s="335"/>
      <c r="J62" s="335"/>
      <c r="K62" s="395"/>
      <c r="L62" s="1"/>
      <c r="M62" s="6"/>
      <c r="N62" s="6"/>
      <c r="O62" s="6"/>
      <c r="P62" s="172">
        <v>44866</v>
      </c>
      <c r="Q62" s="139">
        <v>77.629997000000003</v>
      </c>
      <c r="R62" s="139">
        <f>LN(Q62/Q61)*100</f>
        <v>25.660983256753369</v>
      </c>
      <c r="S62" s="139">
        <v>4080.11</v>
      </c>
      <c r="T62" s="139">
        <f>LN(S62/S61)*100</f>
        <v>5.2357944725214409</v>
      </c>
      <c r="U62" s="254">
        <v>3.68</v>
      </c>
    </row>
    <row r="63" spans="1:21" ht="15" x14ac:dyDescent="0.25">
      <c r="A63" s="168"/>
      <c r="B63" s="6"/>
      <c r="D63" s="6"/>
      <c r="E63" s="351" t="s">
        <v>341</v>
      </c>
      <c r="F63" s="269"/>
      <c r="G63" s="94" t="s">
        <v>324</v>
      </c>
      <c r="H63" s="62" t="s">
        <v>342</v>
      </c>
      <c r="I63" s="62" t="s">
        <v>343</v>
      </c>
      <c r="J63" s="62" t="s">
        <v>344</v>
      </c>
      <c r="K63" s="63" t="s">
        <v>361</v>
      </c>
      <c r="L63" s="6"/>
      <c r="M63" s="6"/>
      <c r="N63" s="6"/>
      <c r="O63" s="6"/>
      <c r="P63" s="172">
        <v>44896</v>
      </c>
      <c r="Q63" s="139">
        <v>64.769997000000004</v>
      </c>
      <c r="R63" s="139">
        <f t="shared" si="11"/>
        <v>-18.111142489564951</v>
      </c>
      <c r="S63" s="139">
        <v>3839.5</v>
      </c>
      <c r="T63" s="139">
        <f t="shared" si="12"/>
        <v>-6.0781799048487493</v>
      </c>
      <c r="U63" s="254">
        <v>3.88</v>
      </c>
    </row>
    <row r="64" spans="1:21" ht="15" x14ac:dyDescent="0.2">
      <c r="A64" s="235"/>
      <c r="B64" s="6"/>
      <c r="D64" s="6"/>
      <c r="E64" s="271" t="s">
        <v>345</v>
      </c>
      <c r="F64" s="272"/>
      <c r="G64" s="6" t="s">
        <v>351</v>
      </c>
      <c r="H64" s="6">
        <v>12.63</v>
      </c>
      <c r="I64" s="6">
        <v>48.97</v>
      </c>
      <c r="J64" s="6">
        <v>60.74</v>
      </c>
      <c r="K64" s="7">
        <v>74.69</v>
      </c>
      <c r="L64" s="6"/>
      <c r="M64" s="6"/>
      <c r="N64" s="6"/>
      <c r="O64" s="6"/>
      <c r="P64" s="6"/>
      <c r="Q64" s="6"/>
      <c r="R64" s="6"/>
      <c r="S64" s="6"/>
      <c r="T64" s="6"/>
      <c r="U64" s="6"/>
    </row>
    <row r="65" spans="1:15" ht="15" x14ac:dyDescent="0.2">
      <c r="A65" s="236"/>
      <c r="D65" s="168"/>
      <c r="E65" s="271" t="s">
        <v>346</v>
      </c>
      <c r="F65" s="272"/>
      <c r="G65" s="6" t="s">
        <v>352</v>
      </c>
      <c r="H65" s="6">
        <v>7.41</v>
      </c>
      <c r="I65" s="6">
        <v>13.14</v>
      </c>
      <c r="J65" s="6">
        <v>14.3</v>
      </c>
      <c r="K65" s="7">
        <v>24.97</v>
      </c>
      <c r="M65" s="168"/>
      <c r="N65" s="168"/>
      <c r="O65" s="168"/>
    </row>
    <row r="66" spans="1:15" ht="15" x14ac:dyDescent="0.2">
      <c r="A66" s="236"/>
      <c r="D66" s="168"/>
      <c r="E66" s="271" t="s">
        <v>347</v>
      </c>
      <c r="F66" s="272"/>
      <c r="G66" s="6" t="s">
        <v>353</v>
      </c>
      <c r="H66" s="6">
        <v>7.52</v>
      </c>
      <c r="I66" s="6">
        <v>16.190000000000001</v>
      </c>
      <c r="J66" s="6">
        <v>27.54</v>
      </c>
      <c r="K66" s="7">
        <v>23.91</v>
      </c>
      <c r="M66" s="168"/>
      <c r="N66" s="168"/>
      <c r="O66" s="168"/>
    </row>
    <row r="67" spans="1:15" ht="15" x14ac:dyDescent="0.2">
      <c r="A67" s="236"/>
      <c r="D67" s="168"/>
      <c r="E67" s="271" t="s">
        <v>348</v>
      </c>
      <c r="F67" s="272"/>
      <c r="G67" s="6" t="s">
        <v>354</v>
      </c>
      <c r="H67" s="6">
        <v>1.81</v>
      </c>
      <c r="I67" s="6">
        <v>5.91</v>
      </c>
      <c r="J67" s="6">
        <v>14.88</v>
      </c>
      <c r="K67" s="7">
        <v>-8.8800000000000008</v>
      </c>
      <c r="M67" s="168"/>
      <c r="N67" s="168"/>
      <c r="O67" s="168"/>
    </row>
    <row r="68" spans="1:15" ht="15" x14ac:dyDescent="0.2">
      <c r="A68" s="236"/>
      <c r="D68" s="168"/>
      <c r="E68" s="271" t="s">
        <v>349</v>
      </c>
      <c r="F68" s="272"/>
      <c r="G68" s="6" t="s">
        <v>355</v>
      </c>
      <c r="H68" s="6">
        <v>3</v>
      </c>
      <c r="I68" s="6">
        <v>7.52</v>
      </c>
      <c r="J68" s="6">
        <v>8.36</v>
      </c>
      <c r="K68" s="7">
        <v>19.399999999999999</v>
      </c>
      <c r="L68" s="168"/>
      <c r="M68" s="168"/>
      <c r="N68" s="168"/>
      <c r="O68" s="168"/>
    </row>
    <row r="69" spans="1:15" ht="15" x14ac:dyDescent="0.2">
      <c r="A69" s="236"/>
      <c r="D69" s="168"/>
      <c r="E69" s="271" t="s">
        <v>350</v>
      </c>
      <c r="F69" s="272"/>
      <c r="G69" s="6" t="s">
        <v>356</v>
      </c>
      <c r="H69" s="6">
        <v>7.7</v>
      </c>
      <c r="I69" s="6">
        <v>13.32</v>
      </c>
      <c r="J69" s="6">
        <v>17.98</v>
      </c>
      <c r="K69" s="7">
        <v>15.68</v>
      </c>
      <c r="L69" s="168"/>
      <c r="M69" s="168"/>
      <c r="N69" s="168"/>
      <c r="O69" s="168"/>
    </row>
    <row r="70" spans="1:15" ht="15" x14ac:dyDescent="0.2">
      <c r="A70" s="236"/>
      <c r="D70" s="168"/>
      <c r="E70" s="271" t="s">
        <v>359</v>
      </c>
      <c r="F70" s="272"/>
      <c r="G70" s="6" t="s">
        <v>357</v>
      </c>
      <c r="H70" s="6">
        <v>1.99</v>
      </c>
      <c r="I70" s="6">
        <v>3.81</v>
      </c>
      <c r="J70" s="6">
        <v>7.89</v>
      </c>
      <c r="K70" s="7">
        <v>58.24</v>
      </c>
      <c r="L70" s="168"/>
      <c r="M70" s="168"/>
      <c r="N70" s="168"/>
      <c r="O70" s="168"/>
    </row>
    <row r="71" spans="1:15" ht="15" x14ac:dyDescent="0.2">
      <c r="A71" s="236"/>
      <c r="D71" s="168"/>
      <c r="E71" s="271" t="s">
        <v>360</v>
      </c>
      <c r="F71" s="272"/>
      <c r="G71" s="6" t="s">
        <v>358</v>
      </c>
      <c r="H71" s="6">
        <v>3.78</v>
      </c>
      <c r="I71" s="6">
        <v>10.01</v>
      </c>
      <c r="J71" s="6">
        <v>13.49</v>
      </c>
      <c r="K71" s="7">
        <v>20.97</v>
      </c>
      <c r="L71" s="168"/>
      <c r="M71" s="168"/>
      <c r="N71" s="168"/>
      <c r="O71" s="168"/>
    </row>
    <row r="72" spans="1:15" ht="15" x14ac:dyDescent="0.2">
      <c r="A72" s="168"/>
      <c r="D72" s="168"/>
      <c r="E72" s="17"/>
      <c r="F72" s="6"/>
      <c r="G72" s="6" t="s">
        <v>362</v>
      </c>
      <c r="H72" s="6">
        <f>AVERAGE(H64:H71)</f>
        <v>5.73</v>
      </c>
      <c r="I72" s="6">
        <f>AVERAGE(I64:I71)</f>
        <v>14.858749999999999</v>
      </c>
      <c r="J72" s="6">
        <f>AVERAGE(J64:J71)</f>
        <v>20.647500000000001</v>
      </c>
      <c r="K72" s="7">
        <f>AVERAGE(K64:K71)</f>
        <v>28.622500000000002</v>
      </c>
      <c r="L72" s="168"/>
      <c r="M72" s="168"/>
      <c r="N72" s="168"/>
      <c r="O72" s="168"/>
    </row>
    <row r="73" spans="1:15" ht="15" x14ac:dyDescent="0.2">
      <c r="A73" s="168"/>
      <c r="D73" s="168"/>
      <c r="E73" s="151"/>
      <c r="F73" s="87"/>
      <c r="G73" s="87" t="s">
        <v>363</v>
      </c>
      <c r="H73" s="87">
        <f>MEDIAN(H64:H71)</f>
        <v>5.5949999999999998</v>
      </c>
      <c r="I73" s="87">
        <f>MEDIAN(I64:I71)</f>
        <v>11.574999999999999</v>
      </c>
      <c r="J73" s="87">
        <f>MEDIAN(J64:J71)</f>
        <v>14.59</v>
      </c>
      <c r="K73" s="88">
        <f>MEDIAN(K64:K71)</f>
        <v>22.439999999999998</v>
      </c>
      <c r="L73" s="168"/>
      <c r="M73" s="168"/>
      <c r="N73" s="168"/>
      <c r="O73" s="168"/>
    </row>
    <row r="74" spans="1:15" ht="15" x14ac:dyDescent="0.2">
      <c r="A74" s="168"/>
      <c r="D74" s="168"/>
      <c r="E74" s="168"/>
      <c r="F74" s="168"/>
      <c r="G74" s="168"/>
      <c r="H74" s="168"/>
      <c r="I74" s="168"/>
      <c r="J74" s="168"/>
      <c r="K74" s="168"/>
      <c r="L74" s="168"/>
      <c r="M74" s="168"/>
      <c r="N74" s="168"/>
      <c r="O74" s="168"/>
    </row>
    <row r="75" spans="1:15" ht="15" x14ac:dyDescent="0.2">
      <c r="E75" s="378" t="s">
        <v>374</v>
      </c>
      <c r="F75" s="379"/>
      <c r="G75" s="379"/>
      <c r="H75" s="379"/>
      <c r="I75" s="379"/>
      <c r="J75" s="379"/>
      <c r="K75" s="380"/>
    </row>
    <row r="76" spans="1:15" ht="15" x14ac:dyDescent="0.2">
      <c r="E76" s="192"/>
      <c r="F76" s="12"/>
      <c r="G76" s="12"/>
      <c r="H76" s="265" t="s">
        <v>364</v>
      </c>
      <c r="I76" s="265" t="s">
        <v>372</v>
      </c>
      <c r="J76" s="265" t="s">
        <v>365</v>
      </c>
      <c r="K76" s="266" t="s">
        <v>272</v>
      </c>
    </row>
    <row r="77" spans="1:15" ht="15" x14ac:dyDescent="0.2">
      <c r="E77" s="374" t="s">
        <v>366</v>
      </c>
      <c r="F77" s="375"/>
      <c r="G77" s="375"/>
      <c r="H77" s="12">
        <f>ISmod!F2</f>
        <v>23601</v>
      </c>
      <c r="I77" s="12">
        <f>ISmod!F11+CFstm!F5</f>
        <v>5438</v>
      </c>
      <c r="J77" s="12">
        <f>ISmod!F11</f>
        <v>1264</v>
      </c>
      <c r="K77" s="13">
        <f>G45</f>
        <v>3115</v>
      </c>
    </row>
    <row r="78" spans="1:15" ht="15" x14ac:dyDescent="0.2">
      <c r="E78" s="374" t="s">
        <v>369</v>
      </c>
      <c r="F78" s="375"/>
      <c r="G78" s="375"/>
      <c r="H78" s="12">
        <f>H77*H73</f>
        <v>132047.595</v>
      </c>
      <c r="I78" s="12">
        <f>I77*I73</f>
        <v>62944.85</v>
      </c>
      <c r="J78" s="12">
        <f>J77*J73</f>
        <v>18441.759999999998</v>
      </c>
      <c r="K78" s="13">
        <f>K77*K73</f>
        <v>69900.599999999991</v>
      </c>
    </row>
    <row r="79" spans="1:15" ht="15" x14ac:dyDescent="0.2">
      <c r="E79" s="374" t="s">
        <v>367</v>
      </c>
      <c r="F79" s="375"/>
      <c r="G79" s="375"/>
      <c r="H79" s="12">
        <f>BSmod!$F$3</f>
        <v>5855</v>
      </c>
      <c r="I79" s="12">
        <f>BSmod!$F$3</f>
        <v>5855</v>
      </c>
      <c r="J79" s="12">
        <f>BSmod!$F$3</f>
        <v>5855</v>
      </c>
      <c r="K79" s="13">
        <f>BSmod!$F$3</f>
        <v>5855</v>
      </c>
    </row>
    <row r="80" spans="1:15" ht="15" x14ac:dyDescent="0.2">
      <c r="E80" s="374" t="s">
        <v>368</v>
      </c>
      <c r="F80" s="375"/>
      <c r="G80" s="375"/>
      <c r="H80" s="12">
        <f>BSmod!$F$19+BSmod!$F$23+BSmod!$F$26</f>
        <v>2467</v>
      </c>
      <c r="I80" s="12">
        <f>BSmod!$F$19+BSmod!$F$23+BSmod!$F$26</f>
        <v>2467</v>
      </c>
      <c r="J80" s="12">
        <f>BSmod!$F$19+BSmod!$F$23+BSmod!$F$26</f>
        <v>2467</v>
      </c>
      <c r="K80" s="13">
        <f>BSmod!$F$19+BSmod!$F$23+BSmod!$F$26</f>
        <v>2467</v>
      </c>
    </row>
    <row r="81" spans="1:12" ht="15" x14ac:dyDescent="0.2">
      <c r="E81" s="374" t="s">
        <v>291</v>
      </c>
      <c r="F81" s="375"/>
      <c r="G81" s="375"/>
      <c r="H81" s="12">
        <f>H78+H79-H80</f>
        <v>135435.595</v>
      </c>
      <c r="I81" s="12">
        <f t="shared" ref="I81:K81" si="13">I78+I79-I80</f>
        <v>66332.850000000006</v>
      </c>
      <c r="J81" s="12">
        <f t="shared" si="13"/>
        <v>21829.759999999998</v>
      </c>
      <c r="K81" s="13">
        <f t="shared" si="13"/>
        <v>73288.599999999991</v>
      </c>
    </row>
    <row r="82" spans="1:12" ht="15" x14ac:dyDescent="0.2">
      <c r="E82" s="376" t="s">
        <v>370</v>
      </c>
      <c r="F82" s="377"/>
      <c r="G82" s="377"/>
      <c r="H82" s="193">
        <f>H81/$C$30</f>
        <v>84.102584346461214</v>
      </c>
      <c r="I82" s="193">
        <f t="shared" ref="I82:K82" si="14">I81/$C$30</f>
        <v>41.191269636805302</v>
      </c>
      <c r="J82" s="193">
        <f t="shared" si="14"/>
        <v>13.555810285051024</v>
      </c>
      <c r="K82" s="194">
        <f t="shared" si="14"/>
        <v>45.51064041276635</v>
      </c>
    </row>
    <row r="84" spans="1:12" x14ac:dyDescent="0.2">
      <c r="E84" s="381"/>
      <c r="F84" s="381"/>
      <c r="G84" s="381"/>
      <c r="H84" s="381"/>
      <c r="I84" s="381"/>
      <c r="J84" s="381"/>
      <c r="K84" s="381"/>
    </row>
    <row r="85" spans="1:12" x14ac:dyDescent="0.2">
      <c r="A85" s="195"/>
      <c r="B85" s="195"/>
      <c r="C85" s="195"/>
      <c r="D85" s="195"/>
      <c r="E85" s="195"/>
      <c r="F85" s="195"/>
      <c r="G85" s="195"/>
      <c r="H85" s="195"/>
      <c r="I85" s="195"/>
      <c r="J85" s="195"/>
      <c r="K85" s="195"/>
      <c r="L85" s="195"/>
    </row>
    <row r="87" spans="1:12" ht="15" customHeight="1" x14ac:dyDescent="0.2">
      <c r="A87" s="201"/>
      <c r="B87" s="268" t="s">
        <v>497</v>
      </c>
      <c r="C87" s="318"/>
      <c r="D87" s="319"/>
      <c r="E87" s="351" t="s">
        <v>376</v>
      </c>
      <c r="F87" s="269"/>
      <c r="G87" s="269"/>
      <c r="H87" s="269"/>
      <c r="I87" s="269"/>
      <c r="J87" s="269"/>
      <c r="K87" s="269"/>
      <c r="L87" s="270"/>
    </row>
    <row r="88" spans="1:12" ht="15" x14ac:dyDescent="0.2">
      <c r="A88" s="201"/>
      <c r="B88" s="289"/>
      <c r="C88" s="290"/>
      <c r="D88" s="303"/>
      <c r="E88" s="17"/>
      <c r="F88" s="6"/>
      <c r="G88" s="287" t="s">
        <v>365</v>
      </c>
      <c r="H88" s="287"/>
      <c r="I88" s="287"/>
      <c r="J88" s="287"/>
      <c r="K88" s="287"/>
      <c r="L88" s="287"/>
    </row>
    <row r="89" spans="1:12" ht="15" x14ac:dyDescent="0.2">
      <c r="A89" s="201"/>
      <c r="B89" s="289"/>
      <c r="C89" s="290"/>
      <c r="D89" s="303"/>
      <c r="E89" s="287" t="s">
        <v>344</v>
      </c>
      <c r="F89" s="197">
        <f>J82</f>
        <v>13.555810285051024</v>
      </c>
      <c r="G89" s="198">
        <v>700</v>
      </c>
      <c r="H89" s="199">
        <v>1264</v>
      </c>
      <c r="I89" s="198">
        <v>1700</v>
      </c>
      <c r="J89" s="198">
        <v>2200</v>
      </c>
      <c r="K89" s="198">
        <v>2700</v>
      </c>
      <c r="L89" s="198">
        <v>3200</v>
      </c>
    </row>
    <row r="90" spans="1:12" ht="15" x14ac:dyDescent="0.2">
      <c r="A90" s="201"/>
      <c r="B90" s="289"/>
      <c r="C90" s="290"/>
      <c r="D90" s="303"/>
      <c r="E90" s="287"/>
      <c r="F90" s="198">
        <v>10</v>
      </c>
      <c r="G90" s="198">
        <f t="dataTable" ref="G90:L102" dt2D="1" dtr="1" r1="J77" r2="J73"/>
        <v>6.4507240226695135</v>
      </c>
      <c r="H90" s="198">
        <v>9.953042417726893</v>
      </c>
      <c r="I90" s="198">
        <v>12.660508411069122</v>
      </c>
      <c r="J90" s="198">
        <v>15.765400605268926</v>
      </c>
      <c r="K90" s="198">
        <v>18.870292799468732</v>
      </c>
      <c r="L90" s="198">
        <v>21.975184993668535</v>
      </c>
    </row>
    <row r="91" spans="1:12" ht="15" x14ac:dyDescent="0.2">
      <c r="A91" s="201"/>
      <c r="B91" s="289"/>
      <c r="C91" s="290"/>
      <c r="D91" s="303"/>
      <c r="E91" s="287"/>
      <c r="F91" s="199">
        <v>14.59</v>
      </c>
      <c r="G91" s="198">
        <v>8.4459277466623082</v>
      </c>
      <c r="H91" s="199">
        <v>13.555810285051024</v>
      </c>
      <c r="I91" s="198">
        <v>17.506003169337337</v>
      </c>
      <c r="J91" s="198">
        <v>22.03604088067485</v>
      </c>
      <c r="K91" s="198">
        <v>26.566078592012367</v>
      </c>
      <c r="L91" s="198">
        <v>31.096116303349881</v>
      </c>
    </row>
    <row r="92" spans="1:12" ht="15" x14ac:dyDescent="0.2">
      <c r="A92" s="201"/>
      <c r="B92" s="289"/>
      <c r="C92" s="290"/>
      <c r="D92" s="303"/>
      <c r="E92" s="287"/>
      <c r="F92" s="198">
        <v>20</v>
      </c>
      <c r="G92" s="198">
        <v>10.797573094549239</v>
      </c>
      <c r="H92" s="198">
        <v>17.802209884663998</v>
      </c>
      <c r="I92" s="198">
        <v>23.217141871348456</v>
      </c>
      <c r="J92" s="198">
        <v>29.426926259748065</v>
      </c>
      <c r="K92" s="198">
        <v>35.636710648147677</v>
      </c>
      <c r="L92" s="198">
        <v>41.846495036547282</v>
      </c>
    </row>
    <row r="93" spans="1:12" ht="15" x14ac:dyDescent="0.2">
      <c r="A93" s="201"/>
      <c r="B93" s="289"/>
      <c r="C93" s="290"/>
      <c r="D93" s="303"/>
      <c r="E93" s="287"/>
      <c r="F93" s="198">
        <v>25</v>
      </c>
      <c r="G93" s="198">
        <v>12.970997630489103</v>
      </c>
      <c r="H93" s="198">
        <v>21.72679361813255</v>
      </c>
      <c r="I93" s="198">
        <v>28.495458601488124</v>
      </c>
      <c r="J93" s="198">
        <v>36.257689086987632</v>
      </c>
      <c r="K93" s="198">
        <v>44.019919572487147</v>
      </c>
      <c r="L93" s="198">
        <v>51.782150057986655</v>
      </c>
    </row>
    <row r="94" spans="1:12" ht="15" x14ac:dyDescent="0.2">
      <c r="A94" s="201"/>
      <c r="B94" s="289"/>
      <c r="C94" s="290"/>
      <c r="D94" s="303"/>
      <c r="E94" s="287"/>
      <c r="F94" s="198">
        <v>30</v>
      </c>
      <c r="G94" s="198">
        <v>15.144422166428965</v>
      </c>
      <c r="H94" s="198">
        <v>25.651377351601106</v>
      </c>
      <c r="I94" s="198">
        <v>33.773775331627789</v>
      </c>
      <c r="J94" s="198">
        <v>43.088451914227207</v>
      </c>
      <c r="K94" s="198">
        <v>52.403128496826618</v>
      </c>
      <c r="L94" s="198">
        <v>61.717805079426029</v>
      </c>
    </row>
    <row r="95" spans="1:12" ht="15" x14ac:dyDescent="0.2">
      <c r="A95" s="201"/>
      <c r="B95" s="289"/>
      <c r="C95" s="290"/>
      <c r="D95" s="303"/>
      <c r="E95" s="287"/>
      <c r="F95" s="198">
        <v>35</v>
      </c>
      <c r="G95" s="198">
        <v>17.317846702368829</v>
      </c>
      <c r="H95" s="198">
        <v>29.575961085069657</v>
      </c>
      <c r="I95" s="198">
        <v>39.052092061767461</v>
      </c>
      <c r="J95" s="198">
        <v>49.919214741466774</v>
      </c>
      <c r="K95" s="198">
        <v>60.786337421166088</v>
      </c>
      <c r="L95" s="198">
        <v>71.653460100865402</v>
      </c>
    </row>
    <row r="96" spans="1:12" ht="15" x14ac:dyDescent="0.2">
      <c r="A96" s="201"/>
      <c r="B96" s="289"/>
      <c r="C96" s="290"/>
      <c r="D96" s="303"/>
      <c r="E96" s="287"/>
      <c r="F96" s="198">
        <v>40</v>
      </c>
      <c r="G96" s="198">
        <v>19.491271238308691</v>
      </c>
      <c r="H96" s="198">
        <v>33.500544818538209</v>
      </c>
      <c r="I96" s="198">
        <v>44.330408791907125</v>
      </c>
      <c r="J96" s="198">
        <v>56.749977568706342</v>
      </c>
      <c r="K96" s="198">
        <v>69.169546345505566</v>
      </c>
      <c r="L96" s="198">
        <v>81.589115122304776</v>
      </c>
    </row>
    <row r="97" spans="1:12" ht="15" x14ac:dyDescent="0.2">
      <c r="A97" s="201"/>
      <c r="B97" s="289"/>
      <c r="C97" s="290"/>
      <c r="D97" s="303"/>
      <c r="E97" s="287"/>
      <c r="F97" s="198">
        <v>45</v>
      </c>
      <c r="G97" s="198">
        <v>21.664695774248557</v>
      </c>
      <c r="H97" s="198">
        <v>37.425128552006761</v>
      </c>
      <c r="I97" s="198">
        <v>49.608725522046797</v>
      </c>
      <c r="J97" s="198">
        <v>63.580740395945917</v>
      </c>
      <c r="K97" s="198">
        <v>77.552755269845036</v>
      </c>
      <c r="L97" s="198">
        <v>91.524770143744149</v>
      </c>
    </row>
    <row r="98" spans="1:12" ht="15" x14ac:dyDescent="0.2">
      <c r="A98" s="201"/>
      <c r="B98" s="289"/>
      <c r="C98" s="290"/>
      <c r="D98" s="303"/>
      <c r="E98" s="287"/>
      <c r="F98" s="198">
        <v>50</v>
      </c>
      <c r="G98" s="198">
        <v>23.838120310188419</v>
      </c>
      <c r="H98" s="198">
        <v>41.349712285475313</v>
      </c>
      <c r="I98" s="198">
        <v>54.887042252186461</v>
      </c>
      <c r="J98" s="198">
        <v>70.411503223185477</v>
      </c>
      <c r="K98" s="198">
        <v>85.935964194184507</v>
      </c>
      <c r="L98" s="198">
        <v>101.46042516518352</v>
      </c>
    </row>
    <row r="99" spans="1:12" ht="15" x14ac:dyDescent="0.2">
      <c r="A99" s="201"/>
      <c r="B99" s="289"/>
      <c r="C99" s="290"/>
      <c r="D99" s="303"/>
      <c r="E99" s="287"/>
      <c r="F99" s="198">
        <v>55</v>
      </c>
      <c r="G99" s="198">
        <v>26.011544846128281</v>
      </c>
      <c r="H99" s="198">
        <v>45.274296018943865</v>
      </c>
      <c r="I99" s="198">
        <v>60.165358982326133</v>
      </c>
      <c r="J99" s="198">
        <v>77.242266050425059</v>
      </c>
      <c r="K99" s="198">
        <v>94.319173118523977</v>
      </c>
      <c r="L99" s="198">
        <v>111.3960801866229</v>
      </c>
    </row>
    <row r="100" spans="1:12" ht="15" x14ac:dyDescent="0.2">
      <c r="A100" s="201"/>
      <c r="B100" s="289"/>
      <c r="C100" s="290"/>
      <c r="D100" s="303"/>
      <c r="E100" s="287"/>
      <c r="F100" s="198">
        <v>60</v>
      </c>
      <c r="G100" s="198">
        <v>28.184969382068143</v>
      </c>
      <c r="H100" s="198">
        <v>49.198879752412424</v>
      </c>
      <c r="I100" s="198">
        <v>65.44367571246579</v>
      </c>
      <c r="J100" s="198">
        <v>84.073028877664626</v>
      </c>
      <c r="K100" s="198">
        <v>102.70238204286345</v>
      </c>
      <c r="L100" s="198">
        <v>121.33173520806227</v>
      </c>
    </row>
    <row r="101" spans="1:12" ht="15" x14ac:dyDescent="0.2">
      <c r="A101" s="201"/>
      <c r="B101" s="289"/>
      <c r="C101" s="290"/>
      <c r="D101" s="303"/>
      <c r="E101" s="287"/>
      <c r="F101" s="198">
        <v>65</v>
      </c>
      <c r="G101" s="198">
        <v>30.358393918008009</v>
      </c>
      <c r="H101" s="198">
        <v>53.123463485880976</v>
      </c>
      <c r="I101" s="198">
        <v>70.721992442605469</v>
      </c>
      <c r="J101" s="198">
        <v>90.903791704904194</v>
      </c>
      <c r="K101" s="198">
        <v>111.08559096720292</v>
      </c>
      <c r="L101" s="198">
        <v>131.26739022950164</v>
      </c>
    </row>
    <row r="102" spans="1:12" ht="15" x14ac:dyDescent="0.2">
      <c r="A102" s="201"/>
      <c r="B102" s="334"/>
      <c r="C102" s="320"/>
      <c r="D102" s="321"/>
      <c r="E102" s="287"/>
      <c r="F102" s="198">
        <v>70</v>
      </c>
      <c r="G102" s="198">
        <v>32.531818453947871</v>
      </c>
      <c r="H102" s="198">
        <v>57.048047219349527</v>
      </c>
      <c r="I102" s="198">
        <v>76.000309172745133</v>
      </c>
      <c r="J102" s="198">
        <v>97.734554532143761</v>
      </c>
      <c r="K102" s="198">
        <v>119.46879989154239</v>
      </c>
      <c r="L102" s="198">
        <v>141.20304525094102</v>
      </c>
    </row>
    <row r="103" spans="1:12" ht="15" x14ac:dyDescent="0.2">
      <c r="E103" s="6"/>
      <c r="F103" s="6"/>
      <c r="G103" s="6"/>
      <c r="H103" s="6"/>
      <c r="I103" s="6"/>
      <c r="J103" s="6"/>
      <c r="K103" s="6"/>
      <c r="L103" s="6"/>
    </row>
    <row r="104" spans="1:12" ht="15" x14ac:dyDescent="0.2">
      <c r="E104" s="6"/>
      <c r="F104" s="6"/>
      <c r="G104" s="6"/>
      <c r="H104" s="6"/>
      <c r="I104" s="6"/>
      <c r="J104" s="6"/>
      <c r="K104" s="6"/>
      <c r="L104" s="6"/>
    </row>
    <row r="105" spans="1:12" ht="15" customHeight="1" x14ac:dyDescent="0.2">
      <c r="A105" s="201"/>
      <c r="B105" s="268" t="s">
        <v>381</v>
      </c>
      <c r="C105" s="318"/>
      <c r="D105" s="319"/>
      <c r="E105" s="351" t="s">
        <v>376</v>
      </c>
      <c r="F105" s="269"/>
      <c r="G105" s="269"/>
      <c r="H105" s="269"/>
      <c r="I105" s="269"/>
      <c r="J105" s="269"/>
      <c r="K105" s="269"/>
      <c r="L105" s="270"/>
    </row>
    <row r="106" spans="1:12" ht="15" x14ac:dyDescent="0.2">
      <c r="A106" s="201"/>
      <c r="B106" s="289"/>
      <c r="C106" s="290"/>
      <c r="D106" s="303"/>
      <c r="E106" s="17"/>
      <c r="F106" s="6"/>
      <c r="G106" s="287" t="s">
        <v>364</v>
      </c>
      <c r="H106" s="287"/>
      <c r="I106" s="287"/>
      <c r="J106" s="287"/>
      <c r="K106" s="287"/>
      <c r="L106" s="287"/>
    </row>
    <row r="107" spans="1:12" ht="15" x14ac:dyDescent="0.2">
      <c r="A107" s="201"/>
      <c r="B107" s="289"/>
      <c r="C107" s="290"/>
      <c r="D107" s="303"/>
      <c r="E107" s="287" t="s">
        <v>375</v>
      </c>
      <c r="F107" s="197">
        <f>H82</f>
        <v>84.102584346461214</v>
      </c>
      <c r="G107" s="198">
        <v>17000</v>
      </c>
      <c r="H107" s="198">
        <v>20000</v>
      </c>
      <c r="I107" s="199">
        <v>23601</v>
      </c>
      <c r="J107" s="198">
        <v>26000</v>
      </c>
      <c r="K107" s="198">
        <v>29000</v>
      </c>
      <c r="L107" s="198">
        <v>32000</v>
      </c>
    </row>
    <row r="108" spans="1:12" ht="15" x14ac:dyDescent="0.2">
      <c r="A108" s="201"/>
      <c r="B108" s="289"/>
      <c r="C108" s="290"/>
      <c r="D108" s="303"/>
      <c r="E108" s="287"/>
      <c r="F108" s="198">
        <v>2</v>
      </c>
      <c r="G108" s="198">
        <f t="dataTable" ref="G108:L120" dt2D="1" dtr="1" r1="H77" r2="H73"/>
        <v>23.217141871348456</v>
      </c>
      <c r="H108" s="198">
        <v>26.943012504388221</v>
      </c>
      <c r="I108" s="198">
        <v>31.415299220913621</v>
      </c>
      <c r="J108" s="198">
        <v>34.394753770467752</v>
      </c>
      <c r="K108" s="198">
        <v>38.12062440350752</v>
      </c>
      <c r="L108" s="198">
        <v>41.846495036547282</v>
      </c>
    </row>
    <row r="109" spans="1:12" ht="15" x14ac:dyDescent="0.2">
      <c r="A109" s="201"/>
      <c r="B109" s="289"/>
      <c r="C109" s="290"/>
      <c r="D109" s="303"/>
      <c r="E109" s="287"/>
      <c r="F109" s="198">
        <v>4</v>
      </c>
      <c r="G109" s="198">
        <v>44.330408791907125</v>
      </c>
      <c r="H109" s="198">
        <v>51.782150057986655</v>
      </c>
      <c r="I109" s="198">
        <v>60.726723491037454</v>
      </c>
      <c r="J109" s="198">
        <v>66.685632590145715</v>
      </c>
      <c r="K109" s="198">
        <v>74.137373856225253</v>
      </c>
      <c r="L109" s="198">
        <v>81.589115122304776</v>
      </c>
    </row>
    <row r="110" spans="1:12" ht="15" x14ac:dyDescent="0.2">
      <c r="A110" s="201"/>
      <c r="B110" s="289"/>
      <c r="C110" s="290"/>
      <c r="D110" s="303"/>
      <c r="E110" s="287"/>
      <c r="F110" s="199">
        <v>5.5949999999999998</v>
      </c>
      <c r="G110" s="198">
        <v>61.168239161052668</v>
      </c>
      <c r="H110" s="198">
        <v>71.591362256981412</v>
      </c>
      <c r="I110" s="199">
        <v>84.102584346461214</v>
      </c>
      <c r="J110" s="198">
        <v>92.437608448838901</v>
      </c>
      <c r="K110" s="198">
        <v>102.86073154476765</v>
      </c>
      <c r="L110" s="198">
        <v>113.28385464069639</v>
      </c>
    </row>
    <row r="111" spans="1:12" ht="15" x14ac:dyDescent="0.2">
      <c r="A111" s="201"/>
      <c r="B111" s="289"/>
      <c r="C111" s="290"/>
      <c r="D111" s="303"/>
      <c r="E111" s="287"/>
      <c r="F111" s="198">
        <v>8</v>
      </c>
      <c r="G111" s="198">
        <v>86.556942633024462</v>
      </c>
      <c r="H111" s="198">
        <v>101.46042516518352</v>
      </c>
      <c r="I111" s="198">
        <v>119.34957203128512</v>
      </c>
      <c r="J111" s="198">
        <v>131.26739022950164</v>
      </c>
      <c r="K111" s="198">
        <v>146.17087276166072</v>
      </c>
      <c r="L111" s="198">
        <v>161.07435529381976</v>
      </c>
    </row>
    <row r="112" spans="1:12" ht="15" x14ac:dyDescent="0.2">
      <c r="A112" s="201"/>
      <c r="B112" s="289"/>
      <c r="C112" s="290"/>
      <c r="D112" s="303"/>
      <c r="E112" s="287"/>
      <c r="F112" s="198">
        <v>10</v>
      </c>
      <c r="G112" s="198">
        <v>107.67020955358313</v>
      </c>
      <c r="H112" s="198">
        <v>126.29956271878196</v>
      </c>
      <c r="I112" s="198">
        <v>148.66099630140894</v>
      </c>
      <c r="J112" s="198">
        <v>163.55826904917961</v>
      </c>
      <c r="K112" s="198">
        <v>182.18762221437845</v>
      </c>
      <c r="L112" s="198">
        <v>200.81697537957726</v>
      </c>
    </row>
    <row r="113" spans="1:12" ht="15" x14ac:dyDescent="0.2">
      <c r="A113" s="201"/>
      <c r="B113" s="289"/>
      <c r="C113" s="290"/>
      <c r="D113" s="303"/>
      <c r="E113" s="287"/>
      <c r="F113" s="198">
        <v>12</v>
      </c>
      <c r="G113" s="198">
        <v>128.78347647414179</v>
      </c>
      <c r="H113" s="198">
        <v>151.13870027238039</v>
      </c>
      <c r="I113" s="198">
        <v>177.97242057153278</v>
      </c>
      <c r="J113" s="198">
        <v>195.84914786885759</v>
      </c>
      <c r="K113" s="198">
        <v>218.20437166709618</v>
      </c>
      <c r="L113" s="198">
        <v>240.55959546533475</v>
      </c>
    </row>
    <row r="114" spans="1:12" ht="15" x14ac:dyDescent="0.2">
      <c r="A114" s="201"/>
      <c r="B114" s="289"/>
      <c r="C114" s="290"/>
      <c r="D114" s="303"/>
      <c r="E114" s="287"/>
      <c r="F114" s="198">
        <v>14</v>
      </c>
      <c r="G114" s="198">
        <v>149.89674339470048</v>
      </c>
      <c r="H114" s="198">
        <v>175.97783782597884</v>
      </c>
      <c r="I114" s="198">
        <v>207.28384484165662</v>
      </c>
      <c r="J114" s="198">
        <v>228.14002668853556</v>
      </c>
      <c r="K114" s="198">
        <v>254.22112111981392</v>
      </c>
      <c r="L114" s="198">
        <v>280.30221555109227</v>
      </c>
    </row>
    <row r="115" spans="1:12" ht="15" x14ac:dyDescent="0.2">
      <c r="A115" s="201"/>
      <c r="B115" s="289"/>
      <c r="C115" s="290"/>
      <c r="D115" s="303"/>
      <c r="E115" s="287"/>
      <c r="F115" s="198">
        <v>16</v>
      </c>
      <c r="G115" s="198">
        <v>171.01001031525914</v>
      </c>
      <c r="H115" s="198">
        <v>200.81697537957726</v>
      </c>
      <c r="I115" s="198">
        <v>236.59526911178045</v>
      </c>
      <c r="J115" s="198">
        <v>260.43090550821353</v>
      </c>
      <c r="K115" s="198">
        <v>290.23787057253162</v>
      </c>
      <c r="L115" s="198">
        <v>320.04483563684977</v>
      </c>
    </row>
    <row r="116" spans="1:12" ht="15" x14ac:dyDescent="0.2">
      <c r="A116" s="201"/>
      <c r="B116" s="289"/>
      <c r="C116" s="290"/>
      <c r="D116" s="303"/>
      <c r="E116" s="287"/>
      <c r="F116" s="198">
        <v>18</v>
      </c>
      <c r="G116" s="198">
        <v>192.12327723581782</v>
      </c>
      <c r="H116" s="198">
        <v>225.65611293317571</v>
      </c>
      <c r="I116" s="198">
        <v>265.90669338190429</v>
      </c>
      <c r="J116" s="198">
        <v>292.7217843278915</v>
      </c>
      <c r="K116" s="198">
        <v>326.25462002524938</v>
      </c>
      <c r="L116" s="198">
        <v>359.78745572260726</v>
      </c>
    </row>
    <row r="117" spans="1:12" ht="15" x14ac:dyDescent="0.2">
      <c r="A117" s="201"/>
      <c r="B117" s="289"/>
      <c r="C117" s="290"/>
      <c r="D117" s="303"/>
      <c r="E117" s="287"/>
      <c r="F117" s="198">
        <v>20</v>
      </c>
      <c r="G117" s="198">
        <v>213.23654415637648</v>
      </c>
      <c r="H117" s="198">
        <v>250.49525048677413</v>
      </c>
      <c r="I117" s="198">
        <v>295.21811765202813</v>
      </c>
      <c r="J117" s="198">
        <v>325.01266314756947</v>
      </c>
      <c r="K117" s="198">
        <v>362.27136947796708</v>
      </c>
      <c r="L117" s="198">
        <v>399.53007580836476</v>
      </c>
    </row>
    <row r="118" spans="1:12" ht="15" x14ac:dyDescent="0.2">
      <c r="A118" s="201"/>
      <c r="B118" s="289"/>
      <c r="C118" s="290"/>
      <c r="D118" s="303"/>
      <c r="E118" s="287"/>
      <c r="F118" s="198">
        <v>22</v>
      </c>
      <c r="G118" s="198">
        <v>234.34981107693517</v>
      </c>
      <c r="H118" s="198">
        <v>275.33438804037257</v>
      </c>
      <c r="I118" s="198">
        <v>324.52954192215196</v>
      </c>
      <c r="J118" s="198">
        <v>357.30354196724738</v>
      </c>
      <c r="K118" s="198">
        <v>398.28811893068485</v>
      </c>
      <c r="L118" s="198">
        <v>439.27269589412225</v>
      </c>
    </row>
    <row r="119" spans="1:12" ht="15" x14ac:dyDescent="0.2">
      <c r="A119" s="201"/>
      <c r="B119" s="289"/>
      <c r="C119" s="290"/>
      <c r="D119" s="303"/>
      <c r="E119" s="287"/>
      <c r="F119" s="198">
        <v>24</v>
      </c>
      <c r="G119" s="198">
        <v>255.46307799749383</v>
      </c>
      <c r="H119" s="198">
        <v>300.17352559397102</v>
      </c>
      <c r="I119" s="198">
        <v>353.8409661922758</v>
      </c>
      <c r="J119" s="198">
        <v>389.59442078692535</v>
      </c>
      <c r="K119" s="198">
        <v>434.30486838340255</v>
      </c>
      <c r="L119" s="198">
        <v>479.01531597987974</v>
      </c>
    </row>
    <row r="120" spans="1:12" ht="15" x14ac:dyDescent="0.2">
      <c r="A120" s="201"/>
      <c r="B120" s="334"/>
      <c r="C120" s="320"/>
      <c r="D120" s="321"/>
      <c r="E120" s="287"/>
      <c r="F120" s="198">
        <v>26</v>
      </c>
      <c r="G120" s="198">
        <v>276.57634491805248</v>
      </c>
      <c r="H120" s="198">
        <v>325.01266314756947</v>
      </c>
      <c r="I120" s="198">
        <v>383.15239046239964</v>
      </c>
      <c r="J120" s="198">
        <v>421.88529960660333</v>
      </c>
      <c r="K120" s="198">
        <v>470.32161783612031</v>
      </c>
      <c r="L120" s="198">
        <v>518.75793606563718</v>
      </c>
    </row>
    <row r="121" spans="1:12" ht="15" x14ac:dyDescent="0.2">
      <c r="E121" s="6"/>
      <c r="F121" s="6"/>
      <c r="G121" s="6"/>
      <c r="H121" s="6"/>
      <c r="I121" s="6"/>
      <c r="J121" s="6"/>
      <c r="K121" s="6"/>
      <c r="L121" s="6"/>
    </row>
    <row r="122" spans="1:12" ht="15" customHeight="1" x14ac:dyDescent="0.2">
      <c r="A122" s="201"/>
      <c r="B122" s="268" t="s">
        <v>496</v>
      </c>
      <c r="C122" s="318"/>
      <c r="D122" s="319"/>
      <c r="E122" s="351" t="s">
        <v>376</v>
      </c>
      <c r="F122" s="269"/>
      <c r="G122" s="269"/>
      <c r="H122" s="269"/>
      <c r="I122" s="269"/>
      <c r="J122" s="269"/>
      <c r="K122" s="269"/>
      <c r="L122" s="270"/>
    </row>
    <row r="123" spans="1:12" ht="15" x14ac:dyDescent="0.2">
      <c r="A123" s="201"/>
      <c r="B123" s="289"/>
      <c r="C123" s="290"/>
      <c r="D123" s="303"/>
      <c r="E123" s="17"/>
      <c r="F123" s="6"/>
      <c r="G123" s="287" t="s">
        <v>272</v>
      </c>
      <c r="H123" s="287"/>
      <c r="I123" s="287"/>
      <c r="J123" s="287"/>
      <c r="K123" s="287"/>
      <c r="L123" s="287"/>
    </row>
    <row r="124" spans="1:12" ht="15" x14ac:dyDescent="0.2">
      <c r="A124" s="201"/>
      <c r="B124" s="289"/>
      <c r="C124" s="290"/>
      <c r="D124" s="303"/>
      <c r="E124" s="287" t="s">
        <v>361</v>
      </c>
      <c r="F124" s="197">
        <f>K82</f>
        <v>45.51064041276635</v>
      </c>
      <c r="G124" s="198">
        <v>2000</v>
      </c>
      <c r="H124" s="198">
        <v>2500</v>
      </c>
      <c r="I124" s="199">
        <v>3115</v>
      </c>
      <c r="J124" s="198">
        <v>3500</v>
      </c>
      <c r="K124" s="198">
        <v>4000</v>
      </c>
      <c r="L124" s="198">
        <v>4500</v>
      </c>
    </row>
    <row r="125" spans="1:12" ht="15" x14ac:dyDescent="0.2">
      <c r="A125" s="201"/>
      <c r="B125" s="289"/>
      <c r="C125" s="290"/>
      <c r="D125" s="303"/>
      <c r="E125" s="287"/>
      <c r="F125" s="198">
        <v>10</v>
      </c>
      <c r="G125" s="198">
        <f t="dataTable" ref="G125:L137" dt2D="1" dtr="1" r1="K77" r2="K73"/>
        <v>14.523443727589004</v>
      </c>
      <c r="H125" s="198">
        <v>17.62833592178881</v>
      </c>
      <c r="I125" s="198">
        <v>21.447353320654567</v>
      </c>
      <c r="J125" s="198">
        <v>23.838120310188419</v>
      </c>
      <c r="K125" s="198">
        <v>26.943012504388221</v>
      </c>
      <c r="L125" s="198">
        <v>30.047904698588027</v>
      </c>
    </row>
    <row r="126" spans="1:12" ht="15" x14ac:dyDescent="0.2">
      <c r="A126" s="201"/>
      <c r="B126" s="289"/>
      <c r="C126" s="290"/>
      <c r="D126" s="303"/>
      <c r="E126" s="287"/>
      <c r="F126" s="198">
        <v>13</v>
      </c>
      <c r="G126" s="198">
        <v>18.24931436062877</v>
      </c>
      <c r="H126" s="198">
        <v>22.285674213088516</v>
      </c>
      <c r="I126" s="198">
        <v>27.250396831614005</v>
      </c>
      <c r="J126" s="198">
        <v>30.358393918008009</v>
      </c>
      <c r="K126" s="198">
        <v>34.394753770467752</v>
      </c>
      <c r="L126" s="198">
        <v>38.431113622927498</v>
      </c>
    </row>
    <row r="127" spans="1:12" ht="15" x14ac:dyDescent="0.2">
      <c r="A127" s="201"/>
      <c r="B127" s="289"/>
      <c r="C127" s="290"/>
      <c r="D127" s="303"/>
      <c r="E127" s="287"/>
      <c r="F127" s="198">
        <v>16</v>
      </c>
      <c r="G127" s="198">
        <v>21.975184993668535</v>
      </c>
      <c r="H127" s="198">
        <v>26.943012504388221</v>
      </c>
      <c r="I127" s="198">
        <v>33.053440342573438</v>
      </c>
      <c r="J127" s="198">
        <v>36.878667525827595</v>
      </c>
      <c r="K127" s="198">
        <v>41.846495036547282</v>
      </c>
      <c r="L127" s="198">
        <v>46.814322547266968</v>
      </c>
    </row>
    <row r="128" spans="1:12" ht="15" x14ac:dyDescent="0.2">
      <c r="A128" s="201"/>
      <c r="B128" s="289"/>
      <c r="C128" s="290"/>
      <c r="D128" s="303"/>
      <c r="E128" s="287"/>
      <c r="F128" s="198">
        <v>19</v>
      </c>
      <c r="G128" s="198">
        <v>25.7010556267083</v>
      </c>
      <c r="H128" s="198">
        <v>31.60035079568793</v>
      </c>
      <c r="I128" s="198">
        <v>38.856483853532872</v>
      </c>
      <c r="J128" s="198">
        <v>43.398941133647185</v>
      </c>
      <c r="K128" s="198">
        <v>49.298236302626812</v>
      </c>
      <c r="L128" s="198">
        <v>55.197531471606439</v>
      </c>
    </row>
    <row r="129" spans="1:14" ht="15" x14ac:dyDescent="0.2">
      <c r="A129" s="201"/>
      <c r="B129" s="289"/>
      <c r="C129" s="290"/>
      <c r="D129" s="303"/>
      <c r="E129" s="287"/>
      <c r="F129" s="199">
        <v>22.44</v>
      </c>
      <c r="G129" s="198">
        <v>29.973387285927231</v>
      </c>
      <c r="H129" s="198">
        <v>36.940765369711592</v>
      </c>
      <c r="I129" s="199">
        <v>45.510640412766364</v>
      </c>
      <c r="J129" s="198">
        <v>50.875521537280314</v>
      </c>
      <c r="K129" s="198">
        <v>57.842899621064674</v>
      </c>
      <c r="L129" s="198">
        <v>64.810277704849042</v>
      </c>
    </row>
    <row r="130" spans="1:14" ht="15" x14ac:dyDescent="0.2">
      <c r="A130" s="201"/>
      <c r="B130" s="289"/>
      <c r="C130" s="290"/>
      <c r="D130" s="303"/>
      <c r="E130" s="287"/>
      <c r="F130" s="198">
        <v>25</v>
      </c>
      <c r="G130" s="198">
        <v>33.152796892787833</v>
      </c>
      <c r="H130" s="198">
        <v>40.915027378287341</v>
      </c>
      <c r="I130" s="198">
        <v>50.462570875451739</v>
      </c>
      <c r="J130" s="198">
        <v>56.439488349286364</v>
      </c>
      <c r="K130" s="198">
        <v>64.201718834785879</v>
      </c>
      <c r="L130" s="198">
        <v>71.96394932028538</v>
      </c>
    </row>
    <row r="131" spans="1:14" ht="15" x14ac:dyDescent="0.2">
      <c r="A131" s="201"/>
      <c r="B131" s="289"/>
      <c r="C131" s="290"/>
      <c r="D131" s="303"/>
      <c r="E131" s="287"/>
      <c r="F131" s="198">
        <v>28</v>
      </c>
      <c r="G131" s="198">
        <v>36.878667525827595</v>
      </c>
      <c r="H131" s="198">
        <v>45.57236566958705</v>
      </c>
      <c r="I131" s="198">
        <v>56.265614386411173</v>
      </c>
      <c r="J131" s="198">
        <v>62.959761957105954</v>
      </c>
      <c r="K131" s="198">
        <v>71.653460100865402</v>
      </c>
      <c r="L131" s="198">
        <v>80.347158244624865</v>
      </c>
    </row>
    <row r="132" spans="1:14" ht="15" x14ac:dyDescent="0.2">
      <c r="A132" s="201"/>
      <c r="B132" s="289"/>
      <c r="C132" s="290"/>
      <c r="D132" s="303"/>
      <c r="E132" s="287"/>
      <c r="F132" s="198">
        <v>31</v>
      </c>
      <c r="G132" s="198">
        <v>40.604538158867364</v>
      </c>
      <c r="H132" s="198">
        <v>50.229703960886752</v>
      </c>
      <c r="I132" s="198">
        <v>62.068657897370606</v>
      </c>
      <c r="J132" s="198">
        <v>69.480035564925544</v>
      </c>
      <c r="K132" s="198">
        <v>79.105201366944939</v>
      </c>
      <c r="L132" s="198">
        <v>88.730367168964335</v>
      </c>
    </row>
    <row r="133" spans="1:14" ht="15" x14ac:dyDescent="0.2">
      <c r="A133" s="201"/>
      <c r="B133" s="289"/>
      <c r="C133" s="290"/>
      <c r="D133" s="303"/>
      <c r="E133" s="287"/>
      <c r="F133" s="198">
        <v>34</v>
      </c>
      <c r="G133" s="198">
        <v>44.330408791907125</v>
      </c>
      <c r="H133" s="198">
        <v>54.887042252186461</v>
      </c>
      <c r="I133" s="198">
        <v>67.87170140833004</v>
      </c>
      <c r="J133" s="198">
        <v>76.000309172745133</v>
      </c>
      <c r="K133" s="198">
        <v>86.556942633024462</v>
      </c>
      <c r="L133" s="198">
        <v>97.113576093303806</v>
      </c>
    </row>
    <row r="134" spans="1:14" ht="15" x14ac:dyDescent="0.2">
      <c r="A134" s="201"/>
      <c r="B134" s="289"/>
      <c r="C134" s="290"/>
      <c r="D134" s="303"/>
      <c r="E134" s="287"/>
      <c r="F134" s="198">
        <v>37</v>
      </c>
      <c r="G134" s="198">
        <v>48.056279424946894</v>
      </c>
      <c r="H134" s="198">
        <v>59.54438054348617</v>
      </c>
      <c r="I134" s="198">
        <v>73.674744919289481</v>
      </c>
      <c r="J134" s="198">
        <v>82.520582780564723</v>
      </c>
      <c r="K134" s="198">
        <v>94.008683899104</v>
      </c>
      <c r="L134" s="198">
        <v>105.49678501764328</v>
      </c>
    </row>
    <row r="135" spans="1:14" ht="15" x14ac:dyDescent="0.2">
      <c r="A135" s="201"/>
      <c r="B135" s="289"/>
      <c r="C135" s="290"/>
      <c r="D135" s="303"/>
      <c r="E135" s="287"/>
      <c r="F135" s="198">
        <v>40</v>
      </c>
      <c r="G135" s="198">
        <v>51.782150057986655</v>
      </c>
      <c r="H135" s="198">
        <v>64.201718834785879</v>
      </c>
      <c r="I135" s="198">
        <v>79.477788430248907</v>
      </c>
      <c r="J135" s="198">
        <v>89.040856388384313</v>
      </c>
      <c r="K135" s="198">
        <v>101.46042516518352</v>
      </c>
      <c r="L135" s="198">
        <v>113.87999394198275</v>
      </c>
    </row>
    <row r="136" spans="1:14" ht="15" x14ac:dyDescent="0.2">
      <c r="A136" s="201"/>
      <c r="B136" s="289"/>
      <c r="C136" s="290"/>
      <c r="D136" s="303"/>
      <c r="E136" s="287"/>
      <c r="F136" s="198">
        <v>43</v>
      </c>
      <c r="G136" s="198">
        <v>55.508020691026424</v>
      </c>
      <c r="H136" s="198">
        <v>68.859057126085588</v>
      </c>
      <c r="I136" s="198">
        <v>85.280831941208348</v>
      </c>
      <c r="J136" s="198">
        <v>95.561129996203903</v>
      </c>
      <c r="K136" s="198">
        <v>108.91216643126306</v>
      </c>
      <c r="L136" s="198">
        <v>122.26320286632222</v>
      </c>
    </row>
    <row r="137" spans="1:14" ht="15" x14ac:dyDescent="0.2">
      <c r="A137" s="201"/>
      <c r="B137" s="334"/>
      <c r="C137" s="320"/>
      <c r="D137" s="321"/>
      <c r="E137" s="287"/>
      <c r="F137" s="198">
        <v>46</v>
      </c>
      <c r="G137" s="198">
        <v>59.233891324066185</v>
      </c>
      <c r="H137" s="198">
        <v>73.516395417385283</v>
      </c>
      <c r="I137" s="198">
        <v>91.083875452167788</v>
      </c>
      <c r="J137" s="198">
        <v>102.08140360402349</v>
      </c>
      <c r="K137" s="198">
        <v>116.36390769734258</v>
      </c>
      <c r="L137" s="198">
        <v>130.64641179066169</v>
      </c>
    </row>
    <row r="140" spans="1:14" ht="15" customHeight="1" x14ac:dyDescent="0.2">
      <c r="A140" s="201"/>
      <c r="B140" s="268" t="s">
        <v>382</v>
      </c>
      <c r="C140" s="318"/>
      <c r="D140" s="319"/>
      <c r="E140" s="269" t="s">
        <v>376</v>
      </c>
      <c r="F140" s="269"/>
      <c r="G140" s="269"/>
      <c r="H140" s="269"/>
      <c r="I140" s="269"/>
      <c r="J140" s="269"/>
      <c r="K140" s="269"/>
      <c r="L140" s="270"/>
    </row>
    <row r="141" spans="1:14" ht="15" x14ac:dyDescent="0.2">
      <c r="A141" s="201"/>
      <c r="B141" s="289"/>
      <c r="C141" s="290"/>
      <c r="D141" s="303"/>
      <c r="E141" s="6"/>
      <c r="F141" s="6"/>
      <c r="G141" s="287" t="s">
        <v>372</v>
      </c>
      <c r="H141" s="287"/>
      <c r="I141" s="287"/>
      <c r="J141" s="287"/>
      <c r="K141" s="287"/>
      <c r="L141" s="287"/>
    </row>
    <row r="142" spans="1:14" ht="15" x14ac:dyDescent="0.2">
      <c r="A142" s="201"/>
      <c r="B142" s="289"/>
      <c r="C142" s="290"/>
      <c r="D142" s="303"/>
      <c r="E142" s="328" t="s">
        <v>343</v>
      </c>
      <c r="F142" s="197">
        <f>I82</f>
        <v>41.191269636805302</v>
      </c>
      <c r="G142" s="198">
        <v>4500</v>
      </c>
      <c r="H142" s="198">
        <v>5000</v>
      </c>
      <c r="I142" s="199">
        <v>5438</v>
      </c>
      <c r="J142" s="198">
        <v>6000</v>
      </c>
      <c r="K142" s="198">
        <v>6500</v>
      </c>
      <c r="L142" s="198">
        <v>7000</v>
      </c>
      <c r="N142" t="s">
        <v>331</v>
      </c>
    </row>
    <row r="143" spans="1:14" ht="15" x14ac:dyDescent="0.2">
      <c r="A143" s="201"/>
      <c r="B143" s="289"/>
      <c r="C143" s="290"/>
      <c r="D143" s="303"/>
      <c r="E143" s="328"/>
      <c r="F143" s="198">
        <v>4</v>
      </c>
      <c r="G143" s="198">
        <f t="dataTable" ref="G143:L155" dt2D="1" dtr="1" r1="I77" r2="I73"/>
        <v>13.281486849909083</v>
      </c>
      <c r="H143" s="198">
        <v>14.523443727589004</v>
      </c>
      <c r="I143" s="198">
        <v>15.611397952436617</v>
      </c>
      <c r="J143" s="198">
        <v>17.007357482948848</v>
      </c>
      <c r="K143" s="198">
        <v>18.24931436062877</v>
      </c>
      <c r="L143" s="198">
        <v>19.491271238308691</v>
      </c>
    </row>
    <row r="144" spans="1:14" ht="15" x14ac:dyDescent="0.2">
      <c r="A144" s="201"/>
      <c r="B144" s="289"/>
      <c r="C144" s="290"/>
      <c r="D144" s="303"/>
      <c r="E144" s="328"/>
      <c r="F144" s="198">
        <v>6</v>
      </c>
      <c r="G144" s="198">
        <v>18.870292799468732</v>
      </c>
      <c r="H144" s="198">
        <v>20.733228115988613</v>
      </c>
      <c r="I144" s="198">
        <v>22.365159453260031</v>
      </c>
      <c r="J144" s="198">
        <v>24.459098749028378</v>
      </c>
      <c r="K144" s="198">
        <v>26.322034065548262</v>
      </c>
      <c r="L144" s="198">
        <v>28.184969382068143</v>
      </c>
    </row>
    <row r="145" spans="1:12" ht="15" x14ac:dyDescent="0.2">
      <c r="A145" s="201"/>
      <c r="B145" s="289"/>
      <c r="C145" s="290"/>
      <c r="D145" s="303"/>
      <c r="E145" s="328"/>
      <c r="F145" s="198">
        <v>8</v>
      </c>
      <c r="G145" s="198">
        <v>24.459098749028378</v>
      </c>
      <c r="H145" s="198">
        <v>26.943012504388221</v>
      </c>
      <c r="I145" s="198">
        <v>29.118920954083446</v>
      </c>
      <c r="J145" s="198">
        <v>31.910840015107908</v>
      </c>
      <c r="K145" s="198">
        <v>34.394753770467752</v>
      </c>
      <c r="L145" s="198">
        <v>36.878667525827595</v>
      </c>
    </row>
    <row r="146" spans="1:12" ht="15" x14ac:dyDescent="0.2">
      <c r="A146" s="201"/>
      <c r="B146" s="289"/>
      <c r="C146" s="290"/>
      <c r="D146" s="303"/>
      <c r="E146" s="328"/>
      <c r="F146" s="198">
        <v>10</v>
      </c>
      <c r="G146" s="198">
        <v>30.047904698588027</v>
      </c>
      <c r="H146" s="198">
        <v>33.152796892787833</v>
      </c>
      <c r="I146" s="198">
        <v>35.872682454906858</v>
      </c>
      <c r="J146" s="198">
        <v>39.362581281187438</v>
      </c>
      <c r="K146" s="198">
        <v>42.467473475387244</v>
      </c>
      <c r="L146" s="198">
        <v>45.57236566958705</v>
      </c>
    </row>
    <row r="147" spans="1:12" ht="15" x14ac:dyDescent="0.2">
      <c r="A147" s="201"/>
      <c r="B147" s="289"/>
      <c r="C147" s="290"/>
      <c r="D147" s="303"/>
      <c r="E147" s="328"/>
      <c r="F147" s="199">
        <v>11.574999999999999</v>
      </c>
      <c r="G147" s="198">
        <v>34.449089383866252</v>
      </c>
      <c r="H147" s="198">
        <v>38.043002098652522</v>
      </c>
      <c r="I147" s="199">
        <v>41.191269636805302</v>
      </c>
      <c r="J147" s="198">
        <v>45.23082752822507</v>
      </c>
      <c r="K147" s="198">
        <v>48.824740243011341</v>
      </c>
      <c r="L147" s="198">
        <v>52.418652957797619</v>
      </c>
    </row>
    <row r="148" spans="1:12" ht="15" x14ac:dyDescent="0.2">
      <c r="A148" s="201"/>
      <c r="B148" s="289"/>
      <c r="C148" s="290"/>
      <c r="D148" s="303"/>
      <c r="E148" s="328"/>
      <c r="F148" s="198">
        <v>14</v>
      </c>
      <c r="G148" s="198">
        <v>41.225516597707326</v>
      </c>
      <c r="H148" s="198">
        <v>45.57236566958705</v>
      </c>
      <c r="I148" s="198">
        <v>49.380205456553689</v>
      </c>
      <c r="J148" s="198">
        <v>54.266063813346499</v>
      </c>
      <c r="K148" s="198">
        <v>58.61291288522623</v>
      </c>
      <c r="L148" s="198">
        <v>62.959761957105954</v>
      </c>
    </row>
    <row r="149" spans="1:12" ht="15" x14ac:dyDescent="0.2">
      <c r="A149" s="201"/>
      <c r="B149" s="289"/>
      <c r="C149" s="290"/>
      <c r="D149" s="303"/>
      <c r="E149" s="328"/>
      <c r="F149" s="198">
        <v>16</v>
      </c>
      <c r="G149" s="198">
        <v>46.814322547266968</v>
      </c>
      <c r="H149" s="198">
        <v>51.782150057986655</v>
      </c>
      <c r="I149" s="198">
        <v>56.133966957377105</v>
      </c>
      <c r="J149" s="198">
        <v>61.717805079426029</v>
      </c>
      <c r="K149" s="198">
        <v>66.685632590145715</v>
      </c>
      <c r="L149" s="198">
        <v>71.653460100865402</v>
      </c>
    </row>
    <row r="150" spans="1:12" ht="15" x14ac:dyDescent="0.2">
      <c r="A150" s="201"/>
      <c r="B150" s="289"/>
      <c r="C150" s="290"/>
      <c r="D150" s="303"/>
      <c r="E150" s="328"/>
      <c r="F150" s="198">
        <v>18</v>
      </c>
      <c r="G150" s="198">
        <v>52.403128496826618</v>
      </c>
      <c r="H150" s="198">
        <v>57.991934446386267</v>
      </c>
      <c r="I150" s="198">
        <v>62.88772845820052</v>
      </c>
      <c r="J150" s="198">
        <v>69.169546345505566</v>
      </c>
      <c r="K150" s="198">
        <v>74.758352295065208</v>
      </c>
      <c r="L150" s="198">
        <v>80.347158244624865</v>
      </c>
    </row>
    <row r="151" spans="1:12" ht="15" x14ac:dyDescent="0.2">
      <c r="A151" s="201"/>
      <c r="B151" s="289"/>
      <c r="C151" s="290"/>
      <c r="D151" s="303"/>
      <c r="E151" s="328"/>
      <c r="F151" s="198">
        <v>20</v>
      </c>
      <c r="G151" s="198">
        <v>57.991934446386267</v>
      </c>
      <c r="H151" s="198">
        <v>64.201718834785879</v>
      </c>
      <c r="I151" s="198">
        <v>69.641489959023929</v>
      </c>
      <c r="J151" s="198">
        <v>76.621287611585089</v>
      </c>
      <c r="K151" s="198">
        <v>82.831071999984701</v>
      </c>
      <c r="L151" s="198">
        <v>89.040856388384313</v>
      </c>
    </row>
    <row r="152" spans="1:12" ht="15" x14ac:dyDescent="0.2">
      <c r="A152" s="201"/>
      <c r="B152" s="289"/>
      <c r="C152" s="290"/>
      <c r="D152" s="303"/>
      <c r="E152" s="328"/>
      <c r="F152" s="198">
        <v>22</v>
      </c>
      <c r="G152" s="198">
        <v>63.580740395945917</v>
      </c>
      <c r="H152" s="198">
        <v>70.411503223185477</v>
      </c>
      <c r="I152" s="198">
        <v>76.395251459847344</v>
      </c>
      <c r="J152" s="198">
        <v>84.073028877664626</v>
      </c>
      <c r="K152" s="198">
        <v>90.903791704904194</v>
      </c>
      <c r="L152" s="198">
        <v>97.734554532143761</v>
      </c>
    </row>
    <row r="153" spans="1:12" ht="15" x14ac:dyDescent="0.2">
      <c r="A153" s="201"/>
      <c r="B153" s="289"/>
      <c r="C153" s="290"/>
      <c r="D153" s="303"/>
      <c r="E153" s="328"/>
      <c r="F153" s="198">
        <v>24</v>
      </c>
      <c r="G153" s="198">
        <v>69.169546345505566</v>
      </c>
      <c r="H153" s="198">
        <v>76.621287611585089</v>
      </c>
      <c r="I153" s="198">
        <v>83.14901296067076</v>
      </c>
      <c r="J153" s="198">
        <v>91.524770143744149</v>
      </c>
      <c r="K153" s="198">
        <v>98.976511409823686</v>
      </c>
      <c r="L153" s="198">
        <v>106.42825267590321</v>
      </c>
    </row>
    <row r="154" spans="1:12" ht="15" x14ac:dyDescent="0.2">
      <c r="A154" s="201"/>
      <c r="B154" s="289"/>
      <c r="C154" s="290"/>
      <c r="D154" s="303"/>
      <c r="E154" s="328"/>
      <c r="F154" s="198">
        <v>26</v>
      </c>
      <c r="G154" s="198">
        <v>74.758352295065208</v>
      </c>
      <c r="H154" s="198">
        <v>82.831071999984701</v>
      </c>
      <c r="I154" s="198">
        <v>89.902774461494175</v>
      </c>
      <c r="J154" s="198">
        <v>98.976511409823686</v>
      </c>
      <c r="K154" s="198">
        <v>107.04923111474318</v>
      </c>
      <c r="L154" s="198">
        <v>115.12195081966267</v>
      </c>
    </row>
    <row r="155" spans="1:12" ht="15" x14ac:dyDescent="0.2">
      <c r="A155" s="201"/>
      <c r="B155" s="334"/>
      <c r="C155" s="320"/>
      <c r="D155" s="321"/>
      <c r="E155" s="328"/>
      <c r="F155" s="198">
        <v>28</v>
      </c>
      <c r="G155" s="198">
        <v>80.347158244624865</v>
      </c>
      <c r="H155" s="198">
        <v>89.040856388384313</v>
      </c>
      <c r="I155" s="198">
        <v>96.656535962317591</v>
      </c>
      <c r="J155" s="198">
        <v>106.42825267590321</v>
      </c>
      <c r="K155" s="198">
        <v>115.12195081966267</v>
      </c>
      <c r="L155" s="198">
        <v>123.81564896342212</v>
      </c>
    </row>
    <row r="158" spans="1:12" ht="15" customHeight="1" x14ac:dyDescent="0.2">
      <c r="A158" s="201"/>
      <c r="B158" s="268" t="s">
        <v>384</v>
      </c>
      <c r="C158" s="318"/>
      <c r="D158" s="319"/>
      <c r="E158" s="269" t="s">
        <v>377</v>
      </c>
      <c r="F158" s="269"/>
      <c r="G158" s="269"/>
      <c r="H158" s="269"/>
      <c r="I158" s="269"/>
      <c r="J158" s="269"/>
      <c r="K158" s="269"/>
      <c r="L158" s="270"/>
    </row>
    <row r="159" spans="1:12" ht="15" x14ac:dyDescent="0.2">
      <c r="A159" s="201"/>
      <c r="B159" s="289"/>
      <c r="C159" s="290"/>
      <c r="D159" s="303"/>
      <c r="E159" s="6"/>
      <c r="F159" s="6"/>
      <c r="G159" s="287" t="s">
        <v>302</v>
      </c>
      <c r="H159" s="287"/>
      <c r="I159" s="287"/>
      <c r="J159" s="287"/>
      <c r="K159" s="287"/>
      <c r="L159" s="287"/>
    </row>
    <row r="160" spans="1:12" ht="15" x14ac:dyDescent="0.2">
      <c r="A160" s="201"/>
      <c r="B160" s="289"/>
      <c r="C160" s="290"/>
      <c r="D160" s="303"/>
      <c r="E160" s="393" t="s">
        <v>378</v>
      </c>
      <c r="F160" s="197">
        <f ca="1">IF(G48&gt;G47,G58,"nml")</f>
        <v>101.2273119603702</v>
      </c>
      <c r="G160" s="123">
        <v>0.1</v>
      </c>
      <c r="H160" s="123">
        <v>0.12</v>
      </c>
      <c r="I160" s="200">
        <v>0.1404</v>
      </c>
      <c r="J160" s="123">
        <v>0.16</v>
      </c>
      <c r="K160" s="123">
        <v>0.18</v>
      </c>
      <c r="L160" s="123">
        <v>0.2</v>
      </c>
    </row>
    <row r="161" spans="1:12" ht="15" x14ac:dyDescent="0.2">
      <c r="A161" s="201"/>
      <c r="B161" s="289"/>
      <c r="C161" s="290"/>
      <c r="D161" s="303"/>
      <c r="E161" s="393"/>
      <c r="F161" s="123">
        <v>0.06</v>
      </c>
      <c r="G161" s="198">
        <f t="dataTable" ref="G161:L173" dt2D="1" dtr="1" r1="G48" r2="G47" ca="1"/>
        <v>115.83420726798627</v>
      </c>
      <c r="H161" s="198">
        <v>76.773690649933258</v>
      </c>
      <c r="I161" s="198">
        <v>57.020954512453173</v>
      </c>
      <c r="J161" s="198">
        <v>45.682252712763265</v>
      </c>
      <c r="K161" s="198">
        <v>37.967348896444854</v>
      </c>
      <c r="L161" s="198">
        <v>32.486102051372001</v>
      </c>
    </row>
    <row r="162" spans="1:12" ht="15" x14ac:dyDescent="0.2">
      <c r="A162" s="201"/>
      <c r="B162" s="289"/>
      <c r="C162" s="290"/>
      <c r="D162" s="303"/>
      <c r="E162" s="393"/>
      <c r="F162" s="123">
        <v>7.0000000000000007E-2</v>
      </c>
      <c r="G162" s="198">
        <v>150.0675179613381</v>
      </c>
      <c r="H162" s="198">
        <v>89.591564373477055</v>
      </c>
      <c r="I162" s="198">
        <v>63.379603531670377</v>
      </c>
      <c r="J162" s="198">
        <v>49.439024871289277</v>
      </c>
      <c r="K162" s="198">
        <v>40.373162827057314</v>
      </c>
      <c r="L162" s="198">
        <v>34.126694480707968</v>
      </c>
    </row>
    <row r="163" spans="1:12" ht="15" x14ac:dyDescent="0.2">
      <c r="A163" s="201"/>
      <c r="B163" s="289"/>
      <c r="C163" s="290"/>
      <c r="D163" s="303"/>
      <c r="E163" s="393"/>
      <c r="F163" s="159">
        <v>0.08</v>
      </c>
      <c r="G163" s="198">
        <v>218.53413934804166</v>
      </c>
      <c r="H163" s="198">
        <v>108.81837495879265</v>
      </c>
      <c r="I163" s="198">
        <v>71.84376547115815</v>
      </c>
      <c r="J163" s="198">
        <v>54.134990069446829</v>
      </c>
      <c r="K163" s="198">
        <v>43.260139543792249</v>
      </c>
      <c r="L163" s="198">
        <v>36.04071898159993</v>
      </c>
    </row>
    <row r="164" spans="1:12" ht="15" x14ac:dyDescent="0.2">
      <c r="A164" s="201"/>
      <c r="B164" s="289"/>
      <c r="C164" s="290"/>
      <c r="D164" s="303"/>
      <c r="E164" s="393"/>
      <c r="F164" s="123">
        <v>0.09</v>
      </c>
      <c r="G164" s="198">
        <v>423.93400350815233</v>
      </c>
      <c r="H164" s="198">
        <v>140.86305926765209</v>
      </c>
      <c r="I164" s="198">
        <v>83.666721831077567</v>
      </c>
      <c r="J164" s="198">
        <v>60.172659609935067</v>
      </c>
      <c r="K164" s="198">
        <v>46.788666642023848</v>
      </c>
      <c r="L164" s="198">
        <v>38.302747937199527</v>
      </c>
    </row>
    <row r="165" spans="1:12" ht="15" x14ac:dyDescent="0.2">
      <c r="A165" s="201"/>
      <c r="B165" s="289"/>
      <c r="C165" s="290"/>
      <c r="D165" s="303"/>
      <c r="E165" s="393"/>
      <c r="F165" s="200">
        <v>0.1</v>
      </c>
      <c r="G165" s="198" t="str">
        <v>nml</v>
      </c>
      <c r="H165" s="198">
        <v>204.95242788537089</v>
      </c>
      <c r="I165" s="199">
        <v>101.34262688402646</v>
      </c>
      <c r="J165" s="198">
        <v>68.222885663919428</v>
      </c>
      <c r="K165" s="198">
        <v>51.199325514813339</v>
      </c>
      <c r="L165" s="198">
        <v>41.017182683919053</v>
      </c>
    </row>
    <row r="166" spans="1:12" ht="15" x14ac:dyDescent="0.2">
      <c r="A166" s="201"/>
      <c r="B166" s="289"/>
      <c r="C166" s="290"/>
      <c r="D166" s="303"/>
      <c r="E166" s="393"/>
      <c r="F166" s="123">
        <v>0.11</v>
      </c>
      <c r="G166" s="198" t="str">
        <v>nml</v>
      </c>
      <c r="H166" s="198">
        <v>397.22053373852737</v>
      </c>
      <c r="I166" s="198">
        <v>130.6474168402311</v>
      </c>
      <c r="J166" s="198">
        <v>79.493202139497498</v>
      </c>
      <c r="K166" s="198">
        <v>56.870172636971247</v>
      </c>
      <c r="L166" s="198">
        <v>44.334825152131771</v>
      </c>
    </row>
    <row r="167" spans="1:12" ht="15" x14ac:dyDescent="0.2">
      <c r="A167" s="201"/>
      <c r="B167" s="289"/>
      <c r="C167" s="290"/>
      <c r="D167" s="303"/>
      <c r="E167" s="393"/>
      <c r="F167" s="123">
        <v>0.12</v>
      </c>
      <c r="G167" s="198" t="str">
        <v>nml</v>
      </c>
      <c r="H167" s="198" t="str">
        <v>nml</v>
      </c>
      <c r="I167" s="198">
        <v>188.68239302800899</v>
      </c>
      <c r="J167" s="198">
        <v>96.398676852864639</v>
      </c>
      <c r="K167" s="198">
        <v>64.431302133181816</v>
      </c>
      <c r="L167" s="198">
        <v>48.481878237397687</v>
      </c>
    </row>
    <row r="168" spans="1:12" ht="15" x14ac:dyDescent="0.2">
      <c r="A168" s="201"/>
      <c r="B168" s="289"/>
      <c r="C168" s="290"/>
      <c r="D168" s="303"/>
      <c r="E168" s="393"/>
      <c r="F168" s="123">
        <v>0.13</v>
      </c>
      <c r="G168" s="198" t="str">
        <v>nml</v>
      </c>
      <c r="H168" s="198" t="str">
        <v>nml</v>
      </c>
      <c r="I168" s="198">
        <v>358.3230926538215</v>
      </c>
      <c r="J168" s="198">
        <v>124.57446804180984</v>
      </c>
      <c r="K168" s="198">
        <v>75.016883427876593</v>
      </c>
      <c r="L168" s="198">
        <v>53.813803632739585</v>
      </c>
    </row>
    <row r="169" spans="1:12" ht="15" x14ac:dyDescent="0.2">
      <c r="A169" s="201"/>
      <c r="B169" s="289"/>
      <c r="C169" s="290"/>
      <c r="D169" s="303"/>
      <c r="E169" s="393"/>
      <c r="F169" s="123">
        <v>0.14000000000000001</v>
      </c>
      <c r="G169" s="198" t="str">
        <v>nml</v>
      </c>
      <c r="H169" s="198" t="str">
        <v>nml</v>
      </c>
      <c r="I169" s="198">
        <v>9009.9987735706145</v>
      </c>
      <c r="J169" s="198">
        <v>180.9260504197004</v>
      </c>
      <c r="K169" s="198">
        <v>90.895255369918814</v>
      </c>
      <c r="L169" s="198">
        <v>60.923037493195473</v>
      </c>
    </row>
    <row r="170" spans="1:12" ht="15" x14ac:dyDescent="0.2">
      <c r="A170" s="201"/>
      <c r="B170" s="289"/>
      <c r="C170" s="290"/>
      <c r="D170" s="303"/>
      <c r="E170" s="393"/>
      <c r="F170" s="123">
        <v>0.15</v>
      </c>
      <c r="G170" s="198" t="str">
        <v>nml</v>
      </c>
      <c r="H170" s="198" t="str">
        <v>nml</v>
      </c>
      <c r="I170" s="198" t="str">
        <v>nml</v>
      </c>
      <c r="J170" s="198">
        <v>349.98079755337125</v>
      </c>
      <c r="K170" s="198">
        <v>117.35920860665571</v>
      </c>
      <c r="L170" s="198">
        <v>70.875964897833668</v>
      </c>
    </row>
    <row r="171" spans="1:12" ht="15" x14ac:dyDescent="0.2">
      <c r="A171" s="201"/>
      <c r="B171" s="289"/>
      <c r="C171" s="290"/>
      <c r="D171" s="303"/>
      <c r="E171" s="393"/>
      <c r="F171" s="123">
        <v>0.16</v>
      </c>
      <c r="G171" s="198" t="str">
        <v>nml</v>
      </c>
      <c r="H171" s="198" t="str">
        <v>nml</v>
      </c>
      <c r="I171" s="198" t="str">
        <v>nml</v>
      </c>
      <c r="J171" s="198" t="str">
        <v>nml</v>
      </c>
      <c r="K171" s="198">
        <v>170.28711508012964</v>
      </c>
      <c r="L171" s="198">
        <v>85.805356004790966</v>
      </c>
    </row>
    <row r="172" spans="1:12" ht="15" x14ac:dyDescent="0.2">
      <c r="A172" s="201"/>
      <c r="B172" s="289"/>
      <c r="C172" s="290"/>
      <c r="D172" s="303"/>
      <c r="E172" s="393"/>
      <c r="F172" s="123">
        <v>0.17</v>
      </c>
      <c r="G172" s="198" t="str">
        <v>nml</v>
      </c>
      <c r="H172" s="198" t="str">
        <v>nml</v>
      </c>
      <c r="I172" s="198" t="str">
        <v>nml</v>
      </c>
      <c r="J172" s="198" t="str">
        <v>nml</v>
      </c>
      <c r="K172" s="198">
        <v>329.07083450055188</v>
      </c>
      <c r="L172" s="198">
        <v>110.68767451638654</v>
      </c>
    </row>
    <row r="173" spans="1:12" ht="15" x14ac:dyDescent="0.2">
      <c r="A173" s="201"/>
      <c r="B173" s="334"/>
      <c r="C173" s="320"/>
      <c r="D173" s="321"/>
      <c r="E173" s="393"/>
      <c r="F173" s="123">
        <v>0.18</v>
      </c>
      <c r="G173" s="198" t="str">
        <v>nml</v>
      </c>
      <c r="H173" s="198" t="str">
        <v>nml</v>
      </c>
      <c r="I173" s="198" t="str">
        <v>nml</v>
      </c>
      <c r="J173" s="198" t="str">
        <v>nml</v>
      </c>
      <c r="K173" s="198" t="str">
        <v>nml</v>
      </c>
      <c r="L173" s="198">
        <v>160.45231153957747</v>
      </c>
    </row>
    <row r="176" spans="1:12" ht="15" customHeight="1" x14ac:dyDescent="0.2">
      <c r="A176" s="201"/>
      <c r="B176" s="268" t="s">
        <v>383</v>
      </c>
      <c r="C176" s="318"/>
      <c r="D176" s="319"/>
      <c r="E176" s="269" t="s">
        <v>377</v>
      </c>
      <c r="F176" s="269"/>
      <c r="G176" s="269"/>
      <c r="H176" s="269"/>
      <c r="I176" s="269"/>
      <c r="J176" s="269"/>
      <c r="K176" s="269"/>
      <c r="L176" s="270"/>
    </row>
    <row r="177" spans="1:12" ht="15" x14ac:dyDescent="0.2">
      <c r="A177" s="201"/>
      <c r="B177" s="289"/>
      <c r="C177" s="290"/>
      <c r="D177" s="303"/>
      <c r="E177" s="6"/>
      <c r="F177" s="6"/>
      <c r="G177" s="287" t="s">
        <v>302</v>
      </c>
      <c r="H177" s="287"/>
      <c r="I177" s="287"/>
      <c r="J177" s="287"/>
      <c r="K177" s="287"/>
      <c r="L177" s="287"/>
    </row>
    <row r="178" spans="1:12" ht="15" x14ac:dyDescent="0.2">
      <c r="A178" s="201"/>
      <c r="B178" s="289"/>
      <c r="C178" s="290"/>
      <c r="D178" s="303"/>
      <c r="E178" s="393" t="s">
        <v>379</v>
      </c>
      <c r="F178" s="197">
        <f ca="1">G58</f>
        <v>101.2273119603702</v>
      </c>
      <c r="G178" s="123">
        <v>0.11</v>
      </c>
      <c r="H178" s="123">
        <v>0.12</v>
      </c>
      <c r="I178" s="200">
        <v>0.1404</v>
      </c>
      <c r="J178" s="123">
        <v>0.16</v>
      </c>
      <c r="K178" s="123">
        <v>0.18</v>
      </c>
      <c r="L178" s="123">
        <v>0.2</v>
      </c>
    </row>
    <row r="179" spans="1:12" ht="15" x14ac:dyDescent="0.2">
      <c r="A179" s="201"/>
      <c r="B179" s="289"/>
      <c r="C179" s="290"/>
      <c r="D179" s="303"/>
      <c r="E179" s="393"/>
      <c r="F179" s="123">
        <v>0.1</v>
      </c>
      <c r="G179" s="198">
        <f t="dataTable" ref="G179:L191" dt2D="1" dtr="1" r1="G48" r2="G46"/>
        <v>222.41423332191582</v>
      </c>
      <c r="H179" s="198">
        <v>112.58886203007785</v>
      </c>
      <c r="I179" s="198">
        <v>57.129497119184379</v>
      </c>
      <c r="J179" s="198">
        <v>39.365518188564955</v>
      </c>
      <c r="K179" s="198">
        <v>30.209803602396292</v>
      </c>
      <c r="L179" s="198">
        <v>24.714939303078626</v>
      </c>
    </row>
    <row r="180" spans="1:12" ht="15" x14ac:dyDescent="0.2">
      <c r="A180" s="201"/>
      <c r="B180" s="289"/>
      <c r="C180" s="290"/>
      <c r="D180" s="303"/>
      <c r="E180" s="393"/>
      <c r="F180" s="123">
        <v>0.15</v>
      </c>
      <c r="G180" s="198">
        <v>276.22585937952408</v>
      </c>
      <c r="H180" s="198">
        <v>139.08079400166966</v>
      </c>
      <c r="I180" s="198">
        <v>69.84765076085344</v>
      </c>
      <c r="J180" s="198">
        <v>47.689317183193545</v>
      </c>
      <c r="K180" s="198">
        <v>36.280868954859585</v>
      </c>
      <c r="L180" s="198">
        <v>29.443052398918148</v>
      </c>
    </row>
    <row r="181" spans="1:12" ht="15" x14ac:dyDescent="0.2">
      <c r="A181" s="201"/>
      <c r="B181" s="289"/>
      <c r="C181" s="290"/>
      <c r="D181" s="303"/>
      <c r="E181" s="393"/>
      <c r="F181" s="159">
        <v>0.2</v>
      </c>
      <c r="G181" s="198">
        <v>340.16532591443212</v>
      </c>
      <c r="H181" s="198">
        <v>170.51467743938485</v>
      </c>
      <c r="I181" s="198">
        <v>84.895718118299001</v>
      </c>
      <c r="J181" s="198">
        <v>57.511683091146089</v>
      </c>
      <c r="K181" s="198">
        <v>43.425693375570944</v>
      </c>
      <c r="L181" s="198">
        <v>34.992695826846266</v>
      </c>
    </row>
    <row r="182" spans="1:12" ht="15" x14ac:dyDescent="0.2">
      <c r="A182" s="201"/>
      <c r="B182" s="289"/>
      <c r="C182" s="290"/>
      <c r="D182" s="303"/>
      <c r="E182" s="393"/>
      <c r="F182" s="200">
        <v>0.2467</v>
      </c>
      <c r="G182" s="198">
        <v>410.24263720560128</v>
      </c>
      <c r="H182" s="198">
        <v>204.92557205845776</v>
      </c>
      <c r="I182" s="199">
        <v>101.32981416486969</v>
      </c>
      <c r="J182" s="198">
        <v>68.214549429755991</v>
      </c>
      <c r="K182" s="198">
        <v>51.193281496992171</v>
      </c>
      <c r="L182" s="198">
        <v>41.012503218570053</v>
      </c>
    </row>
    <row r="183" spans="1:12" ht="15" x14ac:dyDescent="0.2">
      <c r="A183" s="201"/>
      <c r="B183" s="289"/>
      <c r="C183" s="290"/>
      <c r="D183" s="303"/>
      <c r="E183" s="393"/>
      <c r="F183" s="159">
        <v>0.3</v>
      </c>
      <c r="G183" s="198">
        <v>504.03664731409168</v>
      </c>
      <c r="H183" s="198">
        <v>250.93326790287472</v>
      </c>
      <c r="I183" s="198">
        <v>123.25489441499587</v>
      </c>
      <c r="J183" s="198">
        <v>82.4640858636226</v>
      </c>
      <c r="K183" s="198">
        <v>61.513334738010151</v>
      </c>
      <c r="L183" s="198">
        <v>48.993958239365476</v>
      </c>
    </row>
    <row r="184" spans="1:12" ht="15" x14ac:dyDescent="0.2">
      <c r="A184" s="201"/>
      <c r="B184" s="289"/>
      <c r="C184" s="290"/>
      <c r="D184" s="303"/>
      <c r="E184" s="393"/>
      <c r="F184" s="123">
        <v>0.35</v>
      </c>
      <c r="G184" s="198">
        <v>607.07522494151101</v>
      </c>
      <c r="H184" s="198">
        <v>301.42695397743387</v>
      </c>
      <c r="I184" s="198">
        <v>147.27075737584707</v>
      </c>
      <c r="J184" s="198">
        <v>98.04332431153702</v>
      </c>
      <c r="K184" s="198">
        <v>72.775051302364304</v>
      </c>
      <c r="L184" s="198">
        <v>57.68731713524874</v>
      </c>
    </row>
    <row r="185" spans="1:12" ht="15" x14ac:dyDescent="0.2">
      <c r="A185" s="201"/>
      <c r="B185" s="289"/>
      <c r="C185" s="290"/>
      <c r="D185" s="303"/>
      <c r="E185" s="393"/>
      <c r="F185" s="123">
        <v>0.4</v>
      </c>
      <c r="G185" s="198">
        <v>726.46498347545037</v>
      </c>
      <c r="H185" s="198">
        <v>359.88533701614045</v>
      </c>
      <c r="I185" s="198">
        <v>175.02826031612793</v>
      </c>
      <c r="J185" s="198">
        <v>116.02093597186416</v>
      </c>
      <c r="K185" s="198">
        <v>85.749314593309336</v>
      </c>
      <c r="L185" s="198">
        <v>67.686429657775662</v>
      </c>
    </row>
    <row r="186" spans="1:12" ht="15" x14ac:dyDescent="0.2">
      <c r="A186" s="201"/>
      <c r="B186" s="289"/>
      <c r="C186" s="290"/>
      <c r="D186" s="303"/>
      <c r="E186" s="393"/>
      <c r="F186" s="123">
        <v>0.45</v>
      </c>
      <c r="G186" s="198">
        <v>864.08383714468084</v>
      </c>
      <c r="H186" s="198">
        <v>427.22017264835108</v>
      </c>
      <c r="I186" s="198">
        <v>206.95287504702046</v>
      </c>
      <c r="J186" s="198">
        <v>136.66789515908317</v>
      </c>
      <c r="K186" s="198">
        <v>100.62834031610168</v>
      </c>
      <c r="L186" s="198">
        <v>79.136886205620073</v>
      </c>
    </row>
    <row r="187" spans="1:12" ht="15" x14ac:dyDescent="0.2">
      <c r="A187" s="201"/>
      <c r="B187" s="289"/>
      <c r="C187" s="290"/>
      <c r="D187" s="303"/>
      <c r="E187" s="393"/>
      <c r="F187" s="123">
        <v>0.5</v>
      </c>
      <c r="G187" s="198">
        <v>1021.9484267304463</v>
      </c>
      <c r="H187" s="198">
        <v>504.41043160581864</v>
      </c>
      <c r="I187" s="198">
        <v>243.50130769826745</v>
      </c>
      <c r="J187" s="198">
        <v>160.27498841586399</v>
      </c>
      <c r="K187" s="198">
        <v>117.61834010535634</v>
      </c>
      <c r="L187" s="198">
        <v>92.194834479440587</v>
      </c>
    </row>
    <row r="188" spans="1:12" ht="15" x14ac:dyDescent="0.2">
      <c r="A188" s="201"/>
      <c r="B188" s="289"/>
      <c r="C188" s="290"/>
      <c r="D188" s="303"/>
      <c r="E188" s="393"/>
      <c r="F188" s="123">
        <v>0.55000000000000004</v>
      </c>
      <c r="G188" s="198">
        <v>1202.2190670184016</v>
      </c>
      <c r="H188" s="198">
        <v>592.50469342291819</v>
      </c>
      <c r="I188" s="198">
        <v>285.16260782839919</v>
      </c>
      <c r="J188" s="198">
        <v>187.15351607922116</v>
      </c>
      <c r="K188" s="198">
        <v>136.9400157315919</v>
      </c>
      <c r="L188" s="198">
        <v>107.0273512178659</v>
      </c>
    </row>
    <row r="189" spans="1:12" ht="15" x14ac:dyDescent="0.2">
      <c r="A189" s="201"/>
      <c r="B189" s="289"/>
      <c r="C189" s="290"/>
      <c r="D189" s="303"/>
      <c r="E189" s="393"/>
      <c r="F189" s="123">
        <v>0.6</v>
      </c>
      <c r="G189" s="198">
        <v>1407.204694250561</v>
      </c>
      <c r="H189" s="198">
        <v>692.62354013687764</v>
      </c>
      <c r="I189" s="198">
        <v>332.45927753496045</v>
      </c>
      <c r="J189" s="198">
        <v>217.63599384666847</v>
      </c>
      <c r="K189" s="198">
        <v>158.82905330777592</v>
      </c>
      <c r="L189" s="198">
        <v>123.81281393348029</v>
      </c>
    </row>
    <row r="190" spans="1:12" ht="15" x14ac:dyDescent="0.2">
      <c r="A190" s="201"/>
      <c r="B190" s="289"/>
      <c r="C190" s="290"/>
      <c r="D190" s="303"/>
      <c r="E190" s="393"/>
      <c r="F190" s="123">
        <v>0.65</v>
      </c>
      <c r="G190" s="198">
        <v>1639.3678135772375</v>
      </c>
      <c r="H190" s="198">
        <v>805.96194998800217</v>
      </c>
      <c r="I190" s="198">
        <v>385.94838056473674</v>
      </c>
      <c r="J190" s="198">
        <v>252.07685434237277</v>
      </c>
      <c r="K190" s="198">
        <v>183.5366174958699</v>
      </c>
      <c r="L190" s="198">
        <v>142.74127264880892</v>
      </c>
    </row>
    <row r="191" spans="1:12" ht="15" x14ac:dyDescent="0.2">
      <c r="A191" s="201"/>
      <c r="B191" s="334"/>
      <c r="C191" s="320"/>
      <c r="D191" s="321"/>
      <c r="E191" s="393"/>
      <c r="F191" s="123">
        <v>0.7</v>
      </c>
      <c r="G191" s="198">
        <v>1901.3294465089864</v>
      </c>
      <c r="H191" s="198">
        <v>933.79169111990518</v>
      </c>
      <c r="I191" s="198">
        <v>446.2226514239818</v>
      </c>
      <c r="J191" s="198">
        <v>290.85314868330784</v>
      </c>
      <c r="K191" s="198">
        <v>211.32984571337457</v>
      </c>
      <c r="L191" s="198">
        <v>164.0148216323033</v>
      </c>
    </row>
    <row r="192" spans="1:12" x14ac:dyDescent="0.2">
      <c r="B192" s="201"/>
      <c r="C192" s="201"/>
      <c r="D192" s="201"/>
    </row>
    <row r="193" spans="1:12" x14ac:dyDescent="0.2">
      <c r="A193" s="201"/>
      <c r="B193" s="201"/>
      <c r="C193" s="201"/>
      <c r="D193" s="201"/>
    </row>
    <row r="194" spans="1:12" ht="15" customHeight="1" x14ac:dyDescent="0.2">
      <c r="A194" s="201"/>
      <c r="B194" s="268" t="s">
        <v>385</v>
      </c>
      <c r="C194" s="318"/>
      <c r="D194" s="319"/>
      <c r="E194" s="269" t="s">
        <v>380</v>
      </c>
      <c r="F194" s="269"/>
      <c r="G194" s="269"/>
      <c r="H194" s="269"/>
      <c r="I194" s="269"/>
      <c r="J194" s="269"/>
      <c r="K194" s="269"/>
      <c r="L194" s="270"/>
    </row>
    <row r="195" spans="1:12" ht="15" customHeight="1" x14ac:dyDescent="0.2">
      <c r="A195" s="201"/>
      <c r="B195" s="289"/>
      <c r="C195" s="290"/>
      <c r="D195" s="303"/>
      <c r="E195" s="6"/>
      <c r="F195" s="6"/>
      <c r="G195" s="336" t="s">
        <v>302</v>
      </c>
      <c r="H195" s="327"/>
      <c r="I195" s="327"/>
      <c r="J195" s="327"/>
      <c r="K195" s="327"/>
      <c r="L195" s="328"/>
    </row>
    <row r="196" spans="1:12" ht="30" customHeight="1" x14ac:dyDescent="0.2">
      <c r="A196" s="201"/>
      <c r="B196" s="289"/>
      <c r="C196" s="290"/>
      <c r="D196" s="303"/>
      <c r="E196" s="390" t="s">
        <v>378</v>
      </c>
      <c r="F196" s="197">
        <f ca="1">IF(F30&gt;F31,G42,"nml")</f>
        <v>97.958247636523993</v>
      </c>
      <c r="G196" s="123">
        <v>0.1</v>
      </c>
      <c r="H196" s="123">
        <v>0.12</v>
      </c>
      <c r="I196" s="200">
        <v>0.1404</v>
      </c>
      <c r="J196" s="123">
        <v>0.16</v>
      </c>
      <c r="K196" s="123">
        <v>0.18</v>
      </c>
      <c r="L196" s="123">
        <v>0.2</v>
      </c>
    </row>
    <row r="197" spans="1:12" ht="15" x14ac:dyDescent="0.2">
      <c r="A197" s="201"/>
      <c r="B197" s="289"/>
      <c r="C197" s="290"/>
      <c r="D197" s="303"/>
      <c r="E197" s="391"/>
      <c r="F197" s="123">
        <v>0.06</v>
      </c>
      <c r="G197" s="198">
        <f t="dataTable" ref="G197:L209" dt2D="1" dtr="1" r1="F30" r2="F31" ca="1"/>
        <v>112.16573202484065</v>
      </c>
      <c r="H197" s="198">
        <v>74.032397353152561</v>
      </c>
      <c r="I197" s="198">
        <v>54.763667195063924</v>
      </c>
      <c r="J197" s="198">
        <v>43.713460958962315</v>
      </c>
      <c r="K197" s="198">
        <v>36.203136425571053</v>
      </c>
      <c r="L197" s="198">
        <v>30.873879059878178</v>
      </c>
    </row>
    <row r="198" spans="1:12" ht="15" x14ac:dyDescent="0.2">
      <c r="A198" s="201"/>
      <c r="B198" s="289"/>
      <c r="C198" s="290"/>
      <c r="D198" s="303"/>
      <c r="E198" s="391"/>
      <c r="F198" s="123">
        <v>7.0000000000000007E-2</v>
      </c>
      <c r="G198" s="198">
        <v>145.61547068568228</v>
      </c>
      <c r="H198" s="198">
        <v>86.556880599333965</v>
      </c>
      <c r="I198" s="198">
        <v>60.976772022524806</v>
      </c>
      <c r="J198" s="198">
        <v>47.384243724808734</v>
      </c>
      <c r="K198" s="198">
        <v>38.553883274640114</v>
      </c>
      <c r="L198" s="198">
        <v>32.47691969190506</v>
      </c>
    </row>
    <row r="199" spans="1:12" ht="15" x14ac:dyDescent="0.2">
      <c r="A199" s="201"/>
      <c r="B199" s="289"/>
      <c r="C199" s="290"/>
      <c r="D199" s="303"/>
      <c r="E199" s="391"/>
      <c r="F199" s="159">
        <v>0.08</v>
      </c>
      <c r="G199" s="198">
        <v>212.51494800736546</v>
      </c>
      <c r="H199" s="198">
        <v>105.34360546860607</v>
      </c>
      <c r="I199" s="198">
        <v>69.24719632927733</v>
      </c>
      <c r="J199" s="198">
        <v>51.972722182116748</v>
      </c>
      <c r="K199" s="198">
        <v>41.374779493522972</v>
      </c>
      <c r="L199" s="198">
        <v>34.347133762603093</v>
      </c>
    </row>
    <row r="200" spans="1:12" ht="15" x14ac:dyDescent="0.2">
      <c r="A200" s="201"/>
      <c r="B200" s="289"/>
      <c r="C200" s="290"/>
      <c r="D200" s="303"/>
      <c r="E200" s="391"/>
      <c r="F200" s="123">
        <v>0.09</v>
      </c>
      <c r="G200" s="198">
        <v>413.21337997241494</v>
      </c>
      <c r="H200" s="198">
        <v>136.65481358405955</v>
      </c>
      <c r="I200" s="198">
        <v>80.799535043471337</v>
      </c>
      <c r="J200" s="198">
        <v>57.872194484369899</v>
      </c>
      <c r="K200" s="198">
        <v>44.82254153882424</v>
      </c>
      <c r="L200" s="198">
        <v>36.557386755246227</v>
      </c>
    </row>
    <row r="201" spans="1:12" ht="15" x14ac:dyDescent="0.2">
      <c r="A201" s="201"/>
      <c r="B201" s="289"/>
      <c r="C201" s="290"/>
      <c r="D201" s="303"/>
      <c r="E201" s="391"/>
      <c r="F201" s="200">
        <v>0.1</v>
      </c>
      <c r="G201" s="198" t="str">
        <v>nml</v>
      </c>
      <c r="H201" s="198">
        <v>199.27722981496663</v>
      </c>
      <c r="I201" s="199">
        <v>98.070853319147574</v>
      </c>
      <c r="J201" s="198">
        <v>65.738157554040797</v>
      </c>
      <c r="K201" s="198">
        <v>49.132244095450829</v>
      </c>
      <c r="L201" s="198">
        <v>39.209690346417986</v>
      </c>
    </row>
    <row r="202" spans="1:12" ht="15" x14ac:dyDescent="0.2">
      <c r="A202" s="201"/>
      <c r="B202" s="289"/>
      <c r="C202" s="290"/>
      <c r="D202" s="303"/>
      <c r="E202" s="391"/>
      <c r="F202" s="123">
        <v>0.11</v>
      </c>
      <c r="G202" s="198" t="str">
        <v>nml</v>
      </c>
      <c r="H202" s="198">
        <v>387.14447850768772</v>
      </c>
      <c r="I202" s="198">
        <v>126.70488098671602</v>
      </c>
      <c r="J202" s="198">
        <v>76.750505851580044</v>
      </c>
      <c r="K202" s="198">
        <v>54.673290239685016</v>
      </c>
      <c r="L202" s="198">
        <v>42.451394735627915</v>
      </c>
    </row>
    <row r="203" spans="1:12" ht="15" x14ac:dyDescent="0.2">
      <c r="A203" s="201"/>
      <c r="B203" s="289"/>
      <c r="C203" s="290"/>
      <c r="D203" s="303"/>
      <c r="E203" s="391"/>
      <c r="F203" s="123">
        <v>0.12</v>
      </c>
      <c r="G203" s="198" t="str">
        <v>nml</v>
      </c>
      <c r="H203" s="198" t="str">
        <v>nml</v>
      </c>
      <c r="I203" s="198">
        <v>183.41148479895938</v>
      </c>
      <c r="J203" s="198">
        <v>93.269028297888866</v>
      </c>
      <c r="K203" s="198">
        <v>62.061351765330613</v>
      </c>
      <c r="L203" s="198">
        <v>46.503525222140311</v>
      </c>
    </row>
    <row r="204" spans="1:12" ht="15" x14ac:dyDescent="0.2">
      <c r="A204" s="201"/>
      <c r="B204" s="289"/>
      <c r="C204" s="290"/>
      <c r="D204" s="303"/>
      <c r="E204" s="391"/>
      <c r="F204" s="123">
        <v>0.13</v>
      </c>
      <c r="G204" s="198" t="str">
        <v>nml</v>
      </c>
      <c r="H204" s="198" t="str">
        <v>nml</v>
      </c>
      <c r="I204" s="198">
        <v>349.16924978859413</v>
      </c>
      <c r="J204" s="198">
        <v>120.79989904173694</v>
      </c>
      <c r="K204" s="198">
        <v>72.404637901234423</v>
      </c>
      <c r="L204" s="198">
        <v>51.713407276227684</v>
      </c>
    </row>
    <row r="205" spans="1:12" ht="15" x14ac:dyDescent="0.2">
      <c r="A205" s="201"/>
      <c r="B205" s="289"/>
      <c r="C205" s="290"/>
      <c r="D205" s="303"/>
      <c r="E205" s="391"/>
      <c r="F205" s="123">
        <v>0.14000000000000001</v>
      </c>
      <c r="G205" s="198" t="str">
        <v>nml</v>
      </c>
      <c r="H205" s="198" t="str">
        <v>nml</v>
      </c>
      <c r="I205" s="198">
        <v>8802.8152642603145</v>
      </c>
      <c r="J205" s="198">
        <v>175.86164052943323</v>
      </c>
      <c r="K205" s="198">
        <v>87.919567105090195</v>
      </c>
      <c r="L205" s="198">
        <v>58.659916681677544</v>
      </c>
    </row>
    <row r="206" spans="1:12" ht="15" x14ac:dyDescent="0.2">
      <c r="A206" s="201"/>
      <c r="B206" s="289"/>
      <c r="C206" s="290"/>
      <c r="D206" s="303"/>
      <c r="E206" s="391"/>
      <c r="F206" s="123">
        <v>0.15</v>
      </c>
      <c r="G206" s="198" t="str">
        <v>nml</v>
      </c>
      <c r="H206" s="198" t="str">
        <v>nml</v>
      </c>
      <c r="I206" s="198" t="str">
        <v>nml</v>
      </c>
      <c r="J206" s="198">
        <v>341.04686499252119</v>
      </c>
      <c r="K206" s="198">
        <v>113.77778244484971</v>
      </c>
      <c r="L206" s="198">
        <v>68.385029849307287</v>
      </c>
    </row>
    <row r="207" spans="1:12" ht="15" x14ac:dyDescent="0.2">
      <c r="A207" s="201"/>
      <c r="B207" s="289"/>
      <c r="C207" s="290"/>
      <c r="D207" s="303"/>
      <c r="E207" s="391"/>
      <c r="F207" s="123">
        <v>0.16</v>
      </c>
      <c r="G207" s="198" t="str">
        <v>nml</v>
      </c>
      <c r="H207" s="198" t="str">
        <v>nml</v>
      </c>
      <c r="I207" s="198" t="str">
        <v>nml</v>
      </c>
      <c r="J207" s="198" t="str">
        <v>nml</v>
      </c>
      <c r="K207" s="198">
        <v>165.49421312436888</v>
      </c>
      <c r="L207" s="198">
        <v>82.972699600751938</v>
      </c>
    </row>
    <row r="208" spans="1:12" ht="15" x14ac:dyDescent="0.2">
      <c r="A208" s="201"/>
      <c r="B208" s="289"/>
      <c r="C208" s="290"/>
      <c r="D208" s="303"/>
      <c r="E208" s="391"/>
      <c r="F208" s="123">
        <v>0.17</v>
      </c>
      <c r="G208" s="198" t="str">
        <v>nml</v>
      </c>
      <c r="H208" s="198" t="str">
        <v>nml</v>
      </c>
      <c r="I208" s="198" t="str">
        <v>nml</v>
      </c>
      <c r="J208" s="198" t="str">
        <v>nml</v>
      </c>
      <c r="K208" s="198">
        <v>320.64350516292666</v>
      </c>
      <c r="L208" s="198">
        <v>107.28548251982636</v>
      </c>
    </row>
    <row r="209" spans="1:12" ht="15" x14ac:dyDescent="0.2">
      <c r="B209" s="334"/>
      <c r="C209" s="320"/>
      <c r="D209" s="321"/>
      <c r="E209" s="392"/>
      <c r="F209" s="123">
        <v>0.18</v>
      </c>
      <c r="G209" s="198" t="str">
        <v>nml</v>
      </c>
      <c r="H209" s="198" t="str">
        <v>nml</v>
      </c>
      <c r="I209" s="198" t="str">
        <v>nml</v>
      </c>
      <c r="J209" s="198" t="str">
        <v>nml</v>
      </c>
      <c r="K209" s="198" t="str">
        <v>nml</v>
      </c>
      <c r="L209" s="198">
        <v>155.91104835797515</v>
      </c>
    </row>
    <row r="212" spans="1:12" x14ac:dyDescent="0.2">
      <c r="A212" s="203"/>
      <c r="B212" s="203"/>
      <c r="C212" s="203"/>
      <c r="D212" s="203"/>
      <c r="E212" s="203"/>
      <c r="F212" s="203"/>
      <c r="G212" s="203"/>
      <c r="H212" s="203"/>
      <c r="I212" s="203"/>
      <c r="J212" s="203"/>
      <c r="K212" s="203"/>
      <c r="L212" s="203"/>
    </row>
    <row r="213" spans="1:12" ht="15" x14ac:dyDescent="0.2">
      <c r="B213" s="43" t="s">
        <v>170</v>
      </c>
      <c r="C213" s="6"/>
      <c r="D213" s="6"/>
      <c r="E213" s="6"/>
      <c r="F213" s="6"/>
      <c r="G213" s="6"/>
      <c r="H213" s="6"/>
      <c r="I213" s="6"/>
      <c r="J213" s="6"/>
      <c r="K213" s="6"/>
      <c r="L213" s="6"/>
    </row>
    <row r="214" spans="1:12" ht="14.25" customHeight="1" x14ac:dyDescent="0.2">
      <c r="B214" s="396" t="s">
        <v>398</v>
      </c>
      <c r="C214" s="396"/>
      <c r="D214" s="396"/>
      <c r="E214" s="396"/>
      <c r="F214" s="396"/>
      <c r="G214" s="396"/>
      <c r="H214" s="396"/>
      <c r="I214" s="396"/>
      <c r="J214" s="396"/>
      <c r="K214" s="396"/>
      <c r="L214" s="396"/>
    </row>
    <row r="215" spans="1:12" ht="14.25" customHeight="1" x14ac:dyDescent="0.2">
      <c r="B215" s="396"/>
      <c r="C215" s="396"/>
      <c r="D215" s="396"/>
      <c r="E215" s="396"/>
      <c r="F215" s="396"/>
      <c r="G215" s="396"/>
      <c r="H215" s="396"/>
      <c r="I215" s="396"/>
      <c r="J215" s="396"/>
      <c r="K215" s="396"/>
      <c r="L215" s="396"/>
    </row>
    <row r="216" spans="1:12" ht="14.25" customHeight="1" x14ac:dyDescent="0.2">
      <c r="B216" s="396"/>
      <c r="C216" s="396"/>
      <c r="D216" s="396"/>
      <c r="E216" s="396"/>
      <c r="F216" s="396"/>
      <c r="G216" s="396"/>
      <c r="H216" s="396"/>
      <c r="I216" s="396"/>
      <c r="J216" s="396"/>
      <c r="K216" s="396"/>
      <c r="L216" s="396"/>
    </row>
    <row r="217" spans="1:12" ht="15" x14ac:dyDescent="0.2">
      <c r="B217" s="6"/>
      <c r="C217" s="6"/>
      <c r="D217" s="6"/>
      <c r="E217" s="6"/>
      <c r="F217" s="6"/>
      <c r="G217" s="6"/>
      <c r="H217" s="6"/>
      <c r="I217" s="6"/>
      <c r="J217" s="6"/>
      <c r="K217" s="6"/>
      <c r="L217" s="6"/>
    </row>
    <row r="218" spans="1:12" x14ac:dyDescent="0.2">
      <c r="B218" s="360" t="s">
        <v>386</v>
      </c>
      <c r="C218" s="268" t="s">
        <v>387</v>
      </c>
      <c r="D218" s="318"/>
      <c r="E218" s="318"/>
      <c r="F218" s="318"/>
      <c r="G218" s="318"/>
      <c r="H218" s="318"/>
      <c r="I218" s="318"/>
      <c r="J218" s="318"/>
      <c r="K218" s="318"/>
      <c r="L218" s="319"/>
    </row>
    <row r="219" spans="1:12" x14ac:dyDescent="0.2">
      <c r="B219" s="361"/>
      <c r="C219" s="289"/>
      <c r="D219" s="290"/>
      <c r="E219" s="290"/>
      <c r="F219" s="290"/>
      <c r="G219" s="290"/>
      <c r="H219" s="290"/>
      <c r="I219" s="290"/>
      <c r="J219" s="290"/>
      <c r="K219" s="290"/>
      <c r="L219" s="303"/>
    </row>
    <row r="220" spans="1:12" x14ac:dyDescent="0.2">
      <c r="B220" s="361"/>
      <c r="C220" s="289"/>
      <c r="D220" s="290"/>
      <c r="E220" s="290"/>
      <c r="F220" s="290"/>
      <c r="G220" s="290"/>
      <c r="H220" s="290"/>
      <c r="I220" s="290"/>
      <c r="J220" s="290"/>
      <c r="K220" s="290"/>
      <c r="L220" s="303"/>
    </row>
    <row r="221" spans="1:12" x14ac:dyDescent="0.2">
      <c r="B221" s="361"/>
      <c r="C221" s="289"/>
      <c r="D221" s="290"/>
      <c r="E221" s="290"/>
      <c r="F221" s="290"/>
      <c r="G221" s="290"/>
      <c r="H221" s="290"/>
      <c r="I221" s="290"/>
      <c r="J221" s="290"/>
      <c r="K221" s="290"/>
      <c r="L221" s="303"/>
    </row>
    <row r="222" spans="1:12" x14ac:dyDescent="0.2">
      <c r="B222" s="361"/>
      <c r="C222" s="289"/>
      <c r="D222" s="290"/>
      <c r="E222" s="290"/>
      <c r="F222" s="290"/>
      <c r="G222" s="290"/>
      <c r="H222" s="290"/>
      <c r="I222" s="290"/>
      <c r="J222" s="290"/>
      <c r="K222" s="290"/>
      <c r="L222" s="303"/>
    </row>
    <row r="223" spans="1:12" x14ac:dyDescent="0.2">
      <c r="B223" s="362"/>
      <c r="C223" s="334"/>
      <c r="D223" s="320"/>
      <c r="E223" s="320"/>
      <c r="F223" s="320"/>
      <c r="G223" s="320"/>
      <c r="H223" s="320"/>
      <c r="I223" s="320"/>
      <c r="J223" s="320"/>
      <c r="K223" s="320"/>
      <c r="L223" s="321"/>
    </row>
    <row r="224" spans="1:12" x14ac:dyDescent="0.2">
      <c r="B224" s="360" t="s">
        <v>388</v>
      </c>
      <c r="C224" s="268" t="s">
        <v>389</v>
      </c>
      <c r="D224" s="318"/>
      <c r="E224" s="318"/>
      <c r="F224" s="318"/>
      <c r="G224" s="318"/>
      <c r="H224" s="318"/>
      <c r="I224" s="318"/>
      <c r="J224" s="318"/>
      <c r="K224" s="318"/>
      <c r="L224" s="319"/>
    </row>
    <row r="225" spans="2:12" x14ac:dyDescent="0.2">
      <c r="B225" s="388"/>
      <c r="C225" s="289"/>
      <c r="D225" s="290"/>
      <c r="E225" s="290"/>
      <c r="F225" s="290"/>
      <c r="G225" s="290"/>
      <c r="H225" s="290"/>
      <c r="I225" s="290"/>
      <c r="J225" s="290"/>
      <c r="K225" s="290"/>
      <c r="L225" s="303"/>
    </row>
    <row r="226" spans="2:12" x14ac:dyDescent="0.2">
      <c r="B226" s="388"/>
      <c r="C226" s="289"/>
      <c r="D226" s="290"/>
      <c r="E226" s="290"/>
      <c r="F226" s="290"/>
      <c r="G226" s="290"/>
      <c r="H226" s="290"/>
      <c r="I226" s="290"/>
      <c r="J226" s="290"/>
      <c r="K226" s="290"/>
      <c r="L226" s="303"/>
    </row>
    <row r="227" spans="2:12" x14ac:dyDescent="0.2">
      <c r="B227" s="388"/>
      <c r="C227" s="289"/>
      <c r="D227" s="290"/>
      <c r="E227" s="290"/>
      <c r="F227" s="290"/>
      <c r="G227" s="290"/>
      <c r="H227" s="290"/>
      <c r="I227" s="290"/>
      <c r="J227" s="290"/>
      <c r="K227" s="290"/>
      <c r="L227" s="303"/>
    </row>
    <row r="228" spans="2:12" x14ac:dyDescent="0.2">
      <c r="B228" s="388"/>
      <c r="C228" s="289"/>
      <c r="D228" s="290"/>
      <c r="E228" s="290"/>
      <c r="F228" s="290"/>
      <c r="G228" s="290"/>
      <c r="H228" s="290"/>
      <c r="I228" s="290"/>
      <c r="J228" s="290"/>
      <c r="K228" s="290"/>
      <c r="L228" s="303"/>
    </row>
    <row r="229" spans="2:12" x14ac:dyDescent="0.2">
      <c r="B229" s="389"/>
      <c r="C229" s="334"/>
      <c r="D229" s="320"/>
      <c r="E229" s="320"/>
      <c r="F229" s="320"/>
      <c r="G229" s="320"/>
      <c r="H229" s="320"/>
      <c r="I229" s="320"/>
      <c r="J229" s="320"/>
      <c r="K229" s="320"/>
      <c r="L229" s="321"/>
    </row>
    <row r="230" spans="2:12" x14ac:dyDescent="0.2">
      <c r="B230" s="360" t="s">
        <v>390</v>
      </c>
      <c r="C230" s="268" t="s">
        <v>391</v>
      </c>
      <c r="D230" s="318"/>
      <c r="E230" s="318"/>
      <c r="F230" s="318"/>
      <c r="G230" s="318"/>
      <c r="H230" s="318"/>
      <c r="I230" s="318"/>
      <c r="J230" s="318"/>
      <c r="K230" s="318"/>
      <c r="L230" s="319"/>
    </row>
    <row r="231" spans="2:12" x14ac:dyDescent="0.2">
      <c r="B231" s="361"/>
      <c r="C231" s="289"/>
      <c r="D231" s="290"/>
      <c r="E231" s="290"/>
      <c r="F231" s="290"/>
      <c r="G231" s="290"/>
      <c r="H231" s="290"/>
      <c r="I231" s="290"/>
      <c r="J231" s="290"/>
      <c r="K231" s="290"/>
      <c r="L231" s="303"/>
    </row>
    <row r="232" spans="2:12" x14ac:dyDescent="0.2">
      <c r="B232" s="361"/>
      <c r="C232" s="289"/>
      <c r="D232" s="290"/>
      <c r="E232" s="290"/>
      <c r="F232" s="290"/>
      <c r="G232" s="290"/>
      <c r="H232" s="290"/>
      <c r="I232" s="290"/>
      <c r="J232" s="290"/>
      <c r="K232" s="290"/>
      <c r="L232" s="303"/>
    </row>
    <row r="233" spans="2:12" x14ac:dyDescent="0.2">
      <c r="B233" s="361"/>
      <c r="C233" s="289"/>
      <c r="D233" s="290"/>
      <c r="E233" s="290"/>
      <c r="F233" s="290"/>
      <c r="G233" s="290"/>
      <c r="H233" s="290"/>
      <c r="I233" s="290"/>
      <c r="J233" s="290"/>
      <c r="K233" s="290"/>
      <c r="L233" s="303"/>
    </row>
    <row r="234" spans="2:12" x14ac:dyDescent="0.2">
      <c r="B234" s="362"/>
      <c r="C234" s="334"/>
      <c r="D234" s="320"/>
      <c r="E234" s="320"/>
      <c r="F234" s="320"/>
      <c r="G234" s="320"/>
      <c r="H234" s="320"/>
      <c r="I234" s="320"/>
      <c r="J234" s="320"/>
      <c r="K234" s="320"/>
      <c r="L234" s="321"/>
    </row>
    <row r="235" spans="2:12" x14ac:dyDescent="0.2">
      <c r="B235" s="360" t="s">
        <v>392</v>
      </c>
      <c r="C235" s="351" t="s">
        <v>393</v>
      </c>
      <c r="D235" s="269"/>
      <c r="E235" s="269"/>
      <c r="F235" s="269"/>
      <c r="G235" s="269"/>
      <c r="H235" s="269"/>
      <c r="I235" s="269"/>
      <c r="J235" s="269"/>
      <c r="K235" s="269"/>
      <c r="L235" s="270"/>
    </row>
    <row r="236" spans="2:12" x14ac:dyDescent="0.2">
      <c r="B236" s="361"/>
      <c r="C236" s="271"/>
      <c r="D236" s="272"/>
      <c r="E236" s="272"/>
      <c r="F236" s="272"/>
      <c r="G236" s="272"/>
      <c r="H236" s="272"/>
      <c r="I236" s="272"/>
      <c r="J236" s="272"/>
      <c r="K236" s="272"/>
      <c r="L236" s="273"/>
    </row>
    <row r="237" spans="2:12" x14ac:dyDescent="0.2">
      <c r="B237" s="361"/>
      <c r="C237" s="271"/>
      <c r="D237" s="272"/>
      <c r="E237" s="272"/>
      <c r="F237" s="272"/>
      <c r="G237" s="272"/>
      <c r="H237" s="272"/>
      <c r="I237" s="272"/>
      <c r="J237" s="272"/>
      <c r="K237" s="272"/>
      <c r="L237" s="273"/>
    </row>
    <row r="238" spans="2:12" x14ac:dyDescent="0.2">
      <c r="B238" s="361"/>
      <c r="C238" s="271"/>
      <c r="D238" s="272"/>
      <c r="E238" s="272"/>
      <c r="F238" s="272"/>
      <c r="G238" s="272"/>
      <c r="H238" s="272"/>
      <c r="I238" s="272"/>
      <c r="J238" s="272"/>
      <c r="K238" s="272"/>
      <c r="L238" s="273"/>
    </row>
    <row r="239" spans="2:12" x14ac:dyDescent="0.2">
      <c r="B239" s="361"/>
      <c r="C239" s="271"/>
      <c r="D239" s="272"/>
      <c r="E239" s="272"/>
      <c r="F239" s="272"/>
      <c r="G239" s="272"/>
      <c r="H239" s="272"/>
      <c r="I239" s="272"/>
      <c r="J239" s="272"/>
      <c r="K239" s="272"/>
      <c r="L239" s="273"/>
    </row>
    <row r="240" spans="2:12" x14ac:dyDescent="0.2">
      <c r="B240" s="362"/>
      <c r="C240" s="274"/>
      <c r="D240" s="275"/>
      <c r="E240" s="275"/>
      <c r="F240" s="275"/>
      <c r="G240" s="275"/>
      <c r="H240" s="275"/>
      <c r="I240" s="275"/>
      <c r="J240" s="275"/>
      <c r="K240" s="275"/>
      <c r="L240" s="276"/>
    </row>
    <row r="241" spans="2:12" x14ac:dyDescent="0.2">
      <c r="B241" s="360" t="s">
        <v>394</v>
      </c>
      <c r="C241" s="268" t="s">
        <v>395</v>
      </c>
      <c r="D241" s="318"/>
      <c r="E241" s="318"/>
      <c r="F241" s="318"/>
      <c r="G241" s="318"/>
      <c r="H241" s="318"/>
      <c r="I241" s="318"/>
      <c r="J241" s="318"/>
      <c r="K241" s="318"/>
      <c r="L241" s="319"/>
    </row>
    <row r="242" spans="2:12" x14ac:dyDescent="0.2">
      <c r="B242" s="361"/>
      <c r="C242" s="289"/>
      <c r="D242" s="290"/>
      <c r="E242" s="290"/>
      <c r="F242" s="290"/>
      <c r="G242" s="290"/>
      <c r="H242" s="290"/>
      <c r="I242" s="290"/>
      <c r="J242" s="290"/>
      <c r="K242" s="290"/>
      <c r="L242" s="303"/>
    </row>
    <row r="243" spans="2:12" x14ac:dyDescent="0.2">
      <c r="B243" s="361"/>
      <c r="C243" s="289"/>
      <c r="D243" s="290"/>
      <c r="E243" s="290"/>
      <c r="F243" s="290"/>
      <c r="G243" s="290"/>
      <c r="H243" s="290"/>
      <c r="I243" s="290"/>
      <c r="J243" s="290"/>
      <c r="K243" s="290"/>
      <c r="L243" s="303"/>
    </row>
    <row r="244" spans="2:12" x14ac:dyDescent="0.2">
      <c r="B244" s="361"/>
      <c r="C244" s="289"/>
      <c r="D244" s="290"/>
      <c r="E244" s="290"/>
      <c r="F244" s="290"/>
      <c r="G244" s="290"/>
      <c r="H244" s="290"/>
      <c r="I244" s="290"/>
      <c r="J244" s="290"/>
      <c r="K244" s="290"/>
      <c r="L244" s="303"/>
    </row>
    <row r="245" spans="2:12" x14ac:dyDescent="0.2">
      <c r="B245" s="361"/>
      <c r="C245" s="289"/>
      <c r="D245" s="290"/>
      <c r="E245" s="290"/>
      <c r="F245" s="290"/>
      <c r="G245" s="290"/>
      <c r="H245" s="290"/>
      <c r="I245" s="290"/>
      <c r="J245" s="290"/>
      <c r="K245" s="290"/>
      <c r="L245" s="303"/>
    </row>
    <row r="246" spans="2:12" x14ac:dyDescent="0.2">
      <c r="B246" s="362"/>
      <c r="C246" s="334"/>
      <c r="D246" s="320"/>
      <c r="E246" s="320"/>
      <c r="F246" s="320"/>
      <c r="G246" s="320"/>
      <c r="H246" s="320"/>
      <c r="I246" s="320"/>
      <c r="J246" s="320"/>
      <c r="K246" s="320"/>
      <c r="L246" s="321"/>
    </row>
    <row r="247" spans="2:12" ht="15" x14ac:dyDescent="0.2">
      <c r="B247" s="6"/>
      <c r="C247" s="6"/>
      <c r="D247" s="6"/>
      <c r="E247" s="6"/>
      <c r="F247" s="6"/>
      <c r="G247" s="6"/>
      <c r="H247" s="6"/>
      <c r="I247" s="6"/>
      <c r="J247" s="6"/>
      <c r="K247" s="6"/>
      <c r="L247" s="6"/>
    </row>
    <row r="248" spans="2:12" ht="15" x14ac:dyDescent="0.2">
      <c r="B248" s="6"/>
      <c r="C248" s="6"/>
      <c r="D248" s="6"/>
      <c r="E248" s="6"/>
      <c r="F248" s="6"/>
      <c r="G248" s="6"/>
      <c r="H248" s="6"/>
      <c r="I248" s="6"/>
      <c r="J248" s="6"/>
      <c r="K248" s="6"/>
      <c r="L248" s="6"/>
    </row>
    <row r="249" spans="2:12" ht="15" x14ac:dyDescent="0.2">
      <c r="B249" s="340" t="s">
        <v>396</v>
      </c>
      <c r="C249" s="359"/>
      <c r="D249" s="341"/>
      <c r="E249" s="6"/>
      <c r="F249" s="6"/>
      <c r="G249" s="6"/>
      <c r="H249" s="6"/>
      <c r="I249" s="6"/>
      <c r="J249" s="6"/>
      <c r="K249" s="6"/>
      <c r="L249" s="6"/>
    </row>
    <row r="250" spans="2:12" ht="15" x14ac:dyDescent="0.2">
      <c r="B250" s="96"/>
      <c r="C250" s="96">
        <v>2022</v>
      </c>
      <c r="D250" s="96">
        <v>2023</v>
      </c>
      <c r="E250" s="96">
        <v>2024</v>
      </c>
      <c r="F250" s="96">
        <v>2025</v>
      </c>
      <c r="G250" s="96">
        <v>2026</v>
      </c>
      <c r="H250" s="96">
        <v>2027</v>
      </c>
      <c r="I250" s="6"/>
      <c r="J250" s="6"/>
      <c r="K250" s="6"/>
      <c r="L250" s="6"/>
    </row>
    <row r="251" spans="2:12" ht="15" x14ac:dyDescent="0.2">
      <c r="B251" s="96" t="s">
        <v>272</v>
      </c>
      <c r="C251" s="96">
        <f>G45</f>
        <v>3115</v>
      </c>
      <c r="D251" s="85">
        <f ca="1">H20</f>
        <v>3273.3576733706536</v>
      </c>
      <c r="E251" s="85">
        <f ca="1">I20</f>
        <v>3894.7291508535282</v>
      </c>
      <c r="F251" s="85">
        <f ca="1">J20</f>
        <v>5413.2855234815461</v>
      </c>
      <c r="G251" s="85">
        <f ca="1">K20</f>
        <v>7159.6253520037808</v>
      </c>
      <c r="H251" s="85">
        <f ca="1">L20</f>
        <v>9167.9161548043703</v>
      </c>
      <c r="I251" s="6"/>
      <c r="J251" s="6"/>
      <c r="K251" s="6"/>
      <c r="L251" s="6"/>
    </row>
    <row r="252" spans="2:12" ht="15" x14ac:dyDescent="0.2">
      <c r="B252" s="96" t="s">
        <v>124</v>
      </c>
      <c r="C252" s="96"/>
      <c r="D252" s="204">
        <f ca="1">D251/C251-1</f>
        <v>5.0837134308395981E-2</v>
      </c>
      <c r="E252" s="204">
        <f ca="1">E251/D251-1</f>
        <v>0.18982694208391648</v>
      </c>
      <c r="F252" s="204">
        <f t="shared" ref="F252:H252" ca="1" si="15">F251/E251-1</f>
        <v>0.38990037915607734</v>
      </c>
      <c r="G252" s="204">
        <f t="shared" ca="1" si="15"/>
        <v>0.32260257120135782</v>
      </c>
      <c r="H252" s="204">
        <f t="shared" ca="1" si="15"/>
        <v>0.28050221960825428</v>
      </c>
      <c r="I252" s="6"/>
      <c r="J252" s="6"/>
      <c r="K252" s="6"/>
      <c r="L252" s="6"/>
    </row>
    <row r="253" spans="2:12" ht="15" x14ac:dyDescent="0.2">
      <c r="B253" s="96" t="s">
        <v>397</v>
      </c>
      <c r="C253" s="205">
        <f ca="1">AVERAGE(D252:H252)</f>
        <v>0.24673384927160039</v>
      </c>
      <c r="D253" s="206"/>
      <c r="E253" s="96"/>
      <c r="F253" s="96"/>
      <c r="G253" s="96"/>
      <c r="H253" s="96"/>
      <c r="I253" s="6"/>
      <c r="J253" s="6"/>
      <c r="K253" s="6"/>
      <c r="L253" s="6"/>
    </row>
    <row r="256" spans="2:12" ht="14.25" customHeight="1" x14ac:dyDescent="0.2">
      <c r="B256" s="365" t="s">
        <v>401</v>
      </c>
      <c r="C256" s="366"/>
      <c r="D256" s="366"/>
      <c r="E256" s="366"/>
      <c r="F256" s="366"/>
      <c r="G256" s="366"/>
      <c r="H256" s="366"/>
      <c r="I256" s="366"/>
      <c r="J256" s="366"/>
      <c r="K256" s="366"/>
      <c r="L256" s="367"/>
    </row>
    <row r="257" spans="2:12" x14ac:dyDescent="0.2">
      <c r="B257" s="368"/>
      <c r="C257" s="369"/>
      <c r="D257" s="369"/>
      <c r="E257" s="369"/>
      <c r="F257" s="369"/>
      <c r="G257" s="369"/>
      <c r="H257" s="369"/>
      <c r="I257" s="369"/>
      <c r="J257" s="369"/>
      <c r="K257" s="369"/>
      <c r="L257" s="370"/>
    </row>
    <row r="258" spans="2:12" x14ac:dyDescent="0.2">
      <c r="B258" s="368"/>
      <c r="C258" s="369"/>
      <c r="D258" s="369"/>
      <c r="E258" s="369"/>
      <c r="F258" s="369"/>
      <c r="G258" s="369"/>
      <c r="H258" s="369"/>
      <c r="I258" s="369"/>
      <c r="J258" s="369"/>
      <c r="K258" s="369"/>
      <c r="L258" s="370"/>
    </row>
    <row r="259" spans="2:12" x14ac:dyDescent="0.2">
      <c r="B259" s="368"/>
      <c r="C259" s="369"/>
      <c r="D259" s="369"/>
      <c r="E259" s="369"/>
      <c r="F259" s="369"/>
      <c r="G259" s="369"/>
      <c r="H259" s="369"/>
      <c r="I259" s="369"/>
      <c r="J259" s="369"/>
      <c r="K259" s="369"/>
      <c r="L259" s="370"/>
    </row>
    <row r="260" spans="2:12" x14ac:dyDescent="0.2">
      <c r="B260" s="371"/>
      <c r="C260" s="372"/>
      <c r="D260" s="372"/>
      <c r="E260" s="372"/>
      <c r="F260" s="372"/>
      <c r="G260" s="372"/>
      <c r="H260" s="372"/>
      <c r="I260" s="372"/>
      <c r="J260" s="372"/>
      <c r="K260" s="372"/>
      <c r="L260" s="373"/>
    </row>
    <row r="263" spans="2:12" ht="15" x14ac:dyDescent="0.2">
      <c r="B263" s="340" t="s">
        <v>456</v>
      </c>
      <c r="C263" s="359"/>
      <c r="D263" s="359"/>
      <c r="E263" s="359"/>
      <c r="F263" s="359"/>
      <c r="G263" s="359"/>
      <c r="H263" s="359"/>
      <c r="I263" s="359"/>
      <c r="J263" s="359"/>
      <c r="K263" s="359"/>
      <c r="L263" s="341"/>
    </row>
    <row r="264" spans="2:12" ht="15" x14ac:dyDescent="0.2">
      <c r="B264" s="277" t="s">
        <v>454</v>
      </c>
      <c r="C264" s="278"/>
      <c r="D264" s="278"/>
      <c r="E264" s="278"/>
      <c r="F264" s="272" t="s">
        <v>498</v>
      </c>
      <c r="G264" s="272"/>
      <c r="H264" s="272"/>
      <c r="I264" s="272"/>
      <c r="J264" s="272"/>
      <c r="K264" s="6"/>
      <c r="L264" s="7"/>
    </row>
    <row r="265" spans="2:12" ht="15" x14ac:dyDescent="0.2">
      <c r="B265" s="280" t="s">
        <v>455</v>
      </c>
      <c r="C265" s="267"/>
      <c r="D265" s="267"/>
      <c r="E265" s="267"/>
      <c r="F265" s="272" t="s">
        <v>494</v>
      </c>
      <c r="G265" s="272"/>
      <c r="H265" s="272"/>
      <c r="I265" s="272"/>
      <c r="J265" s="272"/>
      <c r="K265" s="6"/>
      <c r="L265" s="7"/>
    </row>
    <row r="266" spans="2:12" ht="15" x14ac:dyDescent="0.2">
      <c r="B266" s="282" t="s">
        <v>450</v>
      </c>
      <c r="C266" s="283"/>
      <c r="D266" s="283"/>
      <c r="E266" s="283"/>
      <c r="F266" s="275" t="s">
        <v>457</v>
      </c>
      <c r="G266" s="275"/>
      <c r="H266" s="275"/>
      <c r="I266" s="275"/>
      <c r="J266" s="275"/>
      <c r="K266" s="87"/>
      <c r="L266" s="88"/>
    </row>
    <row r="267" spans="2:12" ht="15" x14ac:dyDescent="0.2">
      <c r="B267" s="6"/>
      <c r="C267" s="6"/>
      <c r="D267" s="6"/>
      <c r="E267" s="6"/>
      <c r="F267" s="6"/>
      <c r="G267" s="6"/>
      <c r="H267" s="6"/>
      <c r="I267" s="6"/>
      <c r="J267" s="6"/>
      <c r="K267" s="6"/>
      <c r="L267" s="6"/>
    </row>
    <row r="268" spans="2:12" ht="14.25" customHeight="1" x14ac:dyDescent="0.2">
      <c r="B268" s="277" t="s">
        <v>458</v>
      </c>
      <c r="C268" s="279"/>
      <c r="D268" s="268" t="s">
        <v>495</v>
      </c>
      <c r="E268" s="318"/>
      <c r="F268" s="318"/>
      <c r="G268" s="318"/>
      <c r="H268" s="318"/>
      <c r="I268" s="318"/>
      <c r="J268" s="318"/>
      <c r="K268" s="318"/>
      <c r="L268" s="319"/>
    </row>
    <row r="269" spans="2:12" ht="14.25" customHeight="1" x14ac:dyDescent="0.2">
      <c r="B269" s="280"/>
      <c r="C269" s="281"/>
      <c r="D269" s="289"/>
      <c r="E269" s="290"/>
      <c r="F269" s="290"/>
      <c r="G269" s="290"/>
      <c r="H269" s="290"/>
      <c r="I269" s="290"/>
      <c r="J269" s="290"/>
      <c r="K269" s="290"/>
      <c r="L269" s="303"/>
    </row>
    <row r="270" spans="2:12" ht="14.25" customHeight="1" x14ac:dyDescent="0.2">
      <c r="B270" s="280"/>
      <c r="C270" s="281"/>
      <c r="D270" s="289"/>
      <c r="E270" s="290"/>
      <c r="F270" s="290"/>
      <c r="G270" s="290"/>
      <c r="H270" s="290"/>
      <c r="I270" s="290"/>
      <c r="J270" s="290"/>
      <c r="K270" s="290"/>
      <c r="L270" s="303"/>
    </row>
    <row r="271" spans="2:12" ht="14.25" customHeight="1" x14ac:dyDescent="0.2">
      <c r="B271" s="280"/>
      <c r="C271" s="281"/>
      <c r="D271" s="289"/>
      <c r="E271" s="290"/>
      <c r="F271" s="290"/>
      <c r="G271" s="290"/>
      <c r="H271" s="290"/>
      <c r="I271" s="290"/>
      <c r="J271" s="290"/>
      <c r="K271" s="290"/>
      <c r="L271" s="303"/>
    </row>
    <row r="272" spans="2:12" ht="14.25" customHeight="1" x14ac:dyDescent="0.2">
      <c r="B272" s="280"/>
      <c r="C272" s="281"/>
      <c r="D272" s="289"/>
      <c r="E272" s="290"/>
      <c r="F272" s="290"/>
      <c r="G272" s="290"/>
      <c r="H272" s="290"/>
      <c r="I272" s="290"/>
      <c r="J272" s="290"/>
      <c r="K272" s="290"/>
      <c r="L272" s="303"/>
    </row>
    <row r="273" spans="2:12" ht="14.25" customHeight="1" x14ac:dyDescent="0.2">
      <c r="B273" s="280"/>
      <c r="C273" s="281"/>
      <c r="D273" s="289"/>
      <c r="E273" s="290"/>
      <c r="F273" s="290"/>
      <c r="G273" s="290"/>
      <c r="H273" s="290"/>
      <c r="I273" s="290"/>
      <c r="J273" s="290"/>
      <c r="K273" s="290"/>
      <c r="L273" s="303"/>
    </row>
    <row r="274" spans="2:12" ht="14.25" customHeight="1" x14ac:dyDescent="0.2">
      <c r="B274" s="280"/>
      <c r="C274" s="281"/>
      <c r="D274" s="289"/>
      <c r="E274" s="290"/>
      <c r="F274" s="290"/>
      <c r="G274" s="290"/>
      <c r="H274" s="290"/>
      <c r="I274" s="290"/>
      <c r="J274" s="290"/>
      <c r="K274" s="290"/>
      <c r="L274" s="303"/>
    </row>
    <row r="275" spans="2:12" ht="14.25" customHeight="1" x14ac:dyDescent="0.2">
      <c r="B275" s="280"/>
      <c r="C275" s="281"/>
      <c r="D275" s="289"/>
      <c r="E275" s="290"/>
      <c r="F275" s="290"/>
      <c r="G275" s="290"/>
      <c r="H275" s="290"/>
      <c r="I275" s="290"/>
      <c r="J275" s="290"/>
      <c r="K275" s="290"/>
      <c r="L275" s="303"/>
    </row>
    <row r="276" spans="2:12" ht="14.25" customHeight="1" x14ac:dyDescent="0.2">
      <c r="B276" s="280"/>
      <c r="C276" s="281"/>
      <c r="D276" s="289"/>
      <c r="E276" s="290"/>
      <c r="F276" s="290"/>
      <c r="G276" s="290"/>
      <c r="H276" s="290"/>
      <c r="I276" s="290"/>
      <c r="J276" s="290"/>
      <c r="K276" s="290"/>
      <c r="L276" s="303"/>
    </row>
    <row r="277" spans="2:12" ht="14.25" customHeight="1" x14ac:dyDescent="0.2">
      <c r="B277" s="280"/>
      <c r="C277" s="281"/>
      <c r="D277" s="289"/>
      <c r="E277" s="290"/>
      <c r="F277" s="290"/>
      <c r="G277" s="290"/>
      <c r="H277" s="290"/>
      <c r="I277" s="290"/>
      <c r="J277" s="290"/>
      <c r="K277" s="290"/>
      <c r="L277" s="303"/>
    </row>
    <row r="278" spans="2:12" ht="14.25" customHeight="1" x14ac:dyDescent="0.2">
      <c r="B278" s="280"/>
      <c r="C278" s="281"/>
      <c r="D278" s="289"/>
      <c r="E278" s="290"/>
      <c r="F278" s="290"/>
      <c r="G278" s="290"/>
      <c r="H278" s="290"/>
      <c r="I278" s="290"/>
      <c r="J278" s="290"/>
      <c r="K278" s="290"/>
      <c r="L278" s="303"/>
    </row>
    <row r="279" spans="2:12" ht="14.25" customHeight="1" x14ac:dyDescent="0.2">
      <c r="B279" s="280"/>
      <c r="C279" s="281"/>
      <c r="D279" s="289"/>
      <c r="E279" s="290"/>
      <c r="F279" s="290"/>
      <c r="G279" s="290"/>
      <c r="H279" s="290"/>
      <c r="I279" s="290"/>
      <c r="J279" s="290"/>
      <c r="K279" s="290"/>
      <c r="L279" s="303"/>
    </row>
    <row r="280" spans="2:12" ht="14.25" customHeight="1" x14ac:dyDescent="0.2">
      <c r="B280" s="282"/>
      <c r="C280" s="284"/>
      <c r="D280" s="334"/>
      <c r="E280" s="320"/>
      <c r="F280" s="320"/>
      <c r="G280" s="320"/>
      <c r="H280" s="320"/>
      <c r="I280" s="320"/>
      <c r="J280" s="320"/>
      <c r="K280" s="320"/>
      <c r="L280" s="321"/>
    </row>
    <row r="281" spans="2:12" ht="15" x14ac:dyDescent="0.2">
      <c r="B281" s="6"/>
      <c r="C281" s="6"/>
      <c r="D281" s="6"/>
      <c r="E281" s="6"/>
      <c r="F281" s="6"/>
      <c r="G281" s="6"/>
      <c r="H281" s="6"/>
      <c r="I281" s="6"/>
      <c r="J281" s="6"/>
      <c r="K281" s="6"/>
      <c r="L281" s="6"/>
    </row>
    <row r="282" spans="2:12" ht="15" x14ac:dyDescent="0.2">
      <c r="B282" s="277" t="s">
        <v>459</v>
      </c>
      <c r="C282" s="278"/>
      <c r="D282" s="354">
        <v>89.37</v>
      </c>
      <c r="E282" s="355"/>
      <c r="F282" s="6"/>
      <c r="G282" s="6"/>
      <c r="H282" s="6"/>
      <c r="I282" s="6"/>
      <c r="J282" s="6"/>
      <c r="K282" s="6"/>
      <c r="L282" s="6"/>
    </row>
    <row r="283" spans="2:12" ht="15" x14ac:dyDescent="0.2">
      <c r="B283" s="280" t="s">
        <v>460</v>
      </c>
      <c r="C283" s="267"/>
      <c r="D283" s="356">
        <v>97.96</v>
      </c>
      <c r="E283" s="357"/>
      <c r="F283" s="6"/>
      <c r="G283" s="6"/>
      <c r="H283" s="6"/>
      <c r="I283" s="6"/>
      <c r="J283" s="6"/>
      <c r="K283" s="6"/>
      <c r="L283" s="6"/>
    </row>
    <row r="284" spans="2:12" ht="15" x14ac:dyDescent="0.2">
      <c r="B284" s="280" t="s">
        <v>461</v>
      </c>
      <c r="C284" s="267"/>
      <c r="D284" s="358" t="s">
        <v>462</v>
      </c>
      <c r="E284" s="357"/>
      <c r="F284" s="6"/>
      <c r="G284" s="6"/>
      <c r="H284" s="6"/>
      <c r="I284" s="6"/>
      <c r="J284" s="6"/>
      <c r="K284" s="6"/>
      <c r="L284" s="6"/>
    </row>
    <row r="285" spans="2:12" ht="15" x14ac:dyDescent="0.2">
      <c r="B285" s="282" t="s">
        <v>463</v>
      </c>
      <c r="C285" s="283"/>
      <c r="D285" s="233" t="s">
        <v>464</v>
      </c>
      <c r="E285" s="234">
        <f>D283/D282-1</f>
        <v>9.6117265301555177E-2</v>
      </c>
      <c r="F285" s="6"/>
      <c r="G285" s="6"/>
      <c r="H285" s="6"/>
      <c r="I285" s="6"/>
      <c r="J285" s="6"/>
      <c r="K285" s="6"/>
      <c r="L285" s="6"/>
    </row>
  </sheetData>
  <scenarios current="2" sqref="G42">
    <scenario name="Bear WACC" locked="1" count="1" user="赵子航">
      <inputCells r="F30" val="0.145"/>
    </scenario>
    <scenario name="Bear Growth" locked="1" count="1" user="赵子航">
      <inputCells r="F31" val="0.095" numFmtId="10"/>
    </scenario>
    <scenario name="Bear Revenue Growth" locked="1" count="1" user="赵子航">
      <inputCells r="M13" val="0.14" numFmtId="9"/>
    </scenario>
  </scenarios>
  <mergeCells count="107">
    <mergeCell ref="B214:L216"/>
    <mergeCell ref="C218:L223"/>
    <mergeCell ref="G141:L141"/>
    <mergeCell ref="E142:E155"/>
    <mergeCell ref="E158:L158"/>
    <mergeCell ref="E105:L105"/>
    <mergeCell ref="G106:L106"/>
    <mergeCell ref="G159:L159"/>
    <mergeCell ref="E160:E173"/>
    <mergeCell ref="E107:E120"/>
    <mergeCell ref="B218:B223"/>
    <mergeCell ref="E38:F38"/>
    <mergeCell ref="B51:C51"/>
    <mergeCell ref="B224:B229"/>
    <mergeCell ref="C224:L229"/>
    <mergeCell ref="G195:L195"/>
    <mergeCell ref="E196:E209"/>
    <mergeCell ref="E176:L176"/>
    <mergeCell ref="G177:L177"/>
    <mergeCell ref="E178:E191"/>
    <mergeCell ref="E194:L194"/>
    <mergeCell ref="E62:K62"/>
    <mergeCell ref="E66:F66"/>
    <mergeCell ref="E67:F67"/>
    <mergeCell ref="E68:F68"/>
    <mergeCell ref="E69:F69"/>
    <mergeCell ref="E70:F70"/>
    <mergeCell ref="E71:F71"/>
    <mergeCell ref="E63:F63"/>
    <mergeCell ref="E64:F64"/>
    <mergeCell ref="E65:F65"/>
    <mergeCell ref="B105:D120"/>
    <mergeCell ref="B122:D137"/>
    <mergeCell ref="B140:D155"/>
    <mergeCell ref="B158:D173"/>
    <mergeCell ref="E78:G78"/>
    <mergeCell ref="B87:D102"/>
    <mergeCell ref="E61:K61"/>
    <mergeCell ref="P1:U1"/>
    <mergeCell ref="E51:F51"/>
    <mergeCell ref="E39:F39"/>
    <mergeCell ref="E40:F40"/>
    <mergeCell ref="E41:F41"/>
    <mergeCell ref="E42:F42"/>
    <mergeCell ref="E45:F45"/>
    <mergeCell ref="E44:L44"/>
    <mergeCell ref="E36:F36"/>
    <mergeCell ref="E37:F37"/>
    <mergeCell ref="E46:F46"/>
    <mergeCell ref="E47:F47"/>
    <mergeCell ref="E48:F48"/>
    <mergeCell ref="B1:L1"/>
    <mergeCell ref="E52:F52"/>
    <mergeCell ref="B29:C29"/>
    <mergeCell ref="B43:C43"/>
    <mergeCell ref="E29:L29"/>
    <mergeCell ref="E34:F34"/>
    <mergeCell ref="B48:C48"/>
    <mergeCell ref="E35:F35"/>
    <mergeCell ref="F264:J264"/>
    <mergeCell ref="B265:E265"/>
    <mergeCell ref="E53:F53"/>
    <mergeCell ref="E54:F54"/>
    <mergeCell ref="E55:F55"/>
    <mergeCell ref="E56:F56"/>
    <mergeCell ref="E57:F57"/>
    <mergeCell ref="E58:F58"/>
    <mergeCell ref="F265:J265"/>
    <mergeCell ref="B256:L260"/>
    <mergeCell ref="G123:L123"/>
    <mergeCell ref="E124:E137"/>
    <mergeCell ref="E140:L140"/>
    <mergeCell ref="E80:G80"/>
    <mergeCell ref="E81:G81"/>
    <mergeCell ref="E82:G82"/>
    <mergeCell ref="E75:K75"/>
    <mergeCell ref="E79:G79"/>
    <mergeCell ref="E84:K84"/>
    <mergeCell ref="E89:E102"/>
    <mergeCell ref="G88:L88"/>
    <mergeCell ref="E87:L87"/>
    <mergeCell ref="E122:L122"/>
    <mergeCell ref="E77:G77"/>
    <mergeCell ref="M12:N12"/>
    <mergeCell ref="M13:N13"/>
    <mergeCell ref="B285:C285"/>
    <mergeCell ref="B194:D209"/>
    <mergeCell ref="B176:D191"/>
    <mergeCell ref="B282:C282"/>
    <mergeCell ref="B283:C283"/>
    <mergeCell ref="B284:C284"/>
    <mergeCell ref="D282:E282"/>
    <mergeCell ref="D283:E283"/>
    <mergeCell ref="D284:E284"/>
    <mergeCell ref="B266:E266"/>
    <mergeCell ref="B249:D249"/>
    <mergeCell ref="B230:B234"/>
    <mergeCell ref="C230:L234"/>
    <mergeCell ref="B235:B240"/>
    <mergeCell ref="C235:L240"/>
    <mergeCell ref="B241:B246"/>
    <mergeCell ref="C241:L246"/>
    <mergeCell ref="F266:J266"/>
    <mergeCell ref="D268:L280"/>
    <mergeCell ref="B268:C280"/>
    <mergeCell ref="B263:L263"/>
    <mergeCell ref="B264:E264"/>
  </mergeCells>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CFA86-D017-46F9-BD72-DE5DCD22463C}">
  <dimension ref="A2:AI166"/>
  <sheetViews>
    <sheetView showGridLines="0" workbookViewId="0">
      <selection activeCell="AB155" sqref="AB155"/>
    </sheetView>
  </sheetViews>
  <sheetFormatPr defaultRowHeight="14.25" x14ac:dyDescent="0.2"/>
  <cols>
    <col min="23" max="23" width="9" customWidth="1"/>
    <col min="28" max="32" width="16.875" customWidth="1"/>
    <col min="33" max="34" width="17.125" customWidth="1"/>
  </cols>
  <sheetData>
    <row r="2" spans="1:35" ht="15" x14ac:dyDescent="0.2">
      <c r="A2" s="166"/>
      <c r="B2" s="336" t="s">
        <v>483</v>
      </c>
      <c r="C2" s="327"/>
      <c r="D2" s="327"/>
      <c r="E2" s="327"/>
      <c r="F2" s="327"/>
      <c r="G2" s="327"/>
      <c r="H2" s="327"/>
      <c r="I2" s="327"/>
      <c r="J2" s="327"/>
      <c r="K2" s="327"/>
      <c r="L2" s="328"/>
      <c r="N2" s="336" t="s">
        <v>404</v>
      </c>
      <c r="O2" s="327"/>
      <c r="P2" s="327"/>
      <c r="Q2" s="327"/>
      <c r="R2" s="327"/>
      <c r="S2" s="327"/>
      <c r="T2" s="327"/>
      <c r="U2" s="327"/>
      <c r="V2" s="327"/>
      <c r="W2" s="327"/>
      <c r="X2" s="327"/>
      <c r="Y2" s="327"/>
      <c r="Z2" s="328"/>
      <c r="AB2" s="277" t="s">
        <v>474</v>
      </c>
      <c r="AC2" s="278"/>
      <c r="AD2" s="278"/>
      <c r="AE2" s="278"/>
      <c r="AF2" s="278"/>
      <c r="AG2" s="278"/>
      <c r="AH2" s="278"/>
      <c r="AI2" s="279"/>
    </row>
    <row r="3" spans="1:35" ht="15" x14ac:dyDescent="0.2">
      <c r="B3" s="196"/>
      <c r="L3" s="220"/>
      <c r="N3" s="351" t="s">
        <v>306</v>
      </c>
      <c r="O3" s="269"/>
      <c r="P3" s="269"/>
      <c r="Q3" s="269"/>
      <c r="R3" s="269"/>
      <c r="S3" s="269"/>
      <c r="T3" s="269"/>
      <c r="U3" s="269"/>
      <c r="V3" s="270"/>
      <c r="W3" s="6"/>
      <c r="X3" s="6"/>
      <c r="Y3" s="6"/>
      <c r="Z3" s="7"/>
      <c r="AB3" s="17"/>
      <c r="AC3" s="180"/>
      <c r="AD3" s="6"/>
      <c r="AE3" s="6"/>
      <c r="AF3" s="6"/>
      <c r="AG3" s="6"/>
      <c r="AH3" s="6"/>
      <c r="AI3" s="7"/>
    </row>
    <row r="4" spans="1:35" ht="15" x14ac:dyDescent="0.2">
      <c r="B4" s="351" t="s">
        <v>376</v>
      </c>
      <c r="C4" s="269"/>
      <c r="D4" s="269"/>
      <c r="E4" s="269"/>
      <c r="F4" s="269"/>
      <c r="G4" s="269"/>
      <c r="H4" s="269"/>
      <c r="I4" s="270"/>
      <c r="L4" s="220"/>
      <c r="N4" s="17"/>
      <c r="O4" s="6"/>
      <c r="P4" s="6"/>
      <c r="Q4" s="6"/>
      <c r="R4" s="6"/>
      <c r="S4" s="6"/>
      <c r="T4" s="6"/>
      <c r="U4" s="6"/>
      <c r="V4" s="7"/>
      <c r="W4" s="6"/>
      <c r="X4" s="6"/>
      <c r="Y4" s="6"/>
      <c r="Z4" s="7"/>
      <c r="AB4" s="17"/>
      <c r="AC4" s="399" t="s">
        <v>475</v>
      </c>
      <c r="AD4" s="399"/>
      <c r="AE4" s="272" t="s">
        <v>476</v>
      </c>
      <c r="AF4" s="272"/>
      <c r="AG4" s="272" t="s">
        <v>477</v>
      </c>
      <c r="AH4" s="272"/>
      <c r="AI4" s="7"/>
    </row>
    <row r="5" spans="1:35" ht="15" x14ac:dyDescent="0.2">
      <c r="B5" s="17"/>
      <c r="C5" s="6"/>
      <c r="D5" s="287" t="s">
        <v>365</v>
      </c>
      <c r="E5" s="287"/>
      <c r="F5" s="287"/>
      <c r="G5" s="287"/>
      <c r="H5" s="287"/>
      <c r="I5" s="287"/>
      <c r="L5" s="220"/>
      <c r="N5" s="271" t="s">
        <v>405</v>
      </c>
      <c r="O5" s="272"/>
      <c r="P5" s="272"/>
      <c r="Q5" s="272" t="s">
        <v>406</v>
      </c>
      <c r="R5" s="272"/>
      <c r="S5" s="272"/>
      <c r="T5" s="272" t="s">
        <v>407</v>
      </c>
      <c r="U5" s="272"/>
      <c r="V5" s="273"/>
      <c r="W5" s="6"/>
      <c r="X5" s="6"/>
      <c r="Y5" s="6"/>
      <c r="Z5" s="7"/>
      <c r="AB5" s="17" t="s">
        <v>478</v>
      </c>
      <c r="AC5" s="399">
        <v>9.5000000000000001E-2</v>
      </c>
      <c r="AD5" s="272"/>
      <c r="AE5" s="397">
        <v>0.1</v>
      </c>
      <c r="AF5" s="272"/>
      <c r="AG5" s="399">
        <v>0.105</v>
      </c>
      <c r="AH5" s="272"/>
      <c r="AI5" s="7"/>
    </row>
    <row r="6" spans="1:35" ht="15" x14ac:dyDescent="0.2">
      <c r="B6" s="287" t="s">
        <v>344</v>
      </c>
      <c r="C6" s="197">
        <v>13.56</v>
      </c>
      <c r="D6" s="198">
        <v>700</v>
      </c>
      <c r="E6" s="199">
        <v>1264</v>
      </c>
      <c r="F6" s="198">
        <v>1700</v>
      </c>
      <c r="G6" s="198">
        <v>2200</v>
      </c>
      <c r="H6" s="198">
        <v>2700</v>
      </c>
      <c r="I6" s="198">
        <v>3200</v>
      </c>
      <c r="L6" s="220"/>
      <c r="N6" s="271" t="s">
        <v>408</v>
      </c>
      <c r="O6" s="272"/>
      <c r="P6" s="272"/>
      <c r="Q6" s="272" t="s">
        <v>411</v>
      </c>
      <c r="R6" s="272"/>
      <c r="S6" s="272"/>
      <c r="T6" s="272" t="s">
        <v>412</v>
      </c>
      <c r="U6" s="272"/>
      <c r="V6" s="273"/>
      <c r="W6" s="6"/>
      <c r="X6" s="6"/>
      <c r="Y6" s="6"/>
      <c r="Z6" s="7"/>
      <c r="AB6" s="17" t="s">
        <v>302</v>
      </c>
      <c r="AC6" s="399">
        <v>0.14499999999999999</v>
      </c>
      <c r="AD6" s="272"/>
      <c r="AE6" s="399">
        <v>0.1404</v>
      </c>
      <c r="AF6" s="272"/>
      <c r="AG6" s="399">
        <v>0.13500000000000001</v>
      </c>
      <c r="AH6" s="272"/>
      <c r="AI6" s="7"/>
    </row>
    <row r="7" spans="1:35" ht="15" x14ac:dyDescent="0.2">
      <c r="B7" s="287"/>
      <c r="C7" s="198">
        <v>10</v>
      </c>
      <c r="D7" s="198">
        <v>6.4507240226695135</v>
      </c>
      <c r="E7" s="198">
        <v>9.953042417726893</v>
      </c>
      <c r="F7" s="198">
        <v>12.660508411069122</v>
      </c>
      <c r="G7" s="198">
        <v>15.765400605268926</v>
      </c>
      <c r="H7" s="198">
        <v>18.870292799468732</v>
      </c>
      <c r="I7" s="198">
        <v>21.975184993668535</v>
      </c>
      <c r="L7" s="220"/>
      <c r="N7" s="271" t="s">
        <v>409</v>
      </c>
      <c r="O7" s="272"/>
      <c r="P7" s="272"/>
      <c r="Q7" s="272" t="s">
        <v>411</v>
      </c>
      <c r="R7" s="272"/>
      <c r="S7" s="272"/>
      <c r="T7" s="272" t="s">
        <v>413</v>
      </c>
      <c r="U7" s="272"/>
      <c r="V7" s="273"/>
      <c r="W7" s="6"/>
      <c r="X7" s="6"/>
      <c r="Y7" s="6"/>
      <c r="Z7" s="7"/>
      <c r="AB7" s="173" t="s">
        <v>486</v>
      </c>
      <c r="AC7" s="397">
        <v>0.14000000000000001</v>
      </c>
      <c r="AD7" s="397"/>
      <c r="AE7" s="400">
        <v>0.15</v>
      </c>
      <c r="AF7" s="400"/>
      <c r="AG7" s="400">
        <v>0.16</v>
      </c>
      <c r="AH7" s="400"/>
      <c r="AI7" s="13"/>
    </row>
    <row r="8" spans="1:35" ht="15" x14ac:dyDescent="0.2">
      <c r="B8" s="287"/>
      <c r="C8" s="199">
        <v>14.59</v>
      </c>
      <c r="D8" s="198">
        <v>8.4459277466623082</v>
      </c>
      <c r="E8" s="199">
        <v>13.555810285051024</v>
      </c>
      <c r="F8" s="198">
        <v>17.506003169337337</v>
      </c>
      <c r="G8" s="198">
        <v>22.03604088067485</v>
      </c>
      <c r="H8" s="198">
        <v>26.566078592012367</v>
      </c>
      <c r="I8" s="198">
        <v>31.096116303349881</v>
      </c>
      <c r="L8" s="220"/>
      <c r="N8" s="271" t="s">
        <v>265</v>
      </c>
      <c r="O8" s="272"/>
      <c r="P8" s="272"/>
      <c r="Q8" s="272" t="s">
        <v>411</v>
      </c>
      <c r="R8" s="272"/>
      <c r="S8" s="272"/>
      <c r="T8" s="399" t="s">
        <v>415</v>
      </c>
      <c r="U8" s="272"/>
      <c r="V8" s="273"/>
      <c r="W8" s="6"/>
      <c r="X8" s="6"/>
      <c r="Y8" s="6"/>
      <c r="Z8" s="7"/>
      <c r="AB8" s="173" t="s">
        <v>310</v>
      </c>
      <c r="AC8" s="398">
        <f>AE63</f>
        <v>63.571681190330999</v>
      </c>
      <c r="AD8" s="272"/>
      <c r="AE8" s="398">
        <v>97.96</v>
      </c>
      <c r="AF8" s="272"/>
      <c r="AG8" s="398">
        <f>AE51</f>
        <v>159.12427614732599</v>
      </c>
      <c r="AH8" s="272"/>
      <c r="AI8" s="7"/>
    </row>
    <row r="9" spans="1:35" ht="15" x14ac:dyDescent="0.2">
      <c r="B9" s="287"/>
      <c r="C9" s="198">
        <v>20</v>
      </c>
      <c r="D9" s="198">
        <v>10.797573094549239</v>
      </c>
      <c r="E9" s="198">
        <v>17.802209884663998</v>
      </c>
      <c r="F9" s="198">
        <v>23.217141871348456</v>
      </c>
      <c r="G9" s="198">
        <v>29.426926259748065</v>
      </c>
      <c r="H9" s="198">
        <v>35.636710648147677</v>
      </c>
      <c r="I9" s="198">
        <v>41.846495036547282</v>
      </c>
      <c r="L9" s="220"/>
      <c r="N9" s="271" t="s">
        <v>316</v>
      </c>
      <c r="O9" s="272"/>
      <c r="P9" s="272"/>
      <c r="Q9" s="272" t="s">
        <v>411</v>
      </c>
      <c r="R9" s="272"/>
      <c r="S9" s="272"/>
      <c r="T9" s="272" t="s">
        <v>414</v>
      </c>
      <c r="U9" s="272"/>
      <c r="V9" s="273"/>
      <c r="W9" s="6"/>
      <c r="X9" s="6"/>
      <c r="Y9" s="6"/>
      <c r="Z9" s="7"/>
      <c r="AB9" s="173" t="s">
        <v>479</v>
      </c>
      <c r="AC9" s="402" t="s">
        <v>481</v>
      </c>
      <c r="AD9" s="272"/>
      <c r="AE9" s="401">
        <f>AE8/AC13-1</f>
        <v>9.6117265301555177E-2</v>
      </c>
      <c r="AF9" s="401"/>
      <c r="AG9" s="401">
        <f>AG8/AC13-1</f>
        <v>0.78051109038073152</v>
      </c>
      <c r="AH9" s="401"/>
      <c r="AI9" s="13"/>
    </row>
    <row r="10" spans="1:35" ht="15" x14ac:dyDescent="0.2">
      <c r="B10" s="287"/>
      <c r="C10" s="198">
        <v>25</v>
      </c>
      <c r="D10" s="198">
        <v>12.970997630489103</v>
      </c>
      <c r="E10" s="198">
        <v>21.72679361813255</v>
      </c>
      <c r="F10" s="198">
        <v>28.495458601488124</v>
      </c>
      <c r="G10" s="198">
        <v>36.257689086987632</v>
      </c>
      <c r="H10" s="198">
        <v>44.019919572487147</v>
      </c>
      <c r="I10" s="198">
        <v>51.782150057986655</v>
      </c>
      <c r="L10" s="220"/>
      <c r="N10" s="271" t="s">
        <v>410</v>
      </c>
      <c r="O10" s="272"/>
      <c r="P10" s="272"/>
      <c r="Q10" s="272" t="s">
        <v>416</v>
      </c>
      <c r="R10" s="272"/>
      <c r="S10" s="272"/>
      <c r="T10" s="272" t="s">
        <v>448</v>
      </c>
      <c r="U10" s="272"/>
      <c r="V10" s="273"/>
      <c r="W10" s="6"/>
      <c r="X10" s="6"/>
      <c r="Y10" s="6"/>
      <c r="Z10" s="7"/>
      <c r="AB10" s="173" t="s">
        <v>480</v>
      </c>
      <c r="AC10" s="401">
        <f>AC8/AC13-1</f>
        <v>-0.28866866744622366</v>
      </c>
      <c r="AD10" s="401"/>
      <c r="AE10" s="402" t="s">
        <v>481</v>
      </c>
      <c r="AF10" s="272"/>
      <c r="AG10" s="402" t="s">
        <v>481</v>
      </c>
      <c r="AH10" s="272"/>
      <c r="AI10" s="7"/>
    </row>
    <row r="11" spans="1:35" ht="15" x14ac:dyDescent="0.2">
      <c r="B11" s="287"/>
      <c r="C11" s="198">
        <v>30</v>
      </c>
      <c r="D11" s="198">
        <v>15.144422166428965</v>
      </c>
      <c r="E11" s="198">
        <v>25.651377351601106</v>
      </c>
      <c r="F11" s="198">
        <v>33.773775331627789</v>
      </c>
      <c r="G11" s="198">
        <v>43.088451914227207</v>
      </c>
      <c r="H11" s="198">
        <v>52.403128496826618</v>
      </c>
      <c r="I11" s="198">
        <v>61.717805079426029</v>
      </c>
      <c r="L11" s="220"/>
      <c r="N11" s="274" t="s">
        <v>310</v>
      </c>
      <c r="O11" s="275"/>
      <c r="P11" s="275"/>
      <c r="Q11" s="275" t="s">
        <v>123</v>
      </c>
      <c r="R11" s="275"/>
      <c r="S11" s="275"/>
      <c r="T11" s="275" t="s">
        <v>417</v>
      </c>
      <c r="U11" s="275"/>
      <c r="V11" s="276"/>
      <c r="W11" s="6"/>
      <c r="X11" s="6"/>
      <c r="Y11" s="6"/>
      <c r="Z11" s="7"/>
      <c r="AB11" s="173"/>
      <c r="AC11" s="165"/>
      <c r="AD11" s="6"/>
      <c r="AE11" s="6"/>
      <c r="AF11" s="6"/>
      <c r="AG11" s="6"/>
      <c r="AH11" s="6"/>
      <c r="AI11" s="7"/>
    </row>
    <row r="12" spans="1:35" ht="15" x14ac:dyDescent="0.2">
      <c r="B12" s="287"/>
      <c r="C12" s="198">
        <v>35</v>
      </c>
      <c r="D12" s="198">
        <v>17.317846702368829</v>
      </c>
      <c r="E12" s="219">
        <v>29.575961085069657</v>
      </c>
      <c r="F12" s="219">
        <v>39.052092061767461</v>
      </c>
      <c r="G12" s="198">
        <v>49.919214741466774</v>
      </c>
      <c r="H12" s="264">
        <v>60.786337421166088</v>
      </c>
      <c r="I12" s="264">
        <v>71.653460100865402</v>
      </c>
      <c r="L12" s="220"/>
      <c r="N12" s="17"/>
      <c r="O12" s="6"/>
      <c r="P12" s="6"/>
      <c r="Q12" s="6"/>
      <c r="R12" s="6"/>
      <c r="S12" s="6"/>
      <c r="T12" s="6"/>
      <c r="U12" s="6"/>
      <c r="V12" s="6"/>
      <c r="W12" s="6"/>
      <c r="X12" s="6"/>
      <c r="Y12" s="6"/>
      <c r="Z12" s="7"/>
      <c r="AB12" s="173"/>
      <c r="AC12" s="165"/>
      <c r="AD12" s="6"/>
      <c r="AE12" s="6"/>
      <c r="AF12" s="6"/>
      <c r="AG12" s="6"/>
      <c r="AH12" s="6"/>
      <c r="AI12" s="7"/>
    </row>
    <row r="13" spans="1:35" ht="15" x14ac:dyDescent="0.2">
      <c r="B13" s="287"/>
      <c r="C13" s="198">
        <v>40</v>
      </c>
      <c r="D13" s="198">
        <v>19.491271238308691</v>
      </c>
      <c r="E13" s="219">
        <v>33.500544818538209</v>
      </c>
      <c r="F13" s="219">
        <v>44.330408791907125</v>
      </c>
      <c r="G13" s="198">
        <v>56.749977568706342</v>
      </c>
      <c r="H13" s="264">
        <v>69.169546345505566</v>
      </c>
      <c r="I13" s="264">
        <v>81.589115122304776</v>
      </c>
      <c r="L13" s="220"/>
      <c r="N13" s="17"/>
      <c r="O13" s="6"/>
      <c r="P13" s="6"/>
      <c r="Q13" s="6"/>
      <c r="R13" s="6"/>
      <c r="S13" s="6"/>
      <c r="T13" s="6"/>
      <c r="U13" s="6"/>
      <c r="V13" s="6"/>
      <c r="W13" s="6"/>
      <c r="X13" s="6"/>
      <c r="Y13" s="6"/>
      <c r="Z13" s="7"/>
      <c r="AB13" s="173" t="s">
        <v>482</v>
      </c>
      <c r="AC13" s="398">
        <v>89.37</v>
      </c>
      <c r="AD13" s="272"/>
      <c r="AE13" s="6"/>
      <c r="AF13" s="6"/>
      <c r="AG13" s="6"/>
      <c r="AH13" s="6"/>
      <c r="AI13" s="7"/>
    </row>
    <row r="14" spans="1:35" ht="15" x14ac:dyDescent="0.2">
      <c r="B14" s="287"/>
      <c r="C14" s="198">
        <v>45</v>
      </c>
      <c r="D14" s="198">
        <v>21.664695774248557</v>
      </c>
      <c r="E14" s="198">
        <v>37.425128552006761</v>
      </c>
      <c r="F14" s="198">
        <v>49.608725522046797</v>
      </c>
      <c r="G14" s="198">
        <v>63.580740395945917</v>
      </c>
      <c r="H14" s="198">
        <v>77.552755269845036</v>
      </c>
      <c r="I14" s="198">
        <v>91.524770143744149</v>
      </c>
      <c r="L14" s="220"/>
      <c r="N14" s="17"/>
      <c r="O14" s="6"/>
      <c r="P14" s="6"/>
      <c r="Q14" s="6"/>
      <c r="R14" s="6"/>
      <c r="S14" s="6"/>
      <c r="T14" s="6"/>
      <c r="U14" s="6"/>
      <c r="V14" s="6"/>
      <c r="W14" s="6"/>
      <c r="X14" s="6"/>
      <c r="Y14" s="6"/>
      <c r="Z14" s="7"/>
      <c r="AB14" s="347"/>
      <c r="AC14" s="292"/>
      <c r="AD14" s="12"/>
      <c r="AE14" s="6"/>
      <c r="AF14" s="6"/>
      <c r="AG14" s="6"/>
      <c r="AH14" s="6"/>
      <c r="AI14" s="7"/>
    </row>
    <row r="15" spans="1:35" ht="15" x14ac:dyDescent="0.2">
      <c r="B15" s="287"/>
      <c r="C15" s="198">
        <v>50</v>
      </c>
      <c r="D15" s="198">
        <v>23.838120310188419</v>
      </c>
      <c r="E15" s="198">
        <v>41.349712285475313</v>
      </c>
      <c r="F15" s="198">
        <v>54.887042252186461</v>
      </c>
      <c r="G15" s="198">
        <v>70.411503223185477</v>
      </c>
      <c r="H15" s="198">
        <v>85.935964194184507</v>
      </c>
      <c r="I15" s="198">
        <v>101.46042516518352</v>
      </c>
      <c r="L15" s="220"/>
      <c r="N15" s="17"/>
      <c r="O15" s="6"/>
      <c r="P15" s="6"/>
      <c r="Q15" s="6"/>
      <c r="R15" s="6"/>
      <c r="S15" s="6"/>
      <c r="T15" s="6"/>
      <c r="U15" s="6"/>
      <c r="V15" s="6"/>
      <c r="W15" s="6"/>
      <c r="X15" s="6"/>
      <c r="Y15" s="6"/>
      <c r="Z15" s="7"/>
      <c r="AB15" s="363"/>
      <c r="AC15" s="364"/>
      <c r="AD15" s="183"/>
      <c r="AE15" s="87"/>
      <c r="AF15" s="87"/>
      <c r="AG15" s="87"/>
      <c r="AH15" s="87"/>
      <c r="AI15" s="88"/>
    </row>
    <row r="16" spans="1:35" ht="15" x14ac:dyDescent="0.2">
      <c r="B16" s="287"/>
      <c r="C16" s="198">
        <v>55</v>
      </c>
      <c r="D16" s="198">
        <v>26.011544846128281</v>
      </c>
      <c r="E16" s="198">
        <v>45.274296018943865</v>
      </c>
      <c r="F16" s="198">
        <v>60.165358982326133</v>
      </c>
      <c r="G16" s="198">
        <v>77.242266050425059</v>
      </c>
      <c r="H16" s="198">
        <v>94.319173118523977</v>
      </c>
      <c r="I16" s="198">
        <v>111.3960801866229</v>
      </c>
      <c r="L16" s="220"/>
      <c r="N16" s="17"/>
      <c r="O16" s="6"/>
      <c r="P16" s="6"/>
      <c r="Q16" s="6"/>
      <c r="R16" s="6"/>
      <c r="S16" s="6"/>
      <c r="T16" s="6"/>
      <c r="U16" s="6"/>
      <c r="V16" s="6"/>
      <c r="W16" s="6"/>
      <c r="X16" s="6"/>
      <c r="Y16" s="6"/>
      <c r="Z16" s="7"/>
      <c r="AB16" s="6"/>
      <c r="AC16" s="6"/>
      <c r="AD16" s="6"/>
      <c r="AE16" s="6"/>
      <c r="AF16" s="6"/>
      <c r="AG16" s="6"/>
      <c r="AH16" s="6"/>
      <c r="AI16" s="6"/>
    </row>
    <row r="17" spans="2:35" ht="15" x14ac:dyDescent="0.2">
      <c r="B17" s="287"/>
      <c r="C17" s="198">
        <v>60</v>
      </c>
      <c r="D17" s="198">
        <v>28.184969382068143</v>
      </c>
      <c r="E17" s="198">
        <v>49.198879752412424</v>
      </c>
      <c r="F17" s="198">
        <v>65.44367571246579</v>
      </c>
      <c r="G17" s="198">
        <v>84.073028877664626</v>
      </c>
      <c r="H17" s="198">
        <v>102.70238204286345</v>
      </c>
      <c r="I17" s="198">
        <v>121.33173520806227</v>
      </c>
      <c r="L17" s="220"/>
      <c r="N17" s="17"/>
      <c r="O17" s="6"/>
      <c r="P17" s="6"/>
      <c r="Q17" s="6"/>
      <c r="R17" s="6"/>
      <c r="S17" s="6"/>
      <c r="T17" s="6"/>
      <c r="U17" s="6"/>
      <c r="V17" s="6"/>
      <c r="W17" s="6"/>
      <c r="X17" s="6"/>
      <c r="Y17" s="6"/>
      <c r="Z17" s="7"/>
      <c r="AB17" s="6"/>
      <c r="AC17" s="6"/>
      <c r="AD17" s="6"/>
      <c r="AE17" s="6"/>
      <c r="AF17" s="6"/>
      <c r="AG17" s="6"/>
      <c r="AH17" s="6"/>
      <c r="AI17" s="6"/>
    </row>
    <row r="18" spans="2:35" ht="15" x14ac:dyDescent="0.2">
      <c r="B18" s="287"/>
      <c r="C18" s="198">
        <v>65</v>
      </c>
      <c r="D18" s="198">
        <v>30.358393918008009</v>
      </c>
      <c r="E18" s="198">
        <v>53.123463485880976</v>
      </c>
      <c r="F18" s="198">
        <v>70.721992442605469</v>
      </c>
      <c r="G18" s="198">
        <v>90.903791704904194</v>
      </c>
      <c r="H18" s="198">
        <v>111.08559096720292</v>
      </c>
      <c r="I18" s="198">
        <v>131.26739022950164</v>
      </c>
      <c r="L18" s="220"/>
      <c r="N18" s="17"/>
      <c r="O18" s="6"/>
      <c r="P18" s="6"/>
      <c r="Q18" s="6"/>
      <c r="R18" s="6"/>
      <c r="S18" s="6"/>
      <c r="T18" s="6"/>
      <c r="U18" s="6"/>
      <c r="V18" s="6"/>
      <c r="W18" s="6"/>
      <c r="X18" s="6"/>
      <c r="Y18" s="6"/>
      <c r="Z18" s="7"/>
      <c r="AB18" s="6"/>
      <c r="AC18" s="6"/>
      <c r="AD18" s="6"/>
      <c r="AE18" s="6"/>
      <c r="AF18" s="6"/>
      <c r="AG18" s="6"/>
      <c r="AH18" s="6"/>
      <c r="AI18" s="6"/>
    </row>
    <row r="19" spans="2:35" ht="15.75" thickBot="1" x14ac:dyDescent="0.25">
      <c r="B19" s="287"/>
      <c r="C19" s="198">
        <v>70</v>
      </c>
      <c r="D19" s="198">
        <v>32.531818453947871</v>
      </c>
      <c r="E19" s="198">
        <v>57.048047219349527</v>
      </c>
      <c r="F19" s="198">
        <v>76.000309172745133</v>
      </c>
      <c r="G19" s="198">
        <v>97.734554532143761</v>
      </c>
      <c r="H19" s="198">
        <v>119.46879989154239</v>
      </c>
      <c r="I19" s="198">
        <v>141.20304525094102</v>
      </c>
      <c r="L19" s="220"/>
      <c r="N19" s="17"/>
      <c r="O19" s="6"/>
      <c r="P19" s="6"/>
      <c r="Q19" s="6"/>
      <c r="R19" s="6"/>
      <c r="S19" s="6"/>
      <c r="T19" s="6"/>
      <c r="U19" s="6"/>
      <c r="V19" s="6"/>
      <c r="W19" s="6"/>
      <c r="X19" s="6"/>
      <c r="Y19" s="6"/>
      <c r="Z19" s="7"/>
      <c r="AB19" s="185"/>
      <c r="AC19" s="6"/>
      <c r="AD19" s="6"/>
      <c r="AE19" s="6"/>
      <c r="AF19" s="6"/>
      <c r="AG19" s="6"/>
      <c r="AH19" s="6"/>
      <c r="AI19" s="6"/>
    </row>
    <row r="20" spans="2:35" ht="15" x14ac:dyDescent="0.2">
      <c r="B20" s="196"/>
      <c r="L20" s="220"/>
      <c r="N20" s="17"/>
      <c r="O20" s="6"/>
      <c r="P20" s="6"/>
      <c r="Q20" s="6"/>
      <c r="R20" s="6"/>
      <c r="S20" s="6"/>
      <c r="T20" s="6"/>
      <c r="U20" s="6"/>
      <c r="V20" s="6"/>
      <c r="W20" s="6"/>
      <c r="X20" s="6"/>
      <c r="Y20" s="6"/>
      <c r="Z20" s="7"/>
      <c r="AB20" s="237" t="s">
        <v>467</v>
      </c>
      <c r="AC20" s="237"/>
      <c r="AD20" s="238"/>
      <c r="AE20" s="238"/>
      <c r="AF20" s="238"/>
      <c r="AG20" s="238"/>
      <c r="AH20" s="6"/>
      <c r="AI20" s="6"/>
    </row>
    <row r="21" spans="2:35" ht="15" x14ac:dyDescent="0.2">
      <c r="B21" s="196"/>
      <c r="L21" s="220"/>
      <c r="N21" s="17"/>
      <c r="O21" s="6"/>
      <c r="P21" s="6"/>
      <c r="Q21" s="6"/>
      <c r="R21" s="6"/>
      <c r="S21" s="6"/>
      <c r="T21" s="6"/>
      <c r="U21" s="6"/>
      <c r="V21" s="6"/>
      <c r="W21" s="272" t="s">
        <v>447</v>
      </c>
      <c r="X21" s="272"/>
      <c r="Y21" s="272"/>
      <c r="Z21" s="273"/>
      <c r="AB21" s="239"/>
      <c r="AC21" s="239"/>
      <c r="AD21" s="240" t="s">
        <v>469</v>
      </c>
      <c r="AE21" s="240" t="s">
        <v>466</v>
      </c>
      <c r="AF21" s="240" t="s">
        <v>487</v>
      </c>
      <c r="AG21" s="240" t="s">
        <v>488</v>
      </c>
      <c r="AH21" s="6"/>
      <c r="AI21" s="6"/>
    </row>
    <row r="22" spans="2:35" ht="15" x14ac:dyDescent="0.2">
      <c r="B22" s="351" t="s">
        <v>376</v>
      </c>
      <c r="C22" s="269"/>
      <c r="D22" s="269"/>
      <c r="E22" s="269"/>
      <c r="F22" s="269"/>
      <c r="G22" s="269"/>
      <c r="H22" s="269"/>
      <c r="I22" s="270"/>
      <c r="L22" s="220"/>
      <c r="N22" s="17"/>
      <c r="O22" s="6"/>
      <c r="P22" s="6"/>
      <c r="Q22" s="6"/>
      <c r="R22" s="6"/>
      <c r="S22" s="6"/>
      <c r="T22" s="6"/>
      <c r="U22" s="6"/>
      <c r="V22" s="6"/>
      <c r="W22" s="272"/>
      <c r="X22" s="272"/>
      <c r="Y22" s="272"/>
      <c r="Z22" s="273"/>
      <c r="AB22" s="255"/>
      <c r="AC22" s="255"/>
      <c r="AD22" s="6"/>
      <c r="AE22" s="258"/>
      <c r="AF22" s="258"/>
      <c r="AG22" s="258"/>
      <c r="AH22" s="6"/>
      <c r="AI22" s="6"/>
    </row>
    <row r="23" spans="2:35" ht="15" x14ac:dyDescent="0.2">
      <c r="B23" s="17"/>
      <c r="C23" s="6"/>
      <c r="D23" s="287" t="s">
        <v>364</v>
      </c>
      <c r="E23" s="287"/>
      <c r="F23" s="287"/>
      <c r="G23" s="287"/>
      <c r="H23" s="287"/>
      <c r="I23" s="287"/>
      <c r="L23" s="220"/>
      <c r="N23" s="17"/>
      <c r="O23" s="6"/>
      <c r="P23" s="6"/>
      <c r="Q23" s="6"/>
      <c r="R23" s="6"/>
      <c r="S23" s="6"/>
      <c r="T23" s="6"/>
      <c r="U23" s="6"/>
      <c r="V23" s="6"/>
      <c r="W23" s="272"/>
      <c r="X23" s="272"/>
      <c r="Y23" s="272"/>
      <c r="Z23" s="273"/>
      <c r="AB23" s="241" t="s">
        <v>468</v>
      </c>
      <c r="AC23" s="241"/>
      <c r="AD23" s="102"/>
      <c r="AE23" s="102"/>
      <c r="AF23" s="102"/>
      <c r="AG23" s="102"/>
      <c r="AH23" s="6"/>
      <c r="AI23" s="6"/>
    </row>
    <row r="24" spans="2:35" ht="15" x14ac:dyDescent="0.2">
      <c r="B24" s="287" t="s">
        <v>375</v>
      </c>
      <c r="C24" s="197">
        <v>84.1</v>
      </c>
      <c r="D24" s="198">
        <v>17000</v>
      </c>
      <c r="E24" s="198">
        <v>20000</v>
      </c>
      <c r="F24" s="199">
        <v>23601</v>
      </c>
      <c r="G24" s="198">
        <v>26000</v>
      </c>
      <c r="H24" s="198">
        <v>29000</v>
      </c>
      <c r="I24" s="198">
        <v>32000</v>
      </c>
      <c r="L24" s="220"/>
      <c r="N24" s="17"/>
      <c r="O24" s="6"/>
      <c r="P24" s="6"/>
      <c r="Q24" s="6"/>
      <c r="R24" s="6"/>
      <c r="S24" s="6"/>
      <c r="T24" s="6"/>
      <c r="U24" s="6"/>
      <c r="V24" s="6"/>
      <c r="W24" s="6"/>
      <c r="X24" s="6"/>
      <c r="Y24" s="6"/>
      <c r="Z24" s="7"/>
      <c r="AB24" s="255"/>
      <c r="AC24" s="255" t="s">
        <v>302</v>
      </c>
      <c r="AD24" s="259">
        <v>0.14044596112522401</v>
      </c>
      <c r="AE24" s="260">
        <v>0.13500000000000001</v>
      </c>
      <c r="AF24" s="259">
        <v>0.14044596112522401</v>
      </c>
      <c r="AG24" s="259">
        <v>0.14044596112522401</v>
      </c>
      <c r="AH24" s="6"/>
      <c r="AI24" s="6"/>
    </row>
    <row r="25" spans="2:35" ht="15" x14ac:dyDescent="0.2">
      <c r="B25" s="287"/>
      <c r="C25" s="198">
        <v>2</v>
      </c>
      <c r="D25" s="198">
        <v>23.217141871348456</v>
      </c>
      <c r="E25" s="198">
        <v>26.943012504388221</v>
      </c>
      <c r="F25" s="198">
        <v>31.415299220913621</v>
      </c>
      <c r="G25" s="198">
        <v>34.394753770467752</v>
      </c>
      <c r="H25" s="198">
        <v>38.12062440350752</v>
      </c>
      <c r="I25" s="198">
        <v>41.846495036547282</v>
      </c>
      <c r="L25" s="220"/>
      <c r="N25" s="17"/>
      <c r="O25" s="6"/>
      <c r="P25" s="6"/>
      <c r="Q25" s="6"/>
      <c r="R25" s="6"/>
      <c r="S25" s="6"/>
      <c r="T25" s="6"/>
      <c r="U25" s="6"/>
      <c r="V25" s="6"/>
      <c r="W25" s="6"/>
      <c r="X25" s="6"/>
      <c r="Y25" s="6"/>
      <c r="Z25" s="7"/>
      <c r="AB25" s="255"/>
      <c r="AC25" s="255" t="s">
        <v>478</v>
      </c>
      <c r="AD25" s="180">
        <v>0.1</v>
      </c>
      <c r="AE25" s="180">
        <v>0.1</v>
      </c>
      <c r="AF25" s="261">
        <v>0.105</v>
      </c>
      <c r="AG25" s="180">
        <v>0.1</v>
      </c>
      <c r="AH25" s="6"/>
      <c r="AI25" s="6"/>
    </row>
    <row r="26" spans="2:35" ht="15" x14ac:dyDescent="0.2">
      <c r="B26" s="287"/>
      <c r="C26" s="198">
        <v>4</v>
      </c>
      <c r="D26" s="198">
        <v>44.330408791907125</v>
      </c>
      <c r="E26" s="198">
        <v>51.782150057986655</v>
      </c>
      <c r="F26" s="198">
        <v>60.726723491037454</v>
      </c>
      <c r="G26" s="198">
        <v>66.685632590145715</v>
      </c>
      <c r="H26" s="198">
        <v>74.137373856225253</v>
      </c>
      <c r="I26" s="198">
        <v>81.589115122304776</v>
      </c>
      <c r="L26" s="220"/>
      <c r="N26" s="17"/>
      <c r="O26" s="6"/>
      <c r="P26" s="6"/>
      <c r="Q26" s="6"/>
      <c r="R26" s="6"/>
      <c r="S26" s="6"/>
      <c r="T26" s="6"/>
      <c r="U26" s="6"/>
      <c r="V26" s="6"/>
      <c r="W26" s="6"/>
      <c r="X26" s="6"/>
      <c r="Y26" s="6"/>
      <c r="Z26" s="7"/>
      <c r="AB26" s="255"/>
      <c r="AC26" s="255" t="s">
        <v>485</v>
      </c>
      <c r="AD26" s="185">
        <v>0.15</v>
      </c>
      <c r="AE26" s="185">
        <v>0.15</v>
      </c>
      <c r="AF26" s="185">
        <v>0.15</v>
      </c>
      <c r="AG26" s="262">
        <v>0.16</v>
      </c>
      <c r="AH26" s="6"/>
      <c r="AI26" s="6"/>
    </row>
    <row r="27" spans="2:35" ht="15" x14ac:dyDescent="0.2">
      <c r="B27" s="287"/>
      <c r="C27" s="199">
        <v>5.5949999999999998</v>
      </c>
      <c r="D27" s="198">
        <v>61.168239161052668</v>
      </c>
      <c r="E27" s="198">
        <v>71.591362256981412</v>
      </c>
      <c r="F27" s="219">
        <v>84.102584346461214</v>
      </c>
      <c r="G27" s="264">
        <v>92.437608448838901</v>
      </c>
      <c r="H27" s="264">
        <v>102.86073154476765</v>
      </c>
      <c r="I27" s="198">
        <v>113.28385464069639</v>
      </c>
      <c r="L27" s="220"/>
      <c r="N27" s="17"/>
      <c r="O27" s="6"/>
      <c r="P27" s="6"/>
      <c r="Q27" s="6"/>
      <c r="R27" s="6"/>
      <c r="S27" s="6"/>
      <c r="T27" s="6"/>
      <c r="U27" s="6"/>
      <c r="V27" s="6"/>
      <c r="W27" s="6"/>
      <c r="X27" s="6"/>
      <c r="Y27" s="6"/>
      <c r="Z27" s="7"/>
      <c r="AB27" s="241" t="s">
        <v>470</v>
      </c>
      <c r="AC27" s="241"/>
      <c r="AD27" s="102"/>
      <c r="AE27" s="102"/>
      <c r="AF27" s="102"/>
      <c r="AG27" s="102"/>
      <c r="AH27" s="6"/>
      <c r="AI27" s="6"/>
    </row>
    <row r="28" spans="2:35" ht="15.75" thickBot="1" x14ac:dyDescent="0.25">
      <c r="B28" s="287"/>
      <c r="C28" s="198">
        <v>8</v>
      </c>
      <c r="D28" s="198">
        <v>86.556942633024462</v>
      </c>
      <c r="E28" s="198">
        <v>101.46042516518352</v>
      </c>
      <c r="F28" s="219">
        <v>119.34957203128512</v>
      </c>
      <c r="G28" s="198">
        <v>131.26739022950164</v>
      </c>
      <c r="H28" s="198">
        <v>146.17087276166072</v>
      </c>
      <c r="I28" s="198">
        <v>161.07435529381976</v>
      </c>
      <c r="L28" s="220"/>
      <c r="N28" s="17"/>
      <c r="O28" s="6"/>
      <c r="P28" s="6"/>
      <c r="Q28" s="6"/>
      <c r="R28" s="6"/>
      <c r="S28" s="6"/>
      <c r="T28" s="6"/>
      <c r="U28" s="6"/>
      <c r="V28" s="6"/>
      <c r="W28" s="6"/>
      <c r="X28" s="6"/>
      <c r="Y28" s="6"/>
      <c r="Z28" s="7"/>
      <c r="AB28" s="242"/>
      <c r="AC28" s="242" t="s">
        <v>310</v>
      </c>
      <c r="AD28" s="263">
        <v>97.958247636523097</v>
      </c>
      <c r="AE28" s="263">
        <v>113.364714989943</v>
      </c>
      <c r="AF28" s="263">
        <v>110.221376705623</v>
      </c>
      <c r="AG28" s="263">
        <v>119.250111583638</v>
      </c>
      <c r="AH28" s="6"/>
      <c r="AI28" s="6"/>
    </row>
    <row r="29" spans="2:35" ht="15" x14ac:dyDescent="0.2">
      <c r="B29" s="287"/>
      <c r="C29" s="198">
        <v>10</v>
      </c>
      <c r="D29" s="198">
        <v>107.67020955358313</v>
      </c>
      <c r="E29" s="198">
        <v>126.29956271878196</v>
      </c>
      <c r="F29" s="198">
        <v>148.66099630140894</v>
      </c>
      <c r="G29" s="198">
        <v>163.55826904917961</v>
      </c>
      <c r="H29" s="198">
        <v>182.18762221437845</v>
      </c>
      <c r="I29" s="198">
        <v>200.81697537957726</v>
      </c>
      <c r="L29" s="220"/>
      <c r="N29" s="17"/>
      <c r="O29" s="6"/>
      <c r="P29" s="6"/>
      <c r="Q29" s="6"/>
      <c r="R29" s="6"/>
      <c r="S29" s="6"/>
      <c r="T29" s="6"/>
      <c r="U29" s="6"/>
      <c r="V29" s="6"/>
      <c r="W29" s="6"/>
      <c r="X29" s="6"/>
      <c r="Y29" s="6"/>
      <c r="Z29" s="7"/>
      <c r="AB29" s="256"/>
      <c r="AC29" s="256"/>
      <c r="AD29" s="12"/>
      <c r="AE29" s="12"/>
      <c r="AF29" s="12"/>
      <c r="AG29" s="12"/>
      <c r="AH29" s="6"/>
      <c r="AI29" s="6"/>
    </row>
    <row r="30" spans="2:35" ht="15.75" thickBot="1" x14ac:dyDescent="0.25">
      <c r="B30" s="287"/>
      <c r="C30" s="198">
        <v>12</v>
      </c>
      <c r="D30" s="198">
        <v>128.78347647414179</v>
      </c>
      <c r="E30" s="198">
        <v>151.13870027238039</v>
      </c>
      <c r="F30" s="198">
        <v>177.97242057153278</v>
      </c>
      <c r="G30" s="198">
        <v>195.84914786885759</v>
      </c>
      <c r="H30" s="198">
        <v>218.20437166709618</v>
      </c>
      <c r="I30" s="198">
        <v>240.55959546533475</v>
      </c>
      <c r="L30" s="220"/>
      <c r="N30" s="17"/>
      <c r="O30" s="6"/>
      <c r="P30" s="6"/>
      <c r="Q30" s="6"/>
      <c r="R30" s="6"/>
      <c r="S30" s="6"/>
      <c r="T30" s="6"/>
      <c r="U30" s="6"/>
      <c r="V30" s="6"/>
      <c r="W30" s="6"/>
      <c r="X30" s="6"/>
      <c r="Y30" s="6"/>
      <c r="Z30" s="7"/>
      <c r="AB30" s="256"/>
      <c r="AC30" s="256"/>
      <c r="AD30" s="12"/>
      <c r="AE30" s="12"/>
      <c r="AF30" s="12"/>
      <c r="AG30" s="12"/>
      <c r="AH30" s="6"/>
      <c r="AI30" s="6"/>
    </row>
    <row r="31" spans="2:35" ht="15" x14ac:dyDescent="0.2">
      <c r="B31" s="287"/>
      <c r="C31" s="198">
        <v>14</v>
      </c>
      <c r="D31" s="198">
        <v>149.89674339470048</v>
      </c>
      <c r="E31" s="198">
        <v>175.97783782597884</v>
      </c>
      <c r="F31" s="198">
        <v>207.28384484165662</v>
      </c>
      <c r="G31" s="198">
        <v>228.14002668853556</v>
      </c>
      <c r="H31" s="198">
        <v>254.22112111981392</v>
      </c>
      <c r="I31" s="198">
        <v>280.30221555109227</v>
      </c>
      <c r="L31" s="220"/>
      <c r="N31" s="17"/>
      <c r="O31" s="6"/>
      <c r="P31" s="6"/>
      <c r="Q31" s="6"/>
      <c r="R31" s="6"/>
      <c r="S31" s="6"/>
      <c r="T31" s="6"/>
      <c r="U31" s="6"/>
      <c r="V31" s="6"/>
      <c r="W31" s="6"/>
      <c r="X31" s="6"/>
      <c r="Y31" s="6"/>
      <c r="Z31" s="7"/>
      <c r="AB31" s="237" t="s">
        <v>467</v>
      </c>
      <c r="AC31" s="237"/>
      <c r="AD31" s="238"/>
      <c r="AE31" s="238"/>
      <c r="AF31" s="238"/>
      <c r="AG31" s="238"/>
      <c r="AH31" s="6"/>
      <c r="AI31" s="6"/>
    </row>
    <row r="32" spans="2:35" ht="15" x14ac:dyDescent="0.2">
      <c r="B32" s="287"/>
      <c r="C32" s="198">
        <v>16</v>
      </c>
      <c r="D32" s="198">
        <v>171.01001031525914</v>
      </c>
      <c r="E32" s="198">
        <v>200.81697537957726</v>
      </c>
      <c r="F32" s="198">
        <v>236.59526911178045</v>
      </c>
      <c r="G32" s="198">
        <v>260.43090550821353</v>
      </c>
      <c r="H32" s="198">
        <v>290.23787057253162</v>
      </c>
      <c r="I32" s="198">
        <v>320.04483563684977</v>
      </c>
      <c r="L32" s="220"/>
      <c r="N32" s="17"/>
      <c r="O32" s="6"/>
      <c r="P32" s="6"/>
      <c r="Q32" s="6"/>
      <c r="R32" s="6"/>
      <c r="S32" s="6"/>
      <c r="T32" s="6"/>
      <c r="U32" s="6"/>
      <c r="V32" s="6"/>
      <c r="W32" s="6"/>
      <c r="X32" s="6"/>
      <c r="Y32" s="6"/>
      <c r="Z32" s="7"/>
      <c r="AB32" s="239"/>
      <c r="AC32" s="239"/>
      <c r="AD32" s="240" t="s">
        <v>469</v>
      </c>
      <c r="AE32" s="240" t="s">
        <v>471</v>
      </c>
      <c r="AF32" s="240" t="s">
        <v>489</v>
      </c>
      <c r="AG32" s="240" t="s">
        <v>490</v>
      </c>
      <c r="AH32" s="6"/>
      <c r="AI32" s="6"/>
    </row>
    <row r="33" spans="2:35" ht="15" x14ac:dyDescent="0.2">
      <c r="B33" s="287"/>
      <c r="C33" s="198">
        <v>18</v>
      </c>
      <c r="D33" s="198">
        <v>192.12327723581782</v>
      </c>
      <c r="E33" s="198">
        <v>225.65611293317571</v>
      </c>
      <c r="F33" s="198">
        <v>265.90669338190429</v>
      </c>
      <c r="G33" s="198">
        <v>292.7217843278915</v>
      </c>
      <c r="H33" s="198">
        <v>326.25462002524938</v>
      </c>
      <c r="I33" s="198">
        <v>359.78745572260726</v>
      </c>
      <c r="L33" s="220"/>
      <c r="N33" s="17"/>
      <c r="O33" s="6"/>
      <c r="P33" s="6"/>
      <c r="Q33" s="6"/>
      <c r="R33" s="6"/>
      <c r="S33" s="6"/>
      <c r="T33" s="6"/>
      <c r="U33" s="6"/>
      <c r="V33" s="6"/>
      <c r="W33" s="6"/>
      <c r="X33" s="6"/>
      <c r="Y33" s="6"/>
      <c r="Z33" s="7"/>
      <c r="AB33" s="255"/>
      <c r="AC33" s="255"/>
      <c r="AD33" s="6"/>
      <c r="AE33" s="258"/>
      <c r="AF33" s="258"/>
      <c r="AG33" s="258"/>
      <c r="AH33" s="6"/>
      <c r="AI33" s="6"/>
    </row>
    <row r="34" spans="2:35" ht="15" x14ac:dyDescent="0.2">
      <c r="B34" s="287"/>
      <c r="C34" s="198">
        <v>20</v>
      </c>
      <c r="D34" s="198">
        <v>213.23654415637648</v>
      </c>
      <c r="E34" s="198">
        <v>250.49525048677413</v>
      </c>
      <c r="F34" s="198">
        <v>295.21811765202813</v>
      </c>
      <c r="G34" s="198">
        <v>325.01266314756947</v>
      </c>
      <c r="H34" s="198">
        <v>362.27136947796708</v>
      </c>
      <c r="I34" s="198">
        <v>399.53007580836476</v>
      </c>
      <c r="L34" s="220"/>
      <c r="N34" s="17"/>
      <c r="O34" s="6"/>
      <c r="P34" s="6"/>
      <c r="Q34" s="6"/>
      <c r="R34" s="6"/>
      <c r="S34" s="6"/>
      <c r="T34" s="6"/>
      <c r="U34" s="6"/>
      <c r="V34" s="6"/>
      <c r="W34" s="6"/>
      <c r="X34" s="6"/>
      <c r="Y34" s="6"/>
      <c r="Z34" s="7"/>
      <c r="AB34" s="241" t="s">
        <v>468</v>
      </c>
      <c r="AC34" s="241"/>
      <c r="AD34" s="102"/>
      <c r="AE34" s="102"/>
      <c r="AF34" s="102"/>
      <c r="AG34" s="102"/>
      <c r="AH34" s="6"/>
      <c r="AI34" s="6"/>
    </row>
    <row r="35" spans="2:35" ht="15" x14ac:dyDescent="0.2">
      <c r="B35" s="287"/>
      <c r="C35" s="198">
        <v>22</v>
      </c>
      <c r="D35" s="198">
        <v>234.34981107693517</v>
      </c>
      <c r="E35" s="198">
        <v>275.33438804037257</v>
      </c>
      <c r="F35" s="198">
        <v>324.52954192215196</v>
      </c>
      <c r="G35" s="198">
        <v>357.30354196724738</v>
      </c>
      <c r="H35" s="198">
        <v>398.28811893068485</v>
      </c>
      <c r="I35" s="198">
        <v>439.27269589412225</v>
      </c>
      <c r="L35" s="220"/>
      <c r="N35" s="17"/>
      <c r="O35" s="6"/>
      <c r="P35" s="6"/>
      <c r="Q35" s="6"/>
      <c r="R35" s="6"/>
      <c r="S35" s="6"/>
      <c r="T35" s="6"/>
      <c r="U35" s="6"/>
      <c r="V35" s="6"/>
      <c r="W35" s="6"/>
      <c r="X35" s="6"/>
      <c r="Y35" s="6"/>
      <c r="Z35" s="7"/>
      <c r="AB35" s="255"/>
      <c r="AC35" s="255" t="s">
        <v>302</v>
      </c>
      <c r="AD35" s="180">
        <v>0.14044596112522401</v>
      </c>
      <c r="AE35" s="261">
        <v>0.14499999999999999</v>
      </c>
      <c r="AF35" s="180">
        <v>0.14044596112522401</v>
      </c>
      <c r="AG35" s="180">
        <v>0.14044596112522401</v>
      </c>
      <c r="AH35" s="6"/>
      <c r="AI35" s="6"/>
    </row>
    <row r="36" spans="2:35" ht="15" x14ac:dyDescent="0.2">
      <c r="B36" s="287"/>
      <c r="C36" s="198">
        <v>24</v>
      </c>
      <c r="D36" s="198">
        <v>255.46307799749383</v>
      </c>
      <c r="E36" s="198">
        <v>300.17352559397102</v>
      </c>
      <c r="F36" s="198">
        <v>353.8409661922758</v>
      </c>
      <c r="G36" s="198">
        <v>389.59442078692535</v>
      </c>
      <c r="H36" s="198">
        <v>434.30486838340255</v>
      </c>
      <c r="I36" s="198">
        <v>479.01531597987974</v>
      </c>
      <c r="L36" s="220"/>
      <c r="N36" s="17"/>
      <c r="O36" s="6"/>
      <c r="P36" s="6"/>
      <c r="Q36" s="6"/>
      <c r="R36" s="6"/>
      <c r="S36" s="6"/>
      <c r="T36" s="6"/>
      <c r="U36" s="6"/>
      <c r="V36" s="6"/>
      <c r="W36" s="6"/>
      <c r="X36" s="6"/>
      <c r="Y36" s="6"/>
      <c r="Z36" s="7"/>
      <c r="AB36" s="255"/>
      <c r="AC36" s="255" t="s">
        <v>478</v>
      </c>
      <c r="AD36" s="180">
        <v>0.1</v>
      </c>
      <c r="AE36" s="180">
        <v>0.1</v>
      </c>
      <c r="AF36" s="261">
        <v>9.5000000000000001E-2</v>
      </c>
      <c r="AG36" s="180">
        <v>0.1</v>
      </c>
      <c r="AH36" s="6"/>
      <c r="AI36" s="6"/>
    </row>
    <row r="37" spans="2:35" ht="15" x14ac:dyDescent="0.2">
      <c r="B37" s="287"/>
      <c r="C37" s="198">
        <v>26</v>
      </c>
      <c r="D37" s="198">
        <v>276.57634491805248</v>
      </c>
      <c r="E37" s="198">
        <v>325.01266314756947</v>
      </c>
      <c r="F37" s="198">
        <v>383.15239046239964</v>
      </c>
      <c r="G37" s="198">
        <v>421.88529960660333</v>
      </c>
      <c r="H37" s="198">
        <v>470.32161783612031</v>
      </c>
      <c r="I37" s="198">
        <v>518.75793606563718</v>
      </c>
      <c r="L37" s="220"/>
      <c r="N37" s="17"/>
      <c r="O37" s="6"/>
      <c r="P37" s="6"/>
      <c r="Q37" s="6"/>
      <c r="R37" s="6"/>
      <c r="S37" s="6"/>
      <c r="T37" s="6"/>
      <c r="U37" s="6"/>
      <c r="V37" s="6"/>
      <c r="W37" s="6"/>
      <c r="X37" s="6"/>
      <c r="Y37" s="6"/>
      <c r="Z37" s="7"/>
      <c r="AB37" s="255"/>
      <c r="AC37" s="255" t="s">
        <v>485</v>
      </c>
      <c r="AD37" s="185">
        <v>0.15</v>
      </c>
      <c r="AE37" s="185">
        <v>0.15</v>
      </c>
      <c r="AF37" s="185">
        <v>0.15</v>
      </c>
      <c r="AG37" s="262">
        <v>0.14000000000000001</v>
      </c>
      <c r="AH37" s="6"/>
      <c r="AI37" s="6"/>
    </row>
    <row r="38" spans="2:35" ht="15" x14ac:dyDescent="0.2">
      <c r="B38" s="196"/>
      <c r="L38" s="220"/>
      <c r="N38" s="17"/>
      <c r="O38" s="6"/>
      <c r="P38" s="6"/>
      <c r="Q38" s="6"/>
      <c r="R38" s="6"/>
      <c r="S38" s="6"/>
      <c r="T38" s="6"/>
      <c r="U38" s="6"/>
      <c r="V38" s="6"/>
      <c r="W38" s="6"/>
      <c r="X38" s="6"/>
      <c r="Y38" s="6"/>
      <c r="Z38" s="7"/>
      <c r="AB38" s="241" t="s">
        <v>470</v>
      </c>
      <c r="AC38" s="241"/>
      <c r="AD38" s="102"/>
      <c r="AE38" s="102"/>
      <c r="AF38" s="102"/>
      <c r="AG38" s="102"/>
      <c r="AH38" s="6"/>
      <c r="AI38" s="6"/>
    </row>
    <row r="39" spans="2:35" ht="15.75" thickBot="1" x14ac:dyDescent="0.25">
      <c r="B39" s="351" t="s">
        <v>376</v>
      </c>
      <c r="C39" s="269"/>
      <c r="D39" s="269"/>
      <c r="E39" s="269"/>
      <c r="F39" s="269"/>
      <c r="G39" s="269"/>
      <c r="H39" s="269"/>
      <c r="I39" s="270"/>
      <c r="L39" s="220"/>
      <c r="N39" s="17"/>
      <c r="O39" s="6"/>
      <c r="P39" s="6"/>
      <c r="Q39" s="6"/>
      <c r="R39" s="6"/>
      <c r="S39" s="6"/>
      <c r="T39" s="6"/>
      <c r="U39" s="6"/>
      <c r="V39" s="6"/>
      <c r="W39" s="6"/>
      <c r="X39" s="6"/>
      <c r="Y39" s="6"/>
      <c r="Z39" s="7"/>
      <c r="AB39" s="242"/>
      <c r="AC39" s="242" t="s">
        <v>310</v>
      </c>
      <c r="AD39" s="263">
        <v>97.958247636523097</v>
      </c>
      <c r="AE39" s="263">
        <v>87.944121675145794</v>
      </c>
      <c r="AF39" s="263">
        <v>88.393516569240802</v>
      </c>
      <c r="AG39" s="263">
        <v>77.370992332279101</v>
      </c>
      <c r="AH39" s="6"/>
      <c r="AI39" s="6"/>
    </row>
    <row r="40" spans="2:35" ht="15" x14ac:dyDescent="0.2">
      <c r="B40" s="17"/>
      <c r="C40" s="6"/>
      <c r="D40" s="287" t="s">
        <v>272</v>
      </c>
      <c r="E40" s="287"/>
      <c r="F40" s="287"/>
      <c r="G40" s="287"/>
      <c r="H40" s="287"/>
      <c r="I40" s="287"/>
      <c r="L40" s="220"/>
      <c r="N40" s="17"/>
      <c r="O40" s="6"/>
      <c r="P40" s="6"/>
      <c r="Q40" s="6"/>
      <c r="R40" s="6"/>
      <c r="S40" s="6"/>
      <c r="T40" s="6"/>
      <c r="U40" s="6"/>
      <c r="V40" s="6"/>
      <c r="W40" s="6"/>
      <c r="X40" s="6"/>
      <c r="Y40" s="6"/>
      <c r="Z40" s="7"/>
      <c r="AB40" s="256"/>
      <c r="AC40" s="256"/>
      <c r="AD40" s="180"/>
      <c r="AE40" s="180"/>
      <c r="AF40" s="180"/>
      <c r="AG40" s="180"/>
      <c r="AH40" s="6"/>
      <c r="AI40" s="6"/>
    </row>
    <row r="41" spans="2:35" ht="15" x14ac:dyDescent="0.2">
      <c r="B41" s="287" t="s">
        <v>361</v>
      </c>
      <c r="C41" s="197">
        <v>45.51</v>
      </c>
      <c r="D41" s="198">
        <v>2000</v>
      </c>
      <c r="E41" s="198">
        <v>2500</v>
      </c>
      <c r="F41" s="199">
        <v>3115</v>
      </c>
      <c r="G41" s="198">
        <v>3500</v>
      </c>
      <c r="H41" s="198">
        <v>4000</v>
      </c>
      <c r="I41" s="198">
        <v>4500</v>
      </c>
      <c r="L41" s="220"/>
      <c r="N41" s="17"/>
      <c r="O41" s="6"/>
      <c r="P41" s="6"/>
      <c r="Q41" s="6"/>
      <c r="R41" s="6"/>
      <c r="S41" s="6"/>
      <c r="T41" s="6"/>
      <c r="U41" s="6"/>
      <c r="V41" s="6"/>
      <c r="W41" s="6"/>
      <c r="X41" s="6"/>
      <c r="Y41" s="6"/>
      <c r="Z41" s="7"/>
      <c r="AB41" s="256"/>
      <c r="AC41" s="256"/>
      <c r="AD41" s="12"/>
      <c r="AE41" s="12"/>
      <c r="AF41" s="12"/>
      <c r="AG41" s="12"/>
      <c r="AH41" s="6"/>
      <c r="AI41" s="6"/>
    </row>
    <row r="42" spans="2:35" ht="15.75" thickBot="1" x14ac:dyDescent="0.25">
      <c r="B42" s="287"/>
      <c r="C42" s="198">
        <v>10</v>
      </c>
      <c r="D42" s="198">
        <v>14.523443727589004</v>
      </c>
      <c r="E42" s="198">
        <v>17.62833592178881</v>
      </c>
      <c r="F42" s="198">
        <v>21.447353320654567</v>
      </c>
      <c r="G42" s="198">
        <v>23.838120310188419</v>
      </c>
      <c r="H42" s="198">
        <v>26.943012504388221</v>
      </c>
      <c r="I42" s="198">
        <v>30.047904698588027</v>
      </c>
      <c r="L42" s="220"/>
      <c r="N42" s="17"/>
      <c r="O42" s="6"/>
      <c r="P42" s="6"/>
      <c r="Q42" s="6"/>
      <c r="R42" s="6"/>
      <c r="S42" s="6"/>
      <c r="T42" s="6"/>
      <c r="U42" s="6"/>
      <c r="V42" s="6"/>
      <c r="W42" s="6"/>
      <c r="X42" s="6"/>
      <c r="Y42" s="6"/>
      <c r="Z42" s="7"/>
      <c r="AB42" s="256"/>
      <c r="AC42" s="256"/>
      <c r="AD42" s="12"/>
      <c r="AE42" s="12"/>
      <c r="AF42" s="12"/>
      <c r="AG42" s="12"/>
      <c r="AH42" s="6"/>
      <c r="AI42" s="6"/>
    </row>
    <row r="43" spans="2:35" ht="15" x14ac:dyDescent="0.2">
      <c r="B43" s="287"/>
      <c r="C43" s="198">
        <v>13</v>
      </c>
      <c r="D43" s="198">
        <v>18.24931436062877</v>
      </c>
      <c r="E43" s="198">
        <v>22.285674213088516</v>
      </c>
      <c r="F43" s="198">
        <v>27.250396831614005</v>
      </c>
      <c r="G43" s="198">
        <v>30.358393918008009</v>
      </c>
      <c r="H43" s="198">
        <v>34.394753770467752</v>
      </c>
      <c r="I43" s="198">
        <v>38.431113622927498</v>
      </c>
      <c r="L43" s="220"/>
      <c r="N43" s="17"/>
      <c r="O43" s="6"/>
      <c r="P43" s="6"/>
      <c r="Q43" s="6"/>
      <c r="R43" s="6"/>
      <c r="S43" s="6"/>
      <c r="T43" s="6"/>
      <c r="U43" s="6"/>
      <c r="V43" s="6"/>
      <c r="W43" s="6"/>
      <c r="X43" s="6"/>
      <c r="Y43" s="6"/>
      <c r="Z43" s="7"/>
      <c r="AB43" s="237" t="s">
        <v>467</v>
      </c>
      <c r="AC43" s="237"/>
      <c r="AD43" s="238"/>
      <c r="AE43" s="238"/>
      <c r="AF43" s="12"/>
      <c r="AG43" s="12"/>
      <c r="AH43" s="6"/>
      <c r="AI43" s="6"/>
    </row>
    <row r="44" spans="2:35" ht="15" x14ac:dyDescent="0.2">
      <c r="B44" s="287"/>
      <c r="C44" s="198">
        <v>16</v>
      </c>
      <c r="D44" s="198">
        <v>21.975184993668535</v>
      </c>
      <c r="E44" s="198">
        <v>26.943012504388221</v>
      </c>
      <c r="F44" s="198">
        <v>33.053440342573438</v>
      </c>
      <c r="G44" s="198">
        <v>36.878667525827595</v>
      </c>
      <c r="H44" s="198">
        <v>41.846495036547282</v>
      </c>
      <c r="I44" s="198">
        <v>46.814322547266968</v>
      </c>
      <c r="L44" s="220"/>
      <c r="N44" s="17"/>
      <c r="O44" s="6"/>
      <c r="P44" s="6"/>
      <c r="Q44" s="6"/>
      <c r="R44" s="6"/>
      <c r="S44" s="6"/>
      <c r="T44" s="6"/>
      <c r="U44" s="6"/>
      <c r="V44" s="6"/>
      <c r="W44" s="6"/>
      <c r="X44" s="6"/>
      <c r="Y44" s="6"/>
      <c r="Z44" s="7"/>
      <c r="AB44" s="239"/>
      <c r="AC44" s="239"/>
      <c r="AD44" s="240" t="s">
        <v>469</v>
      </c>
      <c r="AE44" s="240" t="s">
        <v>473</v>
      </c>
      <c r="AF44" s="12"/>
      <c r="AG44" s="12"/>
      <c r="AH44" s="6"/>
      <c r="AI44" s="6"/>
    </row>
    <row r="45" spans="2:35" ht="15" x14ac:dyDescent="0.2">
      <c r="B45" s="287"/>
      <c r="C45" s="198">
        <v>19</v>
      </c>
      <c r="D45" s="198">
        <v>25.7010556267083</v>
      </c>
      <c r="E45" s="198">
        <v>31.60035079568793</v>
      </c>
      <c r="F45" s="198">
        <v>38.856483853532872</v>
      </c>
      <c r="G45" s="198">
        <v>43.398941133647185</v>
      </c>
      <c r="H45" s="198">
        <v>49.298236302626812</v>
      </c>
      <c r="I45" s="198">
        <v>55.197531471606439</v>
      </c>
      <c r="L45" s="220"/>
      <c r="N45" s="17"/>
      <c r="O45" s="6"/>
      <c r="P45" s="6"/>
      <c r="Q45" s="6"/>
      <c r="R45" s="6"/>
      <c r="S45" s="6"/>
      <c r="T45" s="6"/>
      <c r="U45" s="6"/>
      <c r="V45" s="6"/>
      <c r="W45" s="6"/>
      <c r="X45" s="6"/>
      <c r="Y45" s="6"/>
      <c r="Z45" s="7"/>
      <c r="AB45" s="255"/>
      <c r="AC45" s="255"/>
      <c r="AD45" s="6"/>
      <c r="AE45" s="258"/>
      <c r="AF45" s="12"/>
      <c r="AG45" s="12"/>
      <c r="AH45" s="6"/>
      <c r="AI45" s="6"/>
    </row>
    <row r="46" spans="2:35" ht="15" x14ac:dyDescent="0.2">
      <c r="B46" s="287"/>
      <c r="C46" s="199">
        <v>22.44</v>
      </c>
      <c r="D46" s="198">
        <v>29.973387285927231</v>
      </c>
      <c r="E46" s="198">
        <v>36.940765369711592</v>
      </c>
      <c r="F46" s="199">
        <v>45.510640412766364</v>
      </c>
      <c r="G46" s="198">
        <v>50.875521537280314</v>
      </c>
      <c r="H46" s="198">
        <v>57.842899621064674</v>
      </c>
      <c r="I46" s="198">
        <v>64.810277704849042</v>
      </c>
      <c r="L46" s="220"/>
      <c r="N46" s="17"/>
      <c r="O46" s="6"/>
      <c r="P46" s="6"/>
      <c r="Q46" s="6"/>
      <c r="R46" s="6"/>
      <c r="S46" s="6"/>
      <c r="T46" s="6"/>
      <c r="U46" s="6"/>
      <c r="V46" s="6"/>
      <c r="W46" s="6"/>
      <c r="X46" s="6"/>
      <c r="Y46" s="6"/>
      <c r="Z46" s="7"/>
      <c r="AB46" s="241" t="s">
        <v>468</v>
      </c>
      <c r="AC46" s="241"/>
      <c r="AD46" s="102"/>
      <c r="AE46" s="102"/>
      <c r="AF46" s="6"/>
      <c r="AG46" s="6"/>
      <c r="AH46" s="6"/>
      <c r="AI46" s="6"/>
    </row>
    <row r="47" spans="2:35" ht="15" x14ac:dyDescent="0.2">
      <c r="B47" s="287"/>
      <c r="C47" s="198">
        <v>25</v>
      </c>
      <c r="D47" s="198">
        <v>33.152796892787833</v>
      </c>
      <c r="E47" s="198">
        <v>40.915027378287341</v>
      </c>
      <c r="F47" s="198">
        <v>50.462570875451739</v>
      </c>
      <c r="G47" s="198">
        <v>56.439488349286364</v>
      </c>
      <c r="H47" s="198">
        <v>64.201718834785879</v>
      </c>
      <c r="I47" s="198">
        <v>71.96394932028538</v>
      </c>
      <c r="L47" s="220"/>
      <c r="N47" s="17"/>
      <c r="O47" s="6"/>
      <c r="P47" s="6"/>
      <c r="Q47" s="6"/>
      <c r="R47" s="6"/>
      <c r="S47" s="6"/>
      <c r="T47" s="6"/>
      <c r="U47" s="6"/>
      <c r="V47" s="6"/>
      <c r="W47" s="6"/>
      <c r="X47" s="6"/>
      <c r="Y47" s="6"/>
      <c r="Z47" s="7"/>
      <c r="AB47" s="255"/>
      <c r="AC47" s="255" t="s">
        <v>302</v>
      </c>
      <c r="AD47" s="180">
        <v>0.14044596112522401</v>
      </c>
      <c r="AE47" s="261">
        <v>0.13500000000000001</v>
      </c>
      <c r="AF47" s="139"/>
      <c r="AG47" s="139"/>
      <c r="AH47" s="6"/>
      <c r="AI47" s="6"/>
    </row>
    <row r="48" spans="2:35" ht="15" x14ac:dyDescent="0.2">
      <c r="B48" s="287"/>
      <c r="C48" s="198">
        <v>28</v>
      </c>
      <c r="D48" s="198">
        <v>36.878667525827595</v>
      </c>
      <c r="E48" s="198">
        <v>45.57236566958705</v>
      </c>
      <c r="F48" s="219">
        <v>56.265614386411173</v>
      </c>
      <c r="G48" s="219">
        <v>62.959761957105954</v>
      </c>
      <c r="H48" s="264">
        <v>71.653460100865402</v>
      </c>
      <c r="I48" s="264">
        <v>80.347158244624865</v>
      </c>
      <c r="L48" s="220"/>
      <c r="N48" s="17"/>
      <c r="O48" s="6"/>
      <c r="P48" s="6"/>
      <c r="Q48" s="6"/>
      <c r="R48" s="6"/>
      <c r="S48" s="6"/>
      <c r="T48" s="6"/>
      <c r="U48" s="6"/>
      <c r="V48" s="6"/>
      <c r="W48" s="6"/>
      <c r="X48" s="6"/>
      <c r="Y48" s="6"/>
      <c r="Z48" s="7"/>
      <c r="AB48" s="255"/>
      <c r="AC48" s="255" t="s">
        <v>478</v>
      </c>
      <c r="AD48" s="180">
        <v>0.1</v>
      </c>
      <c r="AE48" s="261">
        <v>0.105</v>
      </c>
      <c r="AF48" s="6"/>
      <c r="AG48" s="6"/>
      <c r="AH48" s="6"/>
      <c r="AI48" s="6"/>
    </row>
    <row r="49" spans="2:35" ht="15" x14ac:dyDescent="0.2">
      <c r="B49" s="287"/>
      <c r="C49" s="198">
        <v>31</v>
      </c>
      <c r="D49" s="198">
        <v>40.604538158867364</v>
      </c>
      <c r="E49" s="198">
        <v>50.229703960886752</v>
      </c>
      <c r="F49" s="219">
        <v>62.068657897370606</v>
      </c>
      <c r="G49" s="219">
        <v>69.480035564925544</v>
      </c>
      <c r="H49" s="264">
        <v>79.105201366944939</v>
      </c>
      <c r="I49" s="264">
        <v>88.730367168964335</v>
      </c>
      <c r="L49" s="220"/>
      <c r="N49" s="17"/>
      <c r="O49" s="6"/>
      <c r="P49" s="6"/>
      <c r="Q49" s="6"/>
      <c r="R49" s="6"/>
      <c r="S49" s="6"/>
      <c r="T49" s="6"/>
      <c r="U49" s="6"/>
      <c r="V49" s="6"/>
      <c r="W49" s="6"/>
      <c r="X49" s="6"/>
      <c r="Y49" s="6"/>
      <c r="Z49" s="7"/>
      <c r="AB49" s="255"/>
      <c r="AC49" s="255" t="s">
        <v>485</v>
      </c>
      <c r="AD49" s="185">
        <v>0.15</v>
      </c>
      <c r="AE49" s="262">
        <v>0.16</v>
      </c>
      <c r="AF49" s="6"/>
      <c r="AG49" s="6"/>
      <c r="AH49" s="6"/>
      <c r="AI49" s="6"/>
    </row>
    <row r="50" spans="2:35" ht="15" x14ac:dyDescent="0.2">
      <c r="B50" s="287"/>
      <c r="C50" s="198">
        <v>34</v>
      </c>
      <c r="D50" s="198">
        <v>44.330408791907125</v>
      </c>
      <c r="E50" s="198">
        <v>54.887042252186461</v>
      </c>
      <c r="F50" s="198">
        <v>67.87170140833004</v>
      </c>
      <c r="G50" s="198">
        <v>76.000309172745133</v>
      </c>
      <c r="H50" s="198">
        <v>86.556942633024462</v>
      </c>
      <c r="I50" s="198">
        <v>97.113576093303806</v>
      </c>
      <c r="L50" s="220"/>
      <c r="N50" s="17"/>
      <c r="O50" s="6"/>
      <c r="P50" s="6"/>
      <c r="Q50" s="6"/>
      <c r="R50" s="6"/>
      <c r="S50" s="6"/>
      <c r="T50" s="6"/>
      <c r="U50" s="6"/>
      <c r="V50" s="6"/>
      <c r="W50" s="6"/>
      <c r="X50" s="6"/>
      <c r="Y50" s="6"/>
      <c r="Z50" s="7"/>
      <c r="AB50" s="241" t="s">
        <v>470</v>
      </c>
      <c r="AC50" s="241"/>
      <c r="AD50" s="102"/>
      <c r="AE50" s="102"/>
      <c r="AF50" s="6"/>
      <c r="AG50" s="6"/>
      <c r="AH50" s="6"/>
      <c r="AI50" s="6"/>
    </row>
    <row r="51" spans="2:35" ht="15.75" thickBot="1" x14ac:dyDescent="0.25">
      <c r="B51" s="287"/>
      <c r="C51" s="198">
        <v>37</v>
      </c>
      <c r="D51" s="198">
        <v>48.056279424946894</v>
      </c>
      <c r="E51" s="198">
        <v>59.54438054348617</v>
      </c>
      <c r="F51" s="198">
        <v>73.674744919289481</v>
      </c>
      <c r="G51" s="198">
        <v>82.520582780564723</v>
      </c>
      <c r="H51" s="198">
        <v>94.008683899104</v>
      </c>
      <c r="I51" s="198">
        <v>105.49678501764328</v>
      </c>
      <c r="L51" s="220"/>
      <c r="N51" s="17"/>
      <c r="O51" s="6"/>
      <c r="P51" s="6"/>
      <c r="Q51" s="6"/>
      <c r="R51" s="6"/>
      <c r="S51" s="6"/>
      <c r="T51" s="6"/>
      <c r="U51" s="6"/>
      <c r="V51" s="6"/>
      <c r="W51" s="6"/>
      <c r="X51" s="6"/>
      <c r="Y51" s="6"/>
      <c r="Z51" s="7"/>
      <c r="AB51" s="242"/>
      <c r="AC51" s="242" t="s">
        <v>310</v>
      </c>
      <c r="AD51" s="263">
        <v>97.958247636523097</v>
      </c>
      <c r="AE51" s="263">
        <v>159.12427614732599</v>
      </c>
      <c r="AF51" s="6"/>
      <c r="AG51" s="6"/>
      <c r="AH51" s="6"/>
      <c r="AI51" s="6"/>
    </row>
    <row r="52" spans="2:35" ht="15" x14ac:dyDescent="0.2">
      <c r="B52" s="287"/>
      <c r="C52" s="198">
        <v>40</v>
      </c>
      <c r="D52" s="198">
        <v>51.782150057986655</v>
      </c>
      <c r="E52" s="198">
        <v>64.201718834785879</v>
      </c>
      <c r="F52" s="198">
        <v>79.477788430248907</v>
      </c>
      <c r="G52" s="198">
        <v>89.040856388384313</v>
      </c>
      <c r="H52" s="198">
        <v>101.46042516518352</v>
      </c>
      <c r="I52" s="198">
        <v>113.87999394198275</v>
      </c>
      <c r="L52" s="220"/>
      <c r="N52" s="17"/>
      <c r="O52" s="6"/>
      <c r="P52" s="6"/>
      <c r="Q52" s="6"/>
      <c r="R52" s="6"/>
      <c r="S52" s="6"/>
      <c r="T52" s="6"/>
      <c r="U52" s="6"/>
      <c r="V52" s="6"/>
      <c r="W52" s="6"/>
      <c r="X52" s="6"/>
      <c r="Y52" s="6"/>
      <c r="Z52" s="7"/>
      <c r="AB52" s="6"/>
      <c r="AC52" s="6"/>
      <c r="AD52" s="6"/>
      <c r="AE52" s="6"/>
      <c r="AF52" s="6"/>
      <c r="AG52" s="6"/>
      <c r="AH52" s="6"/>
      <c r="AI52" s="6"/>
    </row>
    <row r="53" spans="2:35" ht="15" x14ac:dyDescent="0.2">
      <c r="B53" s="287"/>
      <c r="C53" s="198">
        <v>43</v>
      </c>
      <c r="D53" s="198">
        <v>55.508020691026424</v>
      </c>
      <c r="E53" s="198">
        <v>68.859057126085588</v>
      </c>
      <c r="F53" s="198">
        <v>85.280831941208348</v>
      </c>
      <c r="G53" s="198">
        <v>95.561129996203903</v>
      </c>
      <c r="H53" s="198">
        <v>108.91216643126306</v>
      </c>
      <c r="I53" s="198">
        <v>122.26320286632222</v>
      </c>
      <c r="L53" s="220"/>
      <c r="N53" s="17"/>
      <c r="O53" s="6"/>
      <c r="P53" s="6"/>
      <c r="Q53" s="6"/>
      <c r="R53" s="6"/>
      <c r="S53" s="6"/>
      <c r="T53" s="6"/>
      <c r="U53" s="6"/>
      <c r="V53" s="6"/>
      <c r="W53" s="6"/>
      <c r="X53" s="6"/>
      <c r="Y53" s="6"/>
      <c r="Z53" s="7"/>
      <c r="AB53" s="6"/>
      <c r="AC53" s="6"/>
      <c r="AD53" s="6"/>
      <c r="AE53" s="6"/>
      <c r="AF53" s="6"/>
      <c r="AG53" s="6"/>
      <c r="AH53" s="6"/>
      <c r="AI53" s="6"/>
    </row>
    <row r="54" spans="2:35" ht="15.75" thickBot="1" x14ac:dyDescent="0.25">
      <c r="B54" s="287"/>
      <c r="C54" s="198">
        <v>46</v>
      </c>
      <c r="D54" s="198">
        <v>59.233891324066185</v>
      </c>
      <c r="E54" s="198">
        <v>73.516395417385283</v>
      </c>
      <c r="F54" s="198">
        <v>91.083875452167788</v>
      </c>
      <c r="G54" s="198">
        <v>102.08140360402349</v>
      </c>
      <c r="H54" s="198">
        <v>116.36390769734258</v>
      </c>
      <c r="I54" s="198">
        <v>130.64641179066169</v>
      </c>
      <c r="L54" s="220"/>
      <c r="N54" s="17"/>
      <c r="O54" s="6"/>
      <c r="P54" s="6"/>
      <c r="Q54" s="6"/>
      <c r="R54" s="6"/>
      <c r="S54" s="6"/>
      <c r="T54" s="6"/>
      <c r="U54" s="6"/>
      <c r="V54" s="6"/>
      <c r="W54" s="6"/>
      <c r="X54" s="6"/>
      <c r="Y54" s="6"/>
      <c r="Z54" s="7"/>
      <c r="AB54" s="6"/>
      <c r="AC54" s="6"/>
      <c r="AD54" s="6"/>
      <c r="AE54" s="6"/>
      <c r="AF54" s="6"/>
      <c r="AG54" s="6"/>
      <c r="AH54" s="6"/>
      <c r="AI54" s="6"/>
    </row>
    <row r="55" spans="2:35" ht="15" x14ac:dyDescent="0.2">
      <c r="B55" s="196"/>
      <c r="L55" s="220"/>
      <c r="N55" s="17"/>
      <c r="O55" s="6"/>
      <c r="P55" s="6"/>
      <c r="Q55" s="6"/>
      <c r="R55" s="6"/>
      <c r="S55" s="6"/>
      <c r="T55" s="6"/>
      <c r="U55" s="6"/>
      <c r="V55" s="6"/>
      <c r="W55" s="6"/>
      <c r="X55" s="6"/>
      <c r="Y55" s="6"/>
      <c r="Z55" s="7"/>
      <c r="AB55" s="237" t="s">
        <v>467</v>
      </c>
      <c r="AC55" s="237"/>
      <c r="AD55" s="238"/>
      <c r="AE55" s="238"/>
      <c r="AF55" s="6"/>
      <c r="AG55" s="6"/>
      <c r="AH55" s="6"/>
      <c r="AI55" s="6"/>
    </row>
    <row r="56" spans="2:35" ht="15" x14ac:dyDescent="0.2">
      <c r="B56" s="351" t="s">
        <v>376</v>
      </c>
      <c r="C56" s="269"/>
      <c r="D56" s="269"/>
      <c r="E56" s="269"/>
      <c r="F56" s="269"/>
      <c r="G56" s="269"/>
      <c r="H56" s="269"/>
      <c r="I56" s="270"/>
      <c r="L56" s="220"/>
      <c r="N56" s="17"/>
      <c r="O56" s="6"/>
      <c r="P56" s="6"/>
      <c r="Q56" s="6"/>
      <c r="R56" s="6"/>
      <c r="S56" s="6"/>
      <c r="T56" s="6"/>
      <c r="U56" s="6"/>
      <c r="V56" s="6"/>
      <c r="W56" s="6"/>
      <c r="X56" s="6"/>
      <c r="Y56" s="6"/>
      <c r="Z56" s="7"/>
      <c r="AB56" s="239"/>
      <c r="AC56" s="239"/>
      <c r="AD56" s="240" t="s">
        <v>469</v>
      </c>
      <c r="AE56" s="240" t="s">
        <v>472</v>
      </c>
      <c r="AF56" s="6"/>
      <c r="AG56" s="6"/>
      <c r="AH56" s="6"/>
      <c r="AI56" s="6"/>
    </row>
    <row r="57" spans="2:35" ht="15" x14ac:dyDescent="0.2">
      <c r="B57" s="17"/>
      <c r="C57" s="6"/>
      <c r="D57" s="287" t="s">
        <v>372</v>
      </c>
      <c r="E57" s="287"/>
      <c r="F57" s="287"/>
      <c r="G57" s="287"/>
      <c r="H57" s="287"/>
      <c r="I57" s="287"/>
      <c r="L57" s="220"/>
      <c r="N57" s="17"/>
      <c r="O57" s="6"/>
      <c r="P57" s="6"/>
      <c r="Q57" s="6"/>
      <c r="R57" s="6"/>
      <c r="S57" s="6"/>
      <c r="T57" s="6"/>
      <c r="U57" s="6"/>
      <c r="V57" s="6"/>
      <c r="W57" s="6"/>
      <c r="X57" s="6"/>
      <c r="Y57" s="6"/>
      <c r="Z57" s="7"/>
      <c r="AB57" s="255"/>
      <c r="AC57" s="255"/>
      <c r="AD57" s="6"/>
      <c r="AE57" s="258"/>
      <c r="AF57" s="6"/>
      <c r="AG57" s="6"/>
      <c r="AH57" s="6"/>
      <c r="AI57" s="6"/>
    </row>
    <row r="58" spans="2:35" ht="15" x14ac:dyDescent="0.2">
      <c r="B58" s="287" t="s">
        <v>343</v>
      </c>
      <c r="C58" s="197">
        <v>41.19</v>
      </c>
      <c r="D58" s="198">
        <v>4500</v>
      </c>
      <c r="E58" s="198">
        <v>5000</v>
      </c>
      <c r="F58" s="199">
        <v>5438</v>
      </c>
      <c r="G58" s="198">
        <v>6000</v>
      </c>
      <c r="H58" s="198">
        <v>6500</v>
      </c>
      <c r="I58" s="198">
        <v>7000</v>
      </c>
      <c r="L58" s="220"/>
      <c r="N58" s="17"/>
      <c r="O58" s="6"/>
      <c r="P58" s="6"/>
      <c r="Q58" s="6"/>
      <c r="R58" s="6"/>
      <c r="S58" s="6"/>
      <c r="T58" s="6"/>
      <c r="U58" s="6"/>
      <c r="V58" s="6"/>
      <c r="W58" s="6"/>
      <c r="X58" s="6"/>
      <c r="Y58" s="6"/>
      <c r="Z58" s="7"/>
      <c r="AB58" s="241" t="s">
        <v>468</v>
      </c>
      <c r="AC58" s="241"/>
      <c r="AD58" s="102"/>
      <c r="AE58" s="102"/>
      <c r="AF58" s="6"/>
      <c r="AG58" s="6"/>
      <c r="AH58" s="6"/>
      <c r="AI58" s="6"/>
    </row>
    <row r="59" spans="2:35" ht="15" x14ac:dyDescent="0.2">
      <c r="B59" s="287"/>
      <c r="C59" s="198">
        <v>4</v>
      </c>
      <c r="D59" s="198">
        <v>13.281486849909083</v>
      </c>
      <c r="E59" s="198">
        <v>14.523443727589004</v>
      </c>
      <c r="F59" s="198">
        <v>15.611397952436617</v>
      </c>
      <c r="G59" s="198">
        <v>17.007357482948848</v>
      </c>
      <c r="H59" s="198">
        <v>18.24931436062877</v>
      </c>
      <c r="I59" s="198">
        <v>19.491271238308691</v>
      </c>
      <c r="L59" s="220"/>
      <c r="N59" s="17"/>
      <c r="O59" s="6"/>
      <c r="P59" s="6"/>
      <c r="Q59" s="6"/>
      <c r="R59" s="6"/>
      <c r="S59" s="6"/>
      <c r="T59" s="6"/>
      <c r="U59" s="6"/>
      <c r="V59" s="6"/>
      <c r="W59" s="6"/>
      <c r="X59" s="6"/>
      <c r="Y59" s="6"/>
      <c r="Z59" s="7"/>
      <c r="AB59" s="255"/>
      <c r="AC59" s="255" t="s">
        <v>302</v>
      </c>
      <c r="AD59" s="180">
        <v>0.14044596112522401</v>
      </c>
      <c r="AE59" s="261">
        <v>0.14499999999999999</v>
      </c>
      <c r="AF59" s="6"/>
      <c r="AG59" s="6"/>
      <c r="AH59" s="6"/>
      <c r="AI59" s="6"/>
    </row>
    <row r="60" spans="2:35" ht="15" x14ac:dyDescent="0.2">
      <c r="B60" s="287"/>
      <c r="C60" s="198">
        <v>6</v>
      </c>
      <c r="D60" s="198">
        <v>18.870292799468732</v>
      </c>
      <c r="E60" s="198">
        <v>20.733228115988613</v>
      </c>
      <c r="F60" s="198">
        <v>22.365159453260031</v>
      </c>
      <c r="G60" s="198">
        <v>24.459098749028378</v>
      </c>
      <c r="H60" s="198">
        <v>26.322034065548262</v>
      </c>
      <c r="I60" s="198">
        <v>28.184969382068143</v>
      </c>
      <c r="L60" s="220"/>
      <c r="N60" s="17"/>
      <c r="O60" s="6"/>
      <c r="P60" s="6"/>
      <c r="Q60" s="6"/>
      <c r="R60" s="6"/>
      <c r="S60" s="6"/>
      <c r="T60" s="6"/>
      <c r="U60" s="6"/>
      <c r="V60" s="6"/>
      <c r="W60" s="6"/>
      <c r="X60" s="6"/>
      <c r="Y60" s="6"/>
      <c r="Z60" s="7"/>
      <c r="AB60" s="255"/>
      <c r="AC60" s="255" t="s">
        <v>478</v>
      </c>
      <c r="AD60" s="180">
        <v>0.1</v>
      </c>
      <c r="AE60" s="261">
        <v>9.5000000000000001E-2</v>
      </c>
      <c r="AF60" s="6"/>
      <c r="AG60" s="6"/>
      <c r="AH60" s="6"/>
      <c r="AI60" s="6"/>
    </row>
    <row r="61" spans="2:35" ht="15" x14ac:dyDescent="0.25">
      <c r="B61" s="287"/>
      <c r="C61" s="198">
        <v>8</v>
      </c>
      <c r="D61" s="198">
        <v>24.459098749028378</v>
      </c>
      <c r="E61" s="198">
        <v>26.943012504388221</v>
      </c>
      <c r="F61" s="198">
        <v>29.118920954083446</v>
      </c>
      <c r="G61" s="198">
        <v>31.910840015107908</v>
      </c>
      <c r="H61" s="198">
        <v>34.394753770467752</v>
      </c>
      <c r="I61" s="198">
        <v>36.878667525827595</v>
      </c>
      <c r="L61" s="220"/>
      <c r="N61" s="403" t="s">
        <v>418</v>
      </c>
      <c r="O61" s="404"/>
      <c r="P61" s="405" t="s">
        <v>419</v>
      </c>
      <c r="Q61" s="405"/>
      <c r="R61" s="6"/>
      <c r="S61" s="223"/>
      <c r="T61" s="223" t="s">
        <v>435</v>
      </c>
      <c r="U61" s="223"/>
      <c r="V61" s="223"/>
      <c r="W61" s="222" t="s">
        <v>419</v>
      </c>
      <c r="X61" s="6"/>
      <c r="Y61" s="6"/>
      <c r="Z61" s="7"/>
      <c r="AB61" s="255"/>
      <c r="AC61" s="255" t="s">
        <v>485</v>
      </c>
      <c r="AD61" s="185">
        <v>0.15</v>
      </c>
      <c r="AE61" s="262">
        <v>0.14000000000000001</v>
      </c>
      <c r="AF61" s="6"/>
      <c r="AG61" s="6"/>
      <c r="AH61" s="6"/>
      <c r="AI61" s="6"/>
    </row>
    <row r="62" spans="2:35" ht="15" x14ac:dyDescent="0.25">
      <c r="B62" s="287"/>
      <c r="C62" s="198">
        <v>10</v>
      </c>
      <c r="D62" s="198">
        <v>30.047904698588027</v>
      </c>
      <c r="E62" s="198">
        <v>33.152796892787833</v>
      </c>
      <c r="F62" s="198">
        <v>35.872682454906858</v>
      </c>
      <c r="G62" s="198">
        <v>39.362581281187438</v>
      </c>
      <c r="H62" s="198">
        <v>42.467473475387244</v>
      </c>
      <c r="I62" s="198">
        <v>45.57236566958705</v>
      </c>
      <c r="L62" s="220"/>
      <c r="N62" s="224"/>
      <c r="O62" s="223" t="s">
        <v>420</v>
      </c>
      <c r="P62" s="223"/>
      <c r="Q62" s="225">
        <v>10000</v>
      </c>
      <c r="R62" s="6"/>
      <c r="S62" s="223"/>
      <c r="T62" s="223"/>
      <c r="U62" s="223" t="s">
        <v>436</v>
      </c>
      <c r="V62" s="223"/>
      <c r="W62" s="226">
        <v>38.407086388788002</v>
      </c>
      <c r="X62" s="6"/>
      <c r="Y62" s="6"/>
      <c r="Z62" s="7"/>
      <c r="AB62" s="241" t="s">
        <v>470</v>
      </c>
      <c r="AC62" s="241"/>
      <c r="AD62" s="102"/>
      <c r="AE62" s="102"/>
      <c r="AF62" s="6"/>
      <c r="AG62" s="6"/>
      <c r="AH62" s="6"/>
      <c r="AI62" s="6"/>
    </row>
    <row r="63" spans="2:35" ht="15.75" thickBot="1" x14ac:dyDescent="0.3">
      <c r="B63" s="287"/>
      <c r="C63" s="199">
        <v>11.574999999999999</v>
      </c>
      <c r="D63" s="198">
        <v>34.449089383866252</v>
      </c>
      <c r="E63" s="198">
        <v>38.043002098652522</v>
      </c>
      <c r="F63" s="199">
        <v>41.191269636805302</v>
      </c>
      <c r="G63" s="198">
        <v>45.23082752822507</v>
      </c>
      <c r="H63" s="198">
        <v>48.824740243011341</v>
      </c>
      <c r="I63" s="198">
        <v>52.418652957797619</v>
      </c>
      <c r="L63" s="220"/>
      <c r="N63" s="224"/>
      <c r="O63" s="223" t="s">
        <v>421</v>
      </c>
      <c r="P63" s="223"/>
      <c r="Q63" s="226">
        <v>101.23</v>
      </c>
      <c r="R63" s="6"/>
      <c r="S63" s="223"/>
      <c r="T63" s="223"/>
      <c r="U63" s="223" t="s">
        <v>437</v>
      </c>
      <c r="V63" s="223"/>
      <c r="W63" s="226">
        <v>51.131819935421099</v>
      </c>
      <c r="X63" s="6"/>
      <c r="Y63" s="6"/>
      <c r="Z63" s="7"/>
      <c r="AB63" s="242"/>
      <c r="AC63" s="242" t="s">
        <v>310</v>
      </c>
      <c r="AD63" s="263">
        <v>97.958247636523097</v>
      </c>
      <c r="AE63" s="263">
        <v>63.571681190330999</v>
      </c>
      <c r="AF63" s="6"/>
      <c r="AG63" s="6"/>
      <c r="AH63" s="6"/>
      <c r="AI63" s="6"/>
    </row>
    <row r="64" spans="2:35" ht="15" x14ac:dyDescent="0.25">
      <c r="B64" s="287"/>
      <c r="C64" s="198">
        <v>14</v>
      </c>
      <c r="D64" s="198">
        <v>41.225516597707326</v>
      </c>
      <c r="E64" s="198">
        <v>45.57236566958705</v>
      </c>
      <c r="F64" s="198">
        <v>49.380205456553689</v>
      </c>
      <c r="G64" s="198">
        <v>54.266063813346499</v>
      </c>
      <c r="H64" s="198">
        <v>58.61291288522623</v>
      </c>
      <c r="I64" s="198">
        <v>62.959761957105954</v>
      </c>
      <c r="L64" s="220"/>
      <c r="N64" s="224"/>
      <c r="O64" s="223" t="s">
        <v>422</v>
      </c>
      <c r="P64" s="223"/>
      <c r="Q64" s="226">
        <v>100.84947834454842</v>
      </c>
      <c r="R64" s="6"/>
      <c r="S64" s="223"/>
      <c r="T64" s="223"/>
      <c r="U64" s="223" t="s">
        <v>438</v>
      </c>
      <c r="V64" s="223"/>
      <c r="W64" s="226">
        <v>56.805629196932571</v>
      </c>
      <c r="X64" s="6"/>
      <c r="Y64" s="6"/>
      <c r="Z64" s="7"/>
      <c r="AF64" s="6"/>
      <c r="AG64" s="6"/>
      <c r="AH64" s="6"/>
      <c r="AI64" s="6"/>
    </row>
    <row r="65" spans="2:35" ht="15" x14ac:dyDescent="0.25">
      <c r="B65" s="287"/>
      <c r="C65" s="198">
        <v>16</v>
      </c>
      <c r="D65" s="198">
        <v>46.814322547266968</v>
      </c>
      <c r="E65" s="198">
        <v>51.782150057986655</v>
      </c>
      <c r="F65" s="198">
        <v>56.133966957377105</v>
      </c>
      <c r="G65" s="198">
        <v>61.717805079426029</v>
      </c>
      <c r="H65" s="198">
        <v>66.685632590145715</v>
      </c>
      <c r="I65" s="198">
        <v>71.653460100865402</v>
      </c>
      <c r="L65" s="220"/>
      <c r="N65" s="224"/>
      <c r="O65" s="223" t="s">
        <v>423</v>
      </c>
      <c r="P65" s="223"/>
      <c r="Q65" s="226">
        <v>78.625635480384545</v>
      </c>
      <c r="R65" s="6"/>
      <c r="S65" s="223"/>
      <c r="T65" s="223"/>
      <c r="U65" s="223" t="s">
        <v>439</v>
      </c>
      <c r="V65" s="223"/>
      <c r="W65" s="226">
        <v>62.708906605551519</v>
      </c>
      <c r="X65" s="6"/>
      <c r="Y65" s="6"/>
      <c r="Z65" s="7"/>
      <c r="AB65" s="385" t="s">
        <v>492</v>
      </c>
      <c r="AC65" s="387"/>
      <c r="AF65" s="6"/>
      <c r="AG65" s="6"/>
      <c r="AH65" s="6"/>
      <c r="AI65" s="6"/>
    </row>
    <row r="66" spans="2:35" ht="15" x14ac:dyDescent="0.25">
      <c r="B66" s="287"/>
      <c r="C66" s="198">
        <v>18</v>
      </c>
      <c r="D66" s="198">
        <v>52.403128496826618</v>
      </c>
      <c r="E66" s="198">
        <v>57.991934446386267</v>
      </c>
      <c r="F66" s="219">
        <v>62.88772845820052</v>
      </c>
      <c r="G66" s="219">
        <v>69.169546345505566</v>
      </c>
      <c r="H66" s="198">
        <v>74.758352295065208</v>
      </c>
      <c r="I66" s="198">
        <v>80.347158244624865</v>
      </c>
      <c r="L66" s="220"/>
      <c r="N66" s="224"/>
      <c r="O66" s="223" t="s">
        <v>424</v>
      </c>
      <c r="P66" s="223"/>
      <c r="Q66" s="227" t="s">
        <v>425</v>
      </c>
      <c r="R66" s="6"/>
      <c r="S66" s="223"/>
      <c r="T66" s="223"/>
      <c r="U66" s="223" t="s">
        <v>440</v>
      </c>
      <c r="V66" s="223"/>
      <c r="W66" s="226">
        <v>70.077774032620454</v>
      </c>
      <c r="X66" s="6"/>
      <c r="Y66" s="6"/>
      <c r="Z66" s="7"/>
      <c r="AB66" s="268" t="s">
        <v>493</v>
      </c>
      <c r="AC66" s="318"/>
      <c r="AD66" s="318"/>
      <c r="AE66" s="318"/>
      <c r="AF66" s="318"/>
      <c r="AG66" s="318"/>
      <c r="AH66" s="318"/>
      <c r="AI66" s="319"/>
    </row>
    <row r="67" spans="2:35" ht="15" x14ac:dyDescent="0.25">
      <c r="B67" s="287"/>
      <c r="C67" s="198">
        <v>20</v>
      </c>
      <c r="D67" s="198">
        <v>57.991934446386267</v>
      </c>
      <c r="E67" s="198">
        <v>64.201718834785879</v>
      </c>
      <c r="F67" s="219">
        <v>69.641489959023929</v>
      </c>
      <c r="G67" s="219">
        <v>76.621287611585089</v>
      </c>
      <c r="H67" s="198">
        <v>82.831071999984701</v>
      </c>
      <c r="I67" s="198">
        <v>89.040856388384313</v>
      </c>
      <c r="L67" s="220"/>
      <c r="N67" s="224"/>
      <c r="O67" s="223" t="s">
        <v>426</v>
      </c>
      <c r="P67" s="223"/>
      <c r="Q67" s="226">
        <v>83.343466044252636</v>
      </c>
      <c r="R67" s="6"/>
      <c r="S67" s="223"/>
      <c r="T67" s="223"/>
      <c r="U67" s="223" t="s">
        <v>441</v>
      </c>
      <c r="V67" s="223"/>
      <c r="W67" s="226">
        <v>78.616903173086214</v>
      </c>
      <c r="X67" s="6"/>
      <c r="Y67" s="6"/>
      <c r="Z67" s="7"/>
      <c r="AB67" s="289"/>
      <c r="AC67" s="290"/>
      <c r="AD67" s="290"/>
      <c r="AE67" s="290"/>
      <c r="AF67" s="290"/>
      <c r="AG67" s="290"/>
      <c r="AH67" s="290"/>
      <c r="AI67" s="303"/>
    </row>
    <row r="68" spans="2:35" ht="15" x14ac:dyDescent="0.25">
      <c r="B68" s="287"/>
      <c r="C68" s="198">
        <v>22</v>
      </c>
      <c r="D68" s="198">
        <v>63.580740395945917</v>
      </c>
      <c r="E68" s="198">
        <v>70.411503223185477</v>
      </c>
      <c r="F68" s="198">
        <v>76.395251459847344</v>
      </c>
      <c r="G68" s="198">
        <v>84.073028877664626</v>
      </c>
      <c r="H68" s="198">
        <v>90.903791704904194</v>
      </c>
      <c r="I68" s="198">
        <v>97.734554532143761</v>
      </c>
      <c r="L68" s="220"/>
      <c r="N68" s="224"/>
      <c r="O68" s="223" t="s">
        <v>427</v>
      </c>
      <c r="P68" s="223"/>
      <c r="Q68" s="226">
        <v>6946.1333322694918</v>
      </c>
      <c r="R68" s="6"/>
      <c r="S68" s="223"/>
      <c r="T68" s="223"/>
      <c r="U68" s="223" t="s">
        <v>442</v>
      </c>
      <c r="V68" s="223"/>
      <c r="W68" s="226">
        <v>89.951571352622594</v>
      </c>
      <c r="X68" s="6"/>
      <c r="Y68" s="6"/>
      <c r="Z68" s="7"/>
      <c r="AB68" s="289"/>
      <c r="AC68" s="290"/>
      <c r="AD68" s="290"/>
      <c r="AE68" s="290"/>
      <c r="AF68" s="290"/>
      <c r="AG68" s="290"/>
      <c r="AH68" s="290"/>
      <c r="AI68" s="303"/>
    </row>
    <row r="69" spans="2:35" ht="15" x14ac:dyDescent="0.25">
      <c r="B69" s="287"/>
      <c r="C69" s="198">
        <v>24</v>
      </c>
      <c r="D69" s="198">
        <v>69.169546345505566</v>
      </c>
      <c r="E69" s="198">
        <v>76.621287611585089</v>
      </c>
      <c r="F69" s="198">
        <v>83.14901296067076</v>
      </c>
      <c r="G69" s="198">
        <v>91.524770143744149</v>
      </c>
      <c r="H69" s="198">
        <v>98.976511409823686</v>
      </c>
      <c r="I69" s="198">
        <v>106.42825267590321</v>
      </c>
      <c r="L69" s="220"/>
      <c r="N69" s="224"/>
      <c r="O69" s="223" t="s">
        <v>428</v>
      </c>
      <c r="P69" s="223"/>
      <c r="Q69" s="228">
        <v>7.9939341952547522</v>
      </c>
      <c r="R69" s="6"/>
      <c r="S69" s="223"/>
      <c r="T69" s="223"/>
      <c r="U69" s="223" t="s">
        <v>443</v>
      </c>
      <c r="V69" s="223"/>
      <c r="W69" s="226">
        <v>104.2699647696591</v>
      </c>
      <c r="X69" s="6"/>
      <c r="Y69" s="6"/>
      <c r="Z69" s="7"/>
      <c r="AB69" s="289"/>
      <c r="AC69" s="290"/>
      <c r="AD69" s="290"/>
      <c r="AE69" s="290"/>
      <c r="AF69" s="290"/>
      <c r="AG69" s="290"/>
      <c r="AH69" s="290"/>
      <c r="AI69" s="303"/>
    </row>
    <row r="70" spans="2:35" ht="15" x14ac:dyDescent="0.25">
      <c r="B70" s="287"/>
      <c r="C70" s="198">
        <v>26</v>
      </c>
      <c r="D70" s="198">
        <v>74.758352295065208</v>
      </c>
      <c r="E70" s="198">
        <v>82.831071999984701</v>
      </c>
      <c r="F70" s="198">
        <v>89.902774461494175</v>
      </c>
      <c r="G70" s="198">
        <v>98.976511409823686</v>
      </c>
      <c r="H70" s="198">
        <v>107.04923111474318</v>
      </c>
      <c r="I70" s="198">
        <v>115.12195081966267</v>
      </c>
      <c r="L70" s="220"/>
      <c r="N70" s="224"/>
      <c r="O70" s="223" t="s">
        <v>429</v>
      </c>
      <c r="P70" s="223"/>
      <c r="Q70" s="228">
        <v>119.14871679438959</v>
      </c>
      <c r="R70" s="6"/>
      <c r="S70" s="223"/>
      <c r="T70" s="223"/>
      <c r="U70" s="223" t="s">
        <v>444</v>
      </c>
      <c r="V70" s="223"/>
      <c r="W70" s="226">
        <v>126.2604343509349</v>
      </c>
      <c r="X70" s="6"/>
      <c r="Y70" s="6"/>
      <c r="Z70" s="7"/>
      <c r="AB70" s="334"/>
      <c r="AC70" s="320"/>
      <c r="AD70" s="320"/>
      <c r="AE70" s="320"/>
      <c r="AF70" s="320"/>
      <c r="AG70" s="320"/>
      <c r="AH70" s="320"/>
      <c r="AI70" s="321"/>
    </row>
    <row r="71" spans="2:35" ht="15" x14ac:dyDescent="0.25">
      <c r="B71" s="287"/>
      <c r="C71" s="198">
        <v>28</v>
      </c>
      <c r="D71" s="198">
        <v>80.347158244624865</v>
      </c>
      <c r="E71" s="198">
        <v>89.040856388384313</v>
      </c>
      <c r="F71" s="198">
        <v>96.656535962317591</v>
      </c>
      <c r="G71" s="198">
        <v>106.42825267590321</v>
      </c>
      <c r="H71" s="198">
        <v>115.12195081966267</v>
      </c>
      <c r="I71" s="198">
        <v>123.81564896342212</v>
      </c>
      <c r="J71" s="195"/>
      <c r="K71" s="195"/>
      <c r="L71" s="221"/>
      <c r="N71" s="224"/>
      <c r="O71" s="223" t="s">
        <v>430</v>
      </c>
      <c r="P71" s="223"/>
      <c r="Q71" s="229">
        <v>0.82641444866489888</v>
      </c>
      <c r="R71" s="6"/>
      <c r="S71" s="223"/>
      <c r="T71" s="223"/>
      <c r="U71" s="223" t="s">
        <v>445</v>
      </c>
      <c r="V71" s="223"/>
      <c r="W71" s="226">
        <v>164.71731829579576</v>
      </c>
      <c r="X71" s="6"/>
      <c r="Y71" s="6"/>
      <c r="Z71" s="7"/>
      <c r="AB71" s="256"/>
      <c r="AC71" s="256"/>
      <c r="AD71" s="12"/>
      <c r="AE71" s="12"/>
      <c r="AF71" s="6"/>
      <c r="AG71" s="6"/>
      <c r="AH71" s="6"/>
      <c r="AI71" s="6"/>
    </row>
    <row r="72" spans="2:35" ht="15" x14ac:dyDescent="0.25">
      <c r="N72" s="224"/>
      <c r="O72" s="223" t="s">
        <v>431</v>
      </c>
      <c r="P72" s="223"/>
      <c r="Q72" s="226">
        <v>38.407086388788002</v>
      </c>
      <c r="R72" s="6"/>
      <c r="S72" s="223"/>
      <c r="T72" s="223"/>
      <c r="U72" s="223" t="s">
        <v>446</v>
      </c>
      <c r="V72" s="223"/>
      <c r="W72" s="226">
        <v>1954.6658202334827</v>
      </c>
      <c r="X72" s="6"/>
      <c r="Y72" s="6"/>
      <c r="Z72" s="7"/>
      <c r="AB72" s="256"/>
      <c r="AC72" s="256"/>
      <c r="AD72" s="12"/>
      <c r="AE72" s="12"/>
      <c r="AF72" s="6"/>
      <c r="AG72" s="6"/>
      <c r="AH72" s="6"/>
      <c r="AI72" s="6"/>
    </row>
    <row r="73" spans="2:35" ht="15" x14ac:dyDescent="0.25">
      <c r="N73" s="224"/>
      <c r="O73" s="223" t="s">
        <v>432</v>
      </c>
      <c r="P73" s="223"/>
      <c r="Q73" s="226">
        <v>1954.6658202334827</v>
      </c>
      <c r="R73" s="6"/>
      <c r="S73" s="6"/>
      <c r="T73" s="6"/>
      <c r="U73" s="6"/>
      <c r="V73" s="6"/>
      <c r="W73" s="6"/>
      <c r="X73" s="6"/>
      <c r="Y73" s="6"/>
      <c r="Z73" s="7"/>
      <c r="AB73" s="256"/>
      <c r="AC73" s="256"/>
      <c r="AD73" s="12"/>
      <c r="AE73" s="12"/>
      <c r="AF73" s="6"/>
      <c r="AG73" s="6"/>
      <c r="AH73" s="6"/>
      <c r="AI73" s="6"/>
    </row>
    <row r="74" spans="2:35" ht="15" x14ac:dyDescent="0.25">
      <c r="B74" s="336" t="s">
        <v>377</v>
      </c>
      <c r="C74" s="327"/>
      <c r="D74" s="327"/>
      <c r="E74" s="327"/>
      <c r="F74" s="327"/>
      <c r="G74" s="327"/>
      <c r="H74" s="327"/>
      <c r="I74" s="327"/>
      <c r="J74" s="327"/>
      <c r="K74" s="327"/>
      <c r="L74" s="328"/>
      <c r="N74" s="224"/>
      <c r="O74" s="223" t="s">
        <v>433</v>
      </c>
      <c r="P74" s="223"/>
      <c r="Q74" s="226">
        <v>1916.2587338446947</v>
      </c>
      <c r="R74" s="6"/>
      <c r="S74" s="6"/>
      <c r="T74" s="6"/>
      <c r="U74" s="6"/>
      <c r="V74" s="6"/>
      <c r="W74" s="6"/>
      <c r="X74" s="6"/>
      <c r="Y74" s="6"/>
      <c r="Z74" s="7"/>
      <c r="AB74" s="256"/>
      <c r="AC74" s="256"/>
      <c r="AD74" s="12"/>
      <c r="AE74" s="12"/>
      <c r="AF74" s="6"/>
      <c r="AG74" s="6"/>
      <c r="AH74" s="6"/>
      <c r="AI74" s="6"/>
    </row>
    <row r="75" spans="2:35" ht="15" x14ac:dyDescent="0.25">
      <c r="B75" s="196"/>
      <c r="L75" s="220"/>
      <c r="N75" s="230"/>
      <c r="O75" s="231" t="s">
        <v>434</v>
      </c>
      <c r="P75" s="231"/>
      <c r="Q75" s="232">
        <v>0.83343466044252634</v>
      </c>
      <c r="R75" s="87"/>
      <c r="S75" s="87"/>
      <c r="T75" s="87"/>
      <c r="U75" s="87"/>
      <c r="V75" s="87"/>
      <c r="W75" s="87"/>
      <c r="X75" s="87"/>
      <c r="Y75" s="87"/>
      <c r="Z75" s="88"/>
      <c r="AB75" s="257"/>
      <c r="AC75" s="257"/>
      <c r="AD75" s="6"/>
      <c r="AE75" s="6"/>
      <c r="AF75" s="6"/>
      <c r="AG75" s="6"/>
      <c r="AH75" s="6"/>
      <c r="AI75" s="6"/>
    </row>
    <row r="76" spans="2:35" ht="15" x14ac:dyDescent="0.2">
      <c r="B76" s="351" t="s">
        <v>377</v>
      </c>
      <c r="C76" s="269"/>
      <c r="D76" s="269"/>
      <c r="E76" s="269"/>
      <c r="F76" s="269"/>
      <c r="G76" s="269"/>
      <c r="H76" s="269"/>
      <c r="I76" s="270"/>
      <c r="L76" s="220"/>
      <c r="N76" s="6"/>
      <c r="O76" s="6"/>
      <c r="P76" s="6"/>
      <c r="Q76" s="6"/>
      <c r="R76" s="6"/>
      <c r="S76" s="6"/>
      <c r="T76" s="6"/>
      <c r="U76" s="6"/>
      <c r="V76" s="6"/>
      <c r="W76" s="6"/>
      <c r="X76" s="6"/>
      <c r="Y76" s="6"/>
      <c r="Z76" s="6"/>
      <c r="AB76" s="256"/>
      <c r="AC76" s="256"/>
      <c r="AD76" s="139"/>
      <c r="AE76" s="139"/>
      <c r="AF76" s="6"/>
      <c r="AG76" s="6"/>
      <c r="AH76" s="6"/>
      <c r="AI76" s="6"/>
    </row>
    <row r="77" spans="2:35" ht="15" x14ac:dyDescent="0.2">
      <c r="B77" s="17"/>
      <c r="C77" s="6"/>
      <c r="D77" s="287" t="s">
        <v>302</v>
      </c>
      <c r="E77" s="287"/>
      <c r="F77" s="287"/>
      <c r="G77" s="287"/>
      <c r="H77" s="287"/>
      <c r="I77" s="287"/>
      <c r="L77" s="220"/>
      <c r="N77" s="336" t="s">
        <v>449</v>
      </c>
      <c r="O77" s="327"/>
      <c r="P77" s="327"/>
      <c r="Q77" s="327"/>
      <c r="R77" s="327"/>
      <c r="S77" s="327"/>
      <c r="T77" s="327"/>
      <c r="U77" s="327"/>
      <c r="V77" s="327"/>
      <c r="W77" s="327"/>
      <c r="X77" s="327"/>
      <c r="Y77" s="327"/>
      <c r="Z77" s="328"/>
    </row>
    <row r="78" spans="2:35" ht="15" customHeight="1" x14ac:dyDescent="0.2">
      <c r="B78" s="286" t="s">
        <v>378</v>
      </c>
      <c r="C78" s="197">
        <v>101.23</v>
      </c>
      <c r="D78" s="123">
        <v>0.1</v>
      </c>
      <c r="E78" s="123">
        <v>0.12</v>
      </c>
      <c r="F78" s="200">
        <v>0.1404</v>
      </c>
      <c r="G78" s="123">
        <v>0.16</v>
      </c>
      <c r="H78" s="123">
        <v>0.18</v>
      </c>
      <c r="I78" s="123">
        <v>0.2</v>
      </c>
      <c r="L78" s="220"/>
      <c r="N78" s="351" t="s">
        <v>450</v>
      </c>
      <c r="O78" s="269"/>
      <c r="P78" s="269"/>
      <c r="Q78" s="269"/>
      <c r="R78" s="269"/>
      <c r="S78" s="269"/>
      <c r="T78" s="269"/>
      <c r="U78" s="269"/>
      <c r="V78" s="270"/>
      <c r="W78" s="6"/>
      <c r="X78" s="6"/>
      <c r="Y78" s="6"/>
      <c r="Z78" s="7"/>
    </row>
    <row r="79" spans="2:35" ht="15" x14ac:dyDescent="0.2">
      <c r="B79" s="286"/>
      <c r="C79" s="123">
        <v>0.06</v>
      </c>
      <c r="D79" s="198">
        <v>115.83420726798627</v>
      </c>
      <c r="E79" s="198">
        <v>76.773690649933258</v>
      </c>
      <c r="F79" s="198">
        <v>57.020954512453173</v>
      </c>
      <c r="G79" s="198">
        <v>45.682252712763265</v>
      </c>
      <c r="H79" s="198">
        <v>37.967348896444854</v>
      </c>
      <c r="I79" s="198">
        <v>32.486102051372001</v>
      </c>
      <c r="L79" s="220"/>
      <c r="N79" s="271" t="s">
        <v>405</v>
      </c>
      <c r="O79" s="272"/>
      <c r="P79" s="272"/>
      <c r="Q79" s="272" t="s">
        <v>406</v>
      </c>
      <c r="R79" s="272"/>
      <c r="S79" s="272"/>
      <c r="T79" s="272" t="s">
        <v>407</v>
      </c>
      <c r="U79" s="272"/>
      <c r="V79" s="273"/>
      <c r="W79" s="6"/>
      <c r="X79" s="6"/>
      <c r="Y79" s="6"/>
      <c r="Z79" s="7"/>
    </row>
    <row r="80" spans="2:35" ht="15" x14ac:dyDescent="0.2">
      <c r="B80" s="286"/>
      <c r="C80" s="123">
        <v>7.0000000000000007E-2</v>
      </c>
      <c r="D80" s="198">
        <v>150.0675179613381</v>
      </c>
      <c r="E80" s="198">
        <v>89.591564373477055</v>
      </c>
      <c r="F80" s="198">
        <v>63.379603531670377</v>
      </c>
      <c r="G80" s="198">
        <v>49.439024871289277</v>
      </c>
      <c r="H80" s="198">
        <v>40.373162827057314</v>
      </c>
      <c r="I80" s="198">
        <v>34.126694480707968</v>
      </c>
      <c r="L80" s="220"/>
      <c r="N80" s="271" t="s">
        <v>265</v>
      </c>
      <c r="O80" s="272"/>
      <c r="P80" s="272"/>
      <c r="Q80" s="272" t="s">
        <v>411</v>
      </c>
      <c r="R80" s="272"/>
      <c r="S80" s="272"/>
      <c r="T80" s="272" t="s">
        <v>415</v>
      </c>
      <c r="U80" s="272"/>
      <c r="V80" s="273"/>
      <c r="W80" s="6"/>
      <c r="X80" s="6"/>
      <c r="Y80" s="6"/>
      <c r="Z80" s="7"/>
    </row>
    <row r="81" spans="2:26" ht="15" x14ac:dyDescent="0.2">
      <c r="B81" s="286"/>
      <c r="C81" s="159">
        <v>0.08</v>
      </c>
      <c r="D81" s="198">
        <v>218.53413934804166</v>
      </c>
      <c r="E81" s="198">
        <v>108.81837495879265</v>
      </c>
      <c r="F81" s="198">
        <v>71.84376547115815</v>
      </c>
      <c r="G81" s="198">
        <v>54.134990069446829</v>
      </c>
      <c r="H81" s="198">
        <v>43.260139543792249</v>
      </c>
      <c r="I81" s="198">
        <v>36.04071898159993</v>
      </c>
      <c r="L81" s="220"/>
      <c r="N81" s="271" t="s">
        <v>316</v>
      </c>
      <c r="O81" s="272"/>
      <c r="P81" s="272"/>
      <c r="Q81" s="272" t="s">
        <v>411</v>
      </c>
      <c r="R81" s="272"/>
      <c r="S81" s="272"/>
      <c r="T81" s="272" t="s">
        <v>414</v>
      </c>
      <c r="U81" s="272"/>
      <c r="V81" s="273"/>
      <c r="W81" s="6"/>
      <c r="X81" s="6"/>
      <c r="Y81" s="6"/>
      <c r="Z81" s="7"/>
    </row>
    <row r="82" spans="2:26" ht="15" x14ac:dyDescent="0.2">
      <c r="B82" s="286"/>
      <c r="C82" s="123">
        <v>0.09</v>
      </c>
      <c r="D82" s="198">
        <v>423.93400350815233</v>
      </c>
      <c r="E82" s="198">
        <v>140.86305926765209</v>
      </c>
      <c r="F82" s="198">
        <v>83.666721831077567</v>
      </c>
      <c r="G82" s="198">
        <v>60.172659609935067</v>
      </c>
      <c r="H82" s="198">
        <v>46.788666642023848</v>
      </c>
      <c r="I82" s="198">
        <v>38.302747937199527</v>
      </c>
      <c r="L82" s="220"/>
      <c r="N82" s="271" t="s">
        <v>409</v>
      </c>
      <c r="O82" s="272"/>
      <c r="P82" s="272"/>
      <c r="Q82" s="272" t="s">
        <v>411</v>
      </c>
      <c r="R82" s="272"/>
      <c r="S82" s="272"/>
      <c r="T82" s="272" t="s">
        <v>413</v>
      </c>
      <c r="U82" s="272"/>
      <c r="V82" s="273"/>
      <c r="W82" s="6"/>
      <c r="X82" s="6"/>
      <c r="Y82" s="6"/>
      <c r="Z82" s="7"/>
    </row>
    <row r="83" spans="2:26" ht="15" x14ac:dyDescent="0.2">
      <c r="B83" s="286"/>
      <c r="C83" s="200">
        <v>0.1</v>
      </c>
      <c r="D83" s="198" t="s">
        <v>403</v>
      </c>
      <c r="E83" s="198">
        <v>204.95242788537089</v>
      </c>
      <c r="F83" s="199">
        <v>101.34262688402646</v>
      </c>
      <c r="G83" s="198">
        <v>68.222885663919428</v>
      </c>
      <c r="H83" s="198">
        <v>51.199325514813339</v>
      </c>
      <c r="I83" s="198">
        <v>41.017182683919053</v>
      </c>
      <c r="L83" s="220"/>
      <c r="N83" s="274" t="s">
        <v>408</v>
      </c>
      <c r="O83" s="275"/>
      <c r="P83" s="275"/>
      <c r="Q83" s="275" t="s">
        <v>411</v>
      </c>
      <c r="R83" s="275"/>
      <c r="S83" s="275"/>
      <c r="T83" s="275" t="s">
        <v>412</v>
      </c>
      <c r="U83" s="275"/>
      <c r="V83" s="276"/>
      <c r="W83" s="6"/>
      <c r="X83" s="6"/>
      <c r="Y83" s="6"/>
      <c r="Z83" s="7"/>
    </row>
    <row r="84" spans="2:26" ht="15" x14ac:dyDescent="0.2">
      <c r="B84" s="286"/>
      <c r="C84" s="123">
        <v>0.11</v>
      </c>
      <c r="D84" s="198" t="s">
        <v>403</v>
      </c>
      <c r="E84" s="198">
        <v>397.22053373852737</v>
      </c>
      <c r="F84" s="198">
        <v>130.6474168402311</v>
      </c>
      <c r="G84" s="198">
        <v>79.493202139497498</v>
      </c>
      <c r="H84" s="198">
        <v>56.870172636971247</v>
      </c>
      <c r="I84" s="198">
        <v>44.334825152131771</v>
      </c>
      <c r="L84" s="220"/>
      <c r="N84" s="17"/>
      <c r="O84" s="6"/>
      <c r="P84" s="6"/>
      <c r="Q84" s="6"/>
      <c r="R84" s="6"/>
      <c r="S84" s="6"/>
      <c r="T84" s="6"/>
      <c r="U84" s="6"/>
      <c r="V84" s="6"/>
      <c r="W84" s="6"/>
      <c r="X84" s="6"/>
      <c r="Y84" s="6"/>
      <c r="Z84" s="7"/>
    </row>
    <row r="85" spans="2:26" ht="15" x14ac:dyDescent="0.2">
      <c r="B85" s="286"/>
      <c r="C85" s="123">
        <v>0.12</v>
      </c>
      <c r="D85" s="198" t="s">
        <v>403</v>
      </c>
      <c r="E85" s="198" t="s">
        <v>403</v>
      </c>
      <c r="F85" s="198">
        <v>188.68239302800899</v>
      </c>
      <c r="G85" s="198">
        <v>96.398676852864639</v>
      </c>
      <c r="H85" s="198">
        <v>64.431302133181816</v>
      </c>
      <c r="I85" s="198">
        <v>48.481878237397687</v>
      </c>
      <c r="L85" s="220"/>
      <c r="N85" s="17"/>
      <c r="O85" s="6"/>
      <c r="P85" s="6"/>
      <c r="Q85" s="6"/>
      <c r="R85" s="6"/>
      <c r="S85" s="6"/>
      <c r="T85" s="6"/>
      <c r="U85" s="6"/>
      <c r="V85" s="6"/>
      <c r="W85" s="6"/>
      <c r="X85" s="6"/>
      <c r="Y85" s="6"/>
      <c r="Z85" s="7"/>
    </row>
    <row r="86" spans="2:26" ht="15" x14ac:dyDescent="0.2">
      <c r="B86" s="286"/>
      <c r="C86" s="123">
        <v>0.13</v>
      </c>
      <c r="D86" s="198" t="s">
        <v>403</v>
      </c>
      <c r="E86" s="198" t="s">
        <v>403</v>
      </c>
      <c r="F86" s="198">
        <v>358.3230926538215</v>
      </c>
      <c r="G86" s="198">
        <v>124.57446804180984</v>
      </c>
      <c r="H86" s="198">
        <v>75.016883427876593</v>
      </c>
      <c r="I86" s="198">
        <v>53.813803632739585</v>
      </c>
      <c r="L86" s="220"/>
      <c r="N86" s="17"/>
      <c r="O86" s="6"/>
      <c r="P86" s="6"/>
      <c r="Q86" s="6"/>
      <c r="R86" s="6"/>
      <c r="S86" s="6"/>
      <c r="T86" s="6"/>
      <c r="U86" s="6"/>
      <c r="V86" s="6"/>
      <c r="W86" s="6"/>
      <c r="X86" s="6"/>
      <c r="Y86" s="6"/>
      <c r="Z86" s="7"/>
    </row>
    <row r="87" spans="2:26" ht="15" x14ac:dyDescent="0.2">
      <c r="B87" s="286"/>
      <c r="C87" s="123">
        <v>0.14000000000000001</v>
      </c>
      <c r="D87" s="198" t="s">
        <v>403</v>
      </c>
      <c r="E87" s="198" t="s">
        <v>403</v>
      </c>
      <c r="F87" s="198">
        <v>9009.9987735706145</v>
      </c>
      <c r="G87" s="198">
        <v>180.9260504197004</v>
      </c>
      <c r="H87" s="198">
        <v>90.895255369918814</v>
      </c>
      <c r="I87" s="198">
        <v>60.923037493195473</v>
      </c>
      <c r="L87" s="220"/>
      <c r="N87" s="17"/>
      <c r="O87" s="6"/>
      <c r="P87" s="6"/>
      <c r="Q87" s="6"/>
      <c r="R87" s="6"/>
      <c r="S87" s="6"/>
      <c r="T87" s="6"/>
      <c r="U87" s="6"/>
      <c r="V87" s="6"/>
      <c r="W87" s="6"/>
      <c r="X87" s="6"/>
      <c r="Y87" s="6"/>
      <c r="Z87" s="7"/>
    </row>
    <row r="88" spans="2:26" ht="15" x14ac:dyDescent="0.2">
      <c r="B88" s="286"/>
      <c r="C88" s="123">
        <v>0.15</v>
      </c>
      <c r="D88" s="198" t="s">
        <v>403</v>
      </c>
      <c r="E88" s="198" t="s">
        <v>403</v>
      </c>
      <c r="F88" s="198" t="s">
        <v>403</v>
      </c>
      <c r="G88" s="198">
        <v>349.98079755337125</v>
      </c>
      <c r="H88" s="198">
        <v>117.35920860665571</v>
      </c>
      <c r="I88" s="198">
        <v>70.875964897833668</v>
      </c>
      <c r="L88" s="220"/>
      <c r="N88" s="17"/>
      <c r="O88" s="6"/>
      <c r="P88" s="6"/>
      <c r="Q88" s="6"/>
      <c r="R88" s="6"/>
      <c r="S88" s="6"/>
      <c r="T88" s="6"/>
      <c r="U88" s="6"/>
      <c r="V88" s="6"/>
      <c r="W88" s="6"/>
      <c r="X88" s="6"/>
      <c r="Y88" s="6"/>
      <c r="Z88" s="7"/>
    </row>
    <row r="89" spans="2:26" ht="15" x14ac:dyDescent="0.2">
      <c r="B89" s="286"/>
      <c r="C89" s="123">
        <v>0.16</v>
      </c>
      <c r="D89" s="198" t="s">
        <v>403</v>
      </c>
      <c r="E89" s="198" t="s">
        <v>403</v>
      </c>
      <c r="F89" s="198" t="s">
        <v>403</v>
      </c>
      <c r="G89" s="198" t="s">
        <v>403</v>
      </c>
      <c r="H89" s="198">
        <v>170.28711508012964</v>
      </c>
      <c r="I89" s="198">
        <v>85.805356004790966</v>
      </c>
      <c r="L89" s="220"/>
      <c r="N89" s="17"/>
      <c r="O89" s="6"/>
      <c r="P89" s="6"/>
      <c r="Q89" s="6"/>
      <c r="R89" s="6"/>
      <c r="S89" s="6"/>
      <c r="T89" s="6"/>
      <c r="U89" s="6"/>
      <c r="V89" s="6"/>
      <c r="W89" s="6"/>
      <c r="X89" s="6"/>
      <c r="Y89" s="6"/>
      <c r="Z89" s="7"/>
    </row>
    <row r="90" spans="2:26" ht="15" x14ac:dyDescent="0.2">
      <c r="B90" s="286"/>
      <c r="C90" s="123">
        <v>0.17</v>
      </c>
      <c r="D90" s="198" t="s">
        <v>403</v>
      </c>
      <c r="E90" s="198" t="s">
        <v>403</v>
      </c>
      <c r="F90" s="198" t="s">
        <v>403</v>
      </c>
      <c r="G90" s="198" t="s">
        <v>403</v>
      </c>
      <c r="H90" s="198">
        <v>329.07083450055188</v>
      </c>
      <c r="I90" s="198">
        <v>110.68767451638654</v>
      </c>
      <c r="L90" s="220"/>
      <c r="N90" s="17"/>
      <c r="O90" s="6"/>
      <c r="P90" s="6"/>
      <c r="Q90" s="6"/>
      <c r="R90" s="6"/>
      <c r="S90" s="6"/>
      <c r="T90" s="6"/>
      <c r="U90" s="6"/>
      <c r="V90" s="6"/>
      <c r="W90" s="6"/>
      <c r="X90" s="6"/>
      <c r="Y90" s="6"/>
      <c r="Z90" s="7"/>
    </row>
    <row r="91" spans="2:26" ht="15" x14ac:dyDescent="0.2">
      <c r="B91" s="286"/>
      <c r="C91" s="123">
        <v>0.18</v>
      </c>
      <c r="D91" s="198" t="s">
        <v>403</v>
      </c>
      <c r="E91" s="198" t="s">
        <v>403</v>
      </c>
      <c r="F91" s="198" t="s">
        <v>403</v>
      </c>
      <c r="G91" s="198" t="s">
        <v>403</v>
      </c>
      <c r="H91" s="198" t="s">
        <v>403</v>
      </c>
      <c r="I91" s="198">
        <v>160.45231153957747</v>
      </c>
      <c r="L91" s="220"/>
      <c r="N91" s="17"/>
      <c r="O91" s="6"/>
      <c r="P91" s="6"/>
      <c r="Q91" s="6"/>
      <c r="R91" s="6"/>
      <c r="S91" s="6"/>
      <c r="T91" s="6"/>
      <c r="U91" s="6"/>
      <c r="V91" s="6"/>
      <c r="W91" s="6"/>
      <c r="X91" s="6"/>
      <c r="Y91" s="6"/>
      <c r="Z91" s="7"/>
    </row>
    <row r="92" spans="2:26" ht="15" x14ac:dyDescent="0.2">
      <c r="B92" s="196"/>
      <c r="I92" s="220"/>
      <c r="L92" s="220"/>
      <c r="N92" s="17"/>
      <c r="O92" s="6"/>
      <c r="P92" s="6"/>
      <c r="Q92" s="6"/>
      <c r="R92" s="6"/>
      <c r="S92" s="6"/>
      <c r="T92" s="6"/>
      <c r="U92" s="6"/>
      <c r="V92" s="6"/>
      <c r="W92" s="6"/>
      <c r="X92" s="6"/>
      <c r="Y92" s="6"/>
      <c r="Z92" s="7"/>
    </row>
    <row r="93" spans="2:26" ht="15" x14ac:dyDescent="0.2">
      <c r="B93" s="196"/>
      <c r="I93" s="220"/>
      <c r="L93" s="220"/>
      <c r="N93" s="17"/>
      <c r="O93" s="6"/>
      <c r="P93" s="6"/>
      <c r="Q93" s="6"/>
      <c r="R93" s="6"/>
      <c r="S93" s="6"/>
      <c r="T93" s="6"/>
      <c r="U93" s="6"/>
      <c r="V93" s="6"/>
      <c r="W93" s="6"/>
      <c r="X93" s="6"/>
      <c r="Y93" s="6"/>
      <c r="Z93" s="7"/>
    </row>
    <row r="94" spans="2:26" ht="15" x14ac:dyDescent="0.2">
      <c r="B94" s="351" t="s">
        <v>377</v>
      </c>
      <c r="C94" s="269"/>
      <c r="D94" s="269"/>
      <c r="E94" s="269"/>
      <c r="F94" s="269"/>
      <c r="G94" s="269"/>
      <c r="H94" s="269"/>
      <c r="I94" s="270"/>
      <c r="L94" s="220"/>
      <c r="N94" s="17"/>
      <c r="O94" s="6"/>
      <c r="P94" s="6"/>
      <c r="Q94" s="6"/>
      <c r="R94" s="6"/>
      <c r="S94" s="6"/>
      <c r="T94" s="6"/>
      <c r="U94" s="6"/>
      <c r="V94" s="6"/>
      <c r="W94" s="6"/>
      <c r="X94" s="6"/>
      <c r="Y94" s="6"/>
      <c r="Z94" s="7"/>
    </row>
    <row r="95" spans="2:26" ht="15" x14ac:dyDescent="0.2">
      <c r="B95" s="17"/>
      <c r="C95" s="6"/>
      <c r="D95" s="287" t="s">
        <v>302</v>
      </c>
      <c r="E95" s="287"/>
      <c r="F95" s="287"/>
      <c r="G95" s="287"/>
      <c r="H95" s="287"/>
      <c r="I95" s="287"/>
      <c r="L95" s="220"/>
      <c r="N95" s="17"/>
      <c r="O95" s="6"/>
      <c r="P95" s="6"/>
      <c r="Q95" s="6"/>
      <c r="R95" s="6"/>
      <c r="S95" s="6"/>
      <c r="T95" s="6"/>
      <c r="U95" s="6"/>
      <c r="V95" s="6"/>
      <c r="W95" s="6"/>
      <c r="X95" s="6"/>
      <c r="Y95" s="6"/>
      <c r="Z95" s="7"/>
    </row>
    <row r="96" spans="2:26" ht="15" customHeight="1" x14ac:dyDescent="0.2">
      <c r="B96" s="286" t="s">
        <v>379</v>
      </c>
      <c r="C96" s="197">
        <v>101.23</v>
      </c>
      <c r="D96" s="123">
        <v>0.11</v>
      </c>
      <c r="E96" s="123">
        <v>0.12</v>
      </c>
      <c r="F96" s="200">
        <v>0.1404</v>
      </c>
      <c r="G96" s="123">
        <v>0.16</v>
      </c>
      <c r="H96" s="123">
        <v>0.18</v>
      </c>
      <c r="I96" s="123">
        <v>0.2</v>
      </c>
      <c r="L96" s="220"/>
      <c r="N96" s="17"/>
      <c r="O96" s="6"/>
      <c r="P96" s="6"/>
      <c r="Q96" s="6"/>
      <c r="R96" s="6"/>
      <c r="S96" s="6"/>
      <c r="T96" s="6"/>
      <c r="U96" s="6"/>
      <c r="V96" s="6"/>
      <c r="W96" s="6"/>
      <c r="X96" s="6"/>
      <c r="Y96" s="6"/>
      <c r="Z96" s="7"/>
    </row>
    <row r="97" spans="2:26" ht="15" x14ac:dyDescent="0.2">
      <c r="B97" s="286"/>
      <c r="C97" s="123">
        <v>0.1</v>
      </c>
      <c r="D97" s="198">
        <v>222.41423332191582</v>
      </c>
      <c r="E97" s="198">
        <v>112.58886203007785</v>
      </c>
      <c r="F97" s="198">
        <v>57.129497119184379</v>
      </c>
      <c r="G97" s="198">
        <v>39.365518188564955</v>
      </c>
      <c r="H97" s="198">
        <v>30.209803602396292</v>
      </c>
      <c r="I97" s="198">
        <v>24.714939303078626</v>
      </c>
      <c r="L97" s="220"/>
      <c r="N97" s="17"/>
      <c r="O97" s="6"/>
      <c r="P97" s="6"/>
      <c r="Q97" s="6"/>
      <c r="R97" s="6"/>
      <c r="S97" s="6"/>
      <c r="T97" s="6"/>
      <c r="U97" s="6"/>
      <c r="V97" s="6"/>
      <c r="W97" s="6"/>
      <c r="X97" s="6"/>
      <c r="Y97" s="6"/>
      <c r="Z97" s="7"/>
    </row>
    <row r="98" spans="2:26" ht="15" x14ac:dyDescent="0.2">
      <c r="B98" s="286"/>
      <c r="C98" s="123">
        <v>0.15</v>
      </c>
      <c r="D98" s="198">
        <v>276.22585937952408</v>
      </c>
      <c r="E98" s="198">
        <v>139.08079400166966</v>
      </c>
      <c r="F98" s="198">
        <v>69.84765076085344</v>
      </c>
      <c r="G98" s="198">
        <v>47.689317183193545</v>
      </c>
      <c r="H98" s="198">
        <v>36.280868954859585</v>
      </c>
      <c r="I98" s="198">
        <v>29.443052398918148</v>
      </c>
      <c r="L98" s="220"/>
      <c r="N98" s="17"/>
      <c r="O98" s="6"/>
      <c r="P98" s="6"/>
      <c r="Q98" s="6"/>
      <c r="R98" s="6"/>
      <c r="S98" s="6"/>
      <c r="T98" s="6"/>
      <c r="U98" s="6"/>
      <c r="V98" s="6"/>
      <c r="W98" s="6"/>
      <c r="X98" s="6"/>
      <c r="Y98" s="6"/>
      <c r="Z98" s="7"/>
    </row>
    <row r="99" spans="2:26" ht="15" x14ac:dyDescent="0.2">
      <c r="B99" s="286"/>
      <c r="C99" s="159">
        <v>0.2</v>
      </c>
      <c r="D99" s="198">
        <v>340.16532591443212</v>
      </c>
      <c r="E99" s="198">
        <v>170.51467743938485</v>
      </c>
      <c r="F99" s="198">
        <v>84.895718118299001</v>
      </c>
      <c r="G99" s="198">
        <v>57.511683091146089</v>
      </c>
      <c r="H99" s="198">
        <v>43.425693375570944</v>
      </c>
      <c r="I99" s="198">
        <v>34.992695826846266</v>
      </c>
      <c r="L99" s="220"/>
      <c r="N99" s="17"/>
      <c r="O99" s="6"/>
      <c r="P99" s="6"/>
      <c r="Q99" s="6"/>
      <c r="R99" s="6"/>
      <c r="S99" s="6"/>
      <c r="T99" s="6"/>
      <c r="U99" s="6"/>
      <c r="V99" s="6"/>
      <c r="W99" s="6"/>
      <c r="X99" s="6"/>
      <c r="Y99" s="6"/>
      <c r="Z99" s="7"/>
    </row>
    <row r="100" spans="2:26" ht="15" x14ac:dyDescent="0.2">
      <c r="B100" s="286"/>
      <c r="C100" s="200">
        <v>0.2467</v>
      </c>
      <c r="D100" s="198">
        <v>410.24263720560128</v>
      </c>
      <c r="E100" s="198">
        <v>204.92557205845776</v>
      </c>
      <c r="F100" s="199">
        <v>101.32981416486969</v>
      </c>
      <c r="G100" s="198">
        <v>68.214549429755991</v>
      </c>
      <c r="H100" s="198">
        <v>51.193281496992171</v>
      </c>
      <c r="I100" s="198">
        <v>41.012503218570053</v>
      </c>
      <c r="L100" s="220"/>
      <c r="N100" s="17"/>
      <c r="O100" s="6"/>
      <c r="P100" s="6"/>
      <c r="Q100" s="6"/>
      <c r="R100" s="6"/>
      <c r="S100" s="6"/>
      <c r="T100" s="6"/>
      <c r="U100" s="6"/>
      <c r="V100" s="6"/>
      <c r="W100" s="6"/>
      <c r="X100" s="6"/>
      <c r="Y100" s="6"/>
      <c r="Z100" s="7"/>
    </row>
    <row r="101" spans="2:26" ht="15" x14ac:dyDescent="0.2">
      <c r="B101" s="286"/>
      <c r="C101" s="159">
        <v>0.3</v>
      </c>
      <c r="D101" s="198">
        <v>504.03664731409168</v>
      </c>
      <c r="E101" s="198">
        <v>250.93326790287472</v>
      </c>
      <c r="F101" s="198">
        <v>123.25489441499587</v>
      </c>
      <c r="G101" s="198">
        <v>82.4640858636226</v>
      </c>
      <c r="H101" s="198">
        <v>61.513334738010151</v>
      </c>
      <c r="I101" s="198">
        <v>48.993958239365476</v>
      </c>
      <c r="L101" s="220"/>
      <c r="N101" s="17"/>
      <c r="O101" s="6"/>
      <c r="P101" s="6"/>
      <c r="Q101" s="6"/>
      <c r="R101" s="6"/>
      <c r="S101" s="6"/>
      <c r="T101" s="6"/>
      <c r="U101" s="6"/>
      <c r="V101" s="6"/>
      <c r="W101" s="6"/>
      <c r="X101" s="6"/>
      <c r="Y101" s="6"/>
      <c r="Z101" s="7"/>
    </row>
    <row r="102" spans="2:26" ht="15" x14ac:dyDescent="0.2">
      <c r="B102" s="286"/>
      <c r="C102" s="123">
        <v>0.35</v>
      </c>
      <c r="D102" s="198">
        <v>607.07522494151101</v>
      </c>
      <c r="E102" s="198">
        <v>301.42695397743387</v>
      </c>
      <c r="F102" s="198">
        <v>147.27075737584707</v>
      </c>
      <c r="G102" s="198">
        <v>98.04332431153702</v>
      </c>
      <c r="H102" s="198">
        <v>72.775051302364304</v>
      </c>
      <c r="I102" s="198">
        <v>57.68731713524874</v>
      </c>
      <c r="L102" s="220"/>
      <c r="N102" s="17"/>
      <c r="O102" s="6"/>
      <c r="P102" s="6"/>
      <c r="Q102" s="6"/>
      <c r="R102" s="6"/>
      <c r="S102" s="6"/>
      <c r="T102" s="6"/>
      <c r="U102" s="6"/>
      <c r="V102" s="6"/>
      <c r="W102" s="6"/>
      <c r="X102" s="6"/>
      <c r="Y102" s="6"/>
      <c r="Z102" s="7"/>
    </row>
    <row r="103" spans="2:26" ht="15" x14ac:dyDescent="0.2">
      <c r="B103" s="286"/>
      <c r="C103" s="123">
        <v>0.4</v>
      </c>
      <c r="D103" s="198">
        <v>726.46498347545037</v>
      </c>
      <c r="E103" s="198">
        <v>359.88533701614045</v>
      </c>
      <c r="F103" s="198">
        <v>175.02826031612793</v>
      </c>
      <c r="G103" s="198">
        <v>116.02093597186416</v>
      </c>
      <c r="H103" s="198">
        <v>85.749314593309336</v>
      </c>
      <c r="I103" s="198">
        <v>67.686429657775662</v>
      </c>
      <c r="L103" s="220"/>
      <c r="N103" s="17"/>
      <c r="O103" s="6"/>
      <c r="P103" s="6"/>
      <c r="Q103" s="6"/>
      <c r="R103" s="6"/>
      <c r="S103" s="6"/>
      <c r="T103" s="6"/>
      <c r="U103" s="6"/>
      <c r="V103" s="6"/>
      <c r="W103" s="6"/>
      <c r="X103" s="6"/>
      <c r="Y103" s="6"/>
      <c r="Z103" s="7"/>
    </row>
    <row r="104" spans="2:26" ht="15" x14ac:dyDescent="0.2">
      <c r="B104" s="286"/>
      <c r="C104" s="123">
        <v>0.45</v>
      </c>
      <c r="D104" s="198">
        <v>864.08383714468084</v>
      </c>
      <c r="E104" s="198">
        <v>427.22017264835108</v>
      </c>
      <c r="F104" s="198">
        <v>206.95287504702046</v>
      </c>
      <c r="G104" s="198">
        <v>136.66789515908317</v>
      </c>
      <c r="H104" s="198">
        <v>100.62834031610168</v>
      </c>
      <c r="I104" s="198">
        <v>79.136886205620073</v>
      </c>
      <c r="L104" s="220"/>
      <c r="N104" s="17"/>
      <c r="O104" s="6"/>
      <c r="P104" s="6"/>
      <c r="Q104" s="6"/>
      <c r="R104" s="6"/>
      <c r="S104" s="6"/>
      <c r="T104" s="6"/>
      <c r="U104" s="6"/>
      <c r="V104" s="6"/>
      <c r="W104" s="6"/>
      <c r="X104" s="6"/>
      <c r="Y104" s="6"/>
      <c r="Z104" s="7"/>
    </row>
    <row r="105" spans="2:26" ht="15" x14ac:dyDescent="0.2">
      <c r="B105" s="286"/>
      <c r="C105" s="123">
        <v>0.5</v>
      </c>
      <c r="D105" s="198">
        <v>1021.9484267304463</v>
      </c>
      <c r="E105" s="198">
        <v>504.41043160581864</v>
      </c>
      <c r="F105" s="198">
        <v>243.50130769826745</v>
      </c>
      <c r="G105" s="198">
        <v>160.27498841586399</v>
      </c>
      <c r="H105" s="198">
        <v>117.61834010535634</v>
      </c>
      <c r="I105" s="198">
        <v>92.194834479440587</v>
      </c>
      <c r="L105" s="220"/>
      <c r="N105" s="17"/>
      <c r="O105" s="6"/>
      <c r="P105" s="6"/>
      <c r="Q105" s="6"/>
      <c r="R105" s="6"/>
      <c r="S105" s="6"/>
      <c r="T105" s="6"/>
      <c r="U105" s="6"/>
      <c r="V105" s="6"/>
      <c r="W105" s="6"/>
      <c r="X105" s="6"/>
      <c r="Y105" s="6"/>
      <c r="Z105" s="7"/>
    </row>
    <row r="106" spans="2:26" ht="15" x14ac:dyDescent="0.2">
      <c r="B106" s="286"/>
      <c r="C106" s="123">
        <v>0.55000000000000004</v>
      </c>
      <c r="D106" s="198">
        <v>1202.2190670184016</v>
      </c>
      <c r="E106" s="198">
        <v>592.50469342291819</v>
      </c>
      <c r="F106" s="198">
        <v>285.16260782839919</v>
      </c>
      <c r="G106" s="198">
        <v>187.15351607922116</v>
      </c>
      <c r="H106" s="198">
        <v>136.9400157315919</v>
      </c>
      <c r="I106" s="198">
        <v>107.0273512178659</v>
      </c>
      <c r="L106" s="220"/>
      <c r="N106" s="17"/>
      <c r="O106" s="6"/>
      <c r="P106" s="6"/>
      <c r="Q106" s="6"/>
      <c r="R106" s="6"/>
      <c r="S106" s="6"/>
      <c r="T106" s="6"/>
      <c r="U106" s="6"/>
      <c r="V106" s="6"/>
      <c r="W106" s="6"/>
      <c r="X106" s="6"/>
      <c r="Y106" s="6"/>
      <c r="Z106" s="7"/>
    </row>
    <row r="107" spans="2:26" ht="15" x14ac:dyDescent="0.2">
      <c r="B107" s="286"/>
      <c r="C107" s="123">
        <v>0.6</v>
      </c>
      <c r="D107" s="198">
        <v>1407.204694250561</v>
      </c>
      <c r="E107" s="198">
        <v>692.62354013687764</v>
      </c>
      <c r="F107" s="198">
        <v>332.45927753496045</v>
      </c>
      <c r="G107" s="198">
        <v>217.63599384666847</v>
      </c>
      <c r="H107" s="198">
        <v>158.82905330777592</v>
      </c>
      <c r="I107" s="198">
        <v>123.81281393348029</v>
      </c>
      <c r="L107" s="220"/>
      <c r="N107" s="17"/>
      <c r="O107" s="6"/>
      <c r="P107" s="6"/>
      <c r="Q107" s="6"/>
      <c r="R107" s="6"/>
      <c r="S107" s="6"/>
      <c r="T107" s="6"/>
      <c r="U107" s="6"/>
      <c r="V107" s="6"/>
      <c r="W107" s="6"/>
      <c r="X107" s="6"/>
      <c r="Y107" s="6"/>
      <c r="Z107" s="7"/>
    </row>
    <row r="108" spans="2:26" ht="15" x14ac:dyDescent="0.2">
      <c r="B108" s="286"/>
      <c r="C108" s="123">
        <v>0.65</v>
      </c>
      <c r="D108" s="198">
        <v>1639.3678135772375</v>
      </c>
      <c r="E108" s="198">
        <v>805.96194998800217</v>
      </c>
      <c r="F108" s="198">
        <v>385.94838056473674</v>
      </c>
      <c r="G108" s="198">
        <v>252.07685434237277</v>
      </c>
      <c r="H108" s="198">
        <v>183.5366174958699</v>
      </c>
      <c r="I108" s="198">
        <v>142.74127264880892</v>
      </c>
      <c r="L108" s="220"/>
      <c r="N108" s="17"/>
      <c r="O108" s="6"/>
      <c r="P108" s="6"/>
      <c r="Q108" s="6"/>
      <c r="R108" s="6"/>
      <c r="S108" s="6"/>
      <c r="T108" s="6"/>
      <c r="U108" s="6"/>
      <c r="V108" s="6"/>
      <c r="W108" s="6"/>
      <c r="X108" s="6"/>
      <c r="Y108" s="6"/>
      <c r="Z108" s="7"/>
    </row>
    <row r="109" spans="2:26" ht="15" x14ac:dyDescent="0.2">
      <c r="B109" s="286"/>
      <c r="C109" s="123">
        <v>0.7</v>
      </c>
      <c r="D109" s="198">
        <v>1901.3294465089864</v>
      </c>
      <c r="E109" s="198">
        <v>933.79169111990518</v>
      </c>
      <c r="F109" s="198">
        <v>446.2226514239818</v>
      </c>
      <c r="G109" s="198">
        <v>290.85314868330784</v>
      </c>
      <c r="H109" s="198">
        <v>211.32984571337457</v>
      </c>
      <c r="I109" s="198">
        <v>164.0148216323033</v>
      </c>
      <c r="J109" s="195"/>
      <c r="K109" s="195"/>
      <c r="L109" s="221"/>
      <c r="N109" s="17"/>
      <c r="O109" s="6"/>
      <c r="P109" s="6"/>
      <c r="Q109" s="6"/>
      <c r="R109" s="6"/>
      <c r="S109" s="6"/>
      <c r="T109" s="6"/>
      <c r="U109" s="6"/>
      <c r="V109" s="6"/>
      <c r="W109" s="6"/>
      <c r="X109" s="6"/>
      <c r="Y109" s="6"/>
      <c r="Z109" s="7"/>
    </row>
    <row r="110" spans="2:26" ht="15" x14ac:dyDescent="0.2">
      <c r="N110" s="17"/>
      <c r="O110" s="6"/>
      <c r="P110" s="6"/>
      <c r="Q110" s="6"/>
      <c r="R110" s="6"/>
      <c r="S110" s="6"/>
      <c r="T110" s="6"/>
      <c r="U110" s="6"/>
      <c r="V110" s="6"/>
      <c r="W110" s="6"/>
      <c r="X110" s="6"/>
      <c r="Y110" s="6"/>
      <c r="Z110" s="7"/>
    </row>
    <row r="111" spans="2:26" ht="15" x14ac:dyDescent="0.2">
      <c r="N111" s="17"/>
      <c r="O111" s="6"/>
      <c r="P111" s="6"/>
      <c r="Q111" s="6"/>
      <c r="R111" s="6"/>
      <c r="S111" s="6"/>
      <c r="T111" s="6"/>
      <c r="U111" s="6"/>
      <c r="V111" s="6"/>
      <c r="W111" s="6"/>
      <c r="X111" s="6"/>
      <c r="Y111" s="6"/>
      <c r="Z111" s="7"/>
    </row>
    <row r="112" spans="2:26" ht="15" x14ac:dyDescent="0.2">
      <c r="B112" s="336" t="s">
        <v>380</v>
      </c>
      <c r="C112" s="327"/>
      <c r="D112" s="327"/>
      <c r="E112" s="327"/>
      <c r="F112" s="327"/>
      <c r="G112" s="327"/>
      <c r="H112" s="327"/>
      <c r="I112" s="327"/>
      <c r="J112" s="327"/>
      <c r="K112" s="327"/>
      <c r="L112" s="328"/>
      <c r="N112" s="17"/>
      <c r="O112" s="6"/>
      <c r="P112" s="6"/>
      <c r="Q112" s="6"/>
      <c r="R112" s="6"/>
      <c r="S112" s="6"/>
      <c r="T112" s="6"/>
      <c r="U112" s="6"/>
      <c r="V112" s="6"/>
      <c r="W112" s="6"/>
      <c r="X112" s="6"/>
      <c r="Y112" s="6"/>
      <c r="Z112" s="7"/>
    </row>
    <row r="113" spans="2:26" ht="15" x14ac:dyDescent="0.2">
      <c r="B113" s="196"/>
      <c r="L113" s="220"/>
      <c r="N113" s="17"/>
      <c r="O113" s="6"/>
      <c r="P113" s="6"/>
      <c r="Q113" s="6"/>
      <c r="R113" s="6"/>
      <c r="S113" s="6"/>
      <c r="T113" s="6"/>
      <c r="U113" s="6"/>
      <c r="V113" s="6"/>
      <c r="W113" s="6"/>
      <c r="X113" s="6"/>
      <c r="Y113" s="6"/>
      <c r="Z113" s="7"/>
    </row>
    <row r="114" spans="2:26" ht="15" x14ac:dyDescent="0.2">
      <c r="B114" s="351" t="s">
        <v>380</v>
      </c>
      <c r="C114" s="269"/>
      <c r="D114" s="269"/>
      <c r="E114" s="269"/>
      <c r="F114" s="269"/>
      <c r="G114" s="269"/>
      <c r="H114" s="269"/>
      <c r="I114" s="270"/>
      <c r="L114" s="220"/>
      <c r="N114" s="17"/>
      <c r="O114" s="6"/>
      <c r="P114" s="6"/>
      <c r="Q114" s="6"/>
      <c r="R114" s="6"/>
      <c r="S114" s="6"/>
      <c r="T114" s="6"/>
      <c r="U114" s="6"/>
      <c r="V114" s="6"/>
      <c r="W114" s="6"/>
      <c r="X114" s="6"/>
      <c r="Y114" s="6"/>
      <c r="Z114" s="7"/>
    </row>
    <row r="115" spans="2:26" ht="15" x14ac:dyDescent="0.2">
      <c r="B115" s="17"/>
      <c r="C115" s="6"/>
      <c r="D115" s="336" t="s">
        <v>302</v>
      </c>
      <c r="E115" s="327"/>
      <c r="F115" s="327"/>
      <c r="G115" s="327"/>
      <c r="H115" s="327"/>
      <c r="I115" s="328"/>
      <c r="L115" s="220"/>
      <c r="N115" s="17"/>
      <c r="O115" s="6"/>
      <c r="P115" s="6"/>
      <c r="Q115" s="6"/>
      <c r="R115" s="6"/>
      <c r="S115" s="6"/>
      <c r="T115" s="6"/>
      <c r="U115" s="6"/>
      <c r="V115" s="6"/>
      <c r="W115" s="6"/>
      <c r="X115" s="6"/>
      <c r="Y115" s="6"/>
      <c r="Z115" s="7"/>
    </row>
    <row r="116" spans="2:26" ht="15" x14ac:dyDescent="0.2">
      <c r="B116" s="390" t="s">
        <v>378</v>
      </c>
      <c r="C116" s="197">
        <v>97.96</v>
      </c>
      <c r="D116" s="123">
        <v>0.1</v>
      </c>
      <c r="E116" s="123">
        <v>0.12</v>
      </c>
      <c r="F116" s="200">
        <v>0.1404</v>
      </c>
      <c r="G116" s="123">
        <v>0.16</v>
      </c>
      <c r="H116" s="123">
        <v>0.18</v>
      </c>
      <c r="I116" s="123">
        <v>0.2</v>
      </c>
      <c r="L116" s="220"/>
      <c r="N116" s="17"/>
      <c r="O116" s="6"/>
      <c r="P116" s="6"/>
      <c r="Q116" s="6"/>
      <c r="R116" s="6"/>
      <c r="S116" s="6"/>
      <c r="T116" s="6"/>
      <c r="U116" s="6"/>
      <c r="V116" s="6"/>
      <c r="W116" s="6"/>
      <c r="X116" s="6"/>
      <c r="Y116" s="6"/>
      <c r="Z116" s="7"/>
    </row>
    <row r="117" spans="2:26" ht="15" x14ac:dyDescent="0.2">
      <c r="B117" s="391"/>
      <c r="C117" s="123">
        <v>0.06</v>
      </c>
      <c r="D117" s="198">
        <v>112.16573202484065</v>
      </c>
      <c r="E117" s="198">
        <v>74.032397353152561</v>
      </c>
      <c r="F117" s="198">
        <v>54.763667195063924</v>
      </c>
      <c r="G117" s="198">
        <v>43.713460958962315</v>
      </c>
      <c r="H117" s="198">
        <v>36.203136425571053</v>
      </c>
      <c r="I117" s="198">
        <v>30.873879059878178</v>
      </c>
      <c r="L117" s="220"/>
      <c r="N117" s="17"/>
      <c r="O117" s="6"/>
      <c r="P117" s="6"/>
      <c r="Q117" s="6"/>
      <c r="R117" s="6"/>
      <c r="S117" s="6"/>
      <c r="T117" s="6"/>
      <c r="U117" s="6"/>
      <c r="V117" s="6"/>
      <c r="W117" s="6"/>
      <c r="X117" s="6"/>
      <c r="Y117" s="6"/>
      <c r="Z117" s="7"/>
    </row>
    <row r="118" spans="2:26" ht="15" x14ac:dyDescent="0.2">
      <c r="B118" s="391"/>
      <c r="C118" s="123">
        <v>7.0000000000000007E-2</v>
      </c>
      <c r="D118" s="198">
        <v>145.61547068568228</v>
      </c>
      <c r="E118" s="198">
        <v>86.556880599333965</v>
      </c>
      <c r="F118" s="198">
        <v>60.976772022524806</v>
      </c>
      <c r="G118" s="198">
        <v>47.384243724808734</v>
      </c>
      <c r="H118" s="198">
        <v>38.553883274640114</v>
      </c>
      <c r="I118" s="198">
        <v>32.47691969190506</v>
      </c>
      <c r="L118" s="220"/>
      <c r="N118" s="17"/>
      <c r="O118" s="6"/>
      <c r="P118" s="6"/>
      <c r="Q118" s="6"/>
      <c r="R118" s="6"/>
      <c r="S118" s="6"/>
      <c r="T118" s="6"/>
      <c r="U118" s="6"/>
      <c r="V118" s="6"/>
      <c r="W118" s="6"/>
      <c r="X118" s="6"/>
      <c r="Y118" s="6"/>
      <c r="Z118" s="7"/>
    </row>
    <row r="119" spans="2:26" ht="15" x14ac:dyDescent="0.2">
      <c r="B119" s="391"/>
      <c r="C119" s="159">
        <v>0.08</v>
      </c>
      <c r="D119" s="198">
        <v>212.51494800736546</v>
      </c>
      <c r="E119" s="198">
        <v>105.34360546860607</v>
      </c>
      <c r="F119" s="198">
        <v>69.24719632927733</v>
      </c>
      <c r="G119" s="198">
        <v>51.972722182116748</v>
      </c>
      <c r="H119" s="198">
        <v>41.374779493522972</v>
      </c>
      <c r="I119" s="198">
        <v>34.347133762603093</v>
      </c>
      <c r="L119" s="220"/>
      <c r="N119" s="17"/>
      <c r="O119" s="6"/>
      <c r="P119" s="6"/>
      <c r="Q119" s="6"/>
      <c r="R119" s="6"/>
      <c r="S119" s="6"/>
      <c r="T119" s="6"/>
      <c r="U119" s="6"/>
      <c r="V119" s="6"/>
      <c r="W119" s="6"/>
      <c r="X119" s="6"/>
      <c r="Y119" s="6"/>
      <c r="Z119" s="7"/>
    </row>
    <row r="120" spans="2:26" ht="15" x14ac:dyDescent="0.2">
      <c r="B120" s="391"/>
      <c r="C120" s="123">
        <v>0.09</v>
      </c>
      <c r="D120" s="198">
        <v>413.21337997241494</v>
      </c>
      <c r="E120" s="198">
        <v>136.65481358405955</v>
      </c>
      <c r="F120" s="198">
        <v>80.799535043471337</v>
      </c>
      <c r="G120" s="198">
        <v>57.872194484369899</v>
      </c>
      <c r="H120" s="198">
        <v>44.82254153882424</v>
      </c>
      <c r="I120" s="198">
        <v>36.557386755246227</v>
      </c>
      <c r="L120" s="220"/>
      <c r="N120" s="17"/>
      <c r="O120" s="6"/>
      <c r="P120" s="6"/>
      <c r="Q120" s="6"/>
      <c r="R120" s="6"/>
      <c r="S120" s="6"/>
      <c r="T120" s="6"/>
      <c r="U120" s="6"/>
      <c r="V120" s="6"/>
      <c r="W120" s="6"/>
      <c r="X120" s="6"/>
      <c r="Y120" s="6"/>
      <c r="Z120" s="7"/>
    </row>
    <row r="121" spans="2:26" ht="15" x14ac:dyDescent="0.2">
      <c r="B121" s="391"/>
      <c r="C121" s="200">
        <v>0.1</v>
      </c>
      <c r="D121" s="198" t="s">
        <v>403</v>
      </c>
      <c r="E121" s="198">
        <v>199.27722981496663</v>
      </c>
      <c r="F121" s="199">
        <v>98.070853319147574</v>
      </c>
      <c r="G121" s="198">
        <v>65.738157554040797</v>
      </c>
      <c r="H121" s="198">
        <v>49.132244095450829</v>
      </c>
      <c r="I121" s="198">
        <v>39.209690346417986</v>
      </c>
      <c r="L121" s="220"/>
      <c r="N121" s="17"/>
      <c r="O121" s="6"/>
      <c r="P121" s="6"/>
      <c r="Q121" s="6"/>
      <c r="R121" s="6"/>
      <c r="S121" s="6"/>
      <c r="T121" s="6"/>
      <c r="U121" s="6"/>
      <c r="V121" s="6"/>
      <c r="W121" s="6"/>
      <c r="X121" s="6"/>
      <c r="Y121" s="6"/>
      <c r="Z121" s="7"/>
    </row>
    <row r="122" spans="2:26" ht="15" x14ac:dyDescent="0.2">
      <c r="B122" s="391"/>
      <c r="C122" s="123">
        <v>0.11</v>
      </c>
      <c r="D122" s="198" t="s">
        <v>403</v>
      </c>
      <c r="E122" s="198">
        <v>387.14447850768772</v>
      </c>
      <c r="F122" s="198">
        <v>126.70488098671602</v>
      </c>
      <c r="G122" s="198">
        <v>76.750505851580044</v>
      </c>
      <c r="H122" s="198">
        <v>54.673290239685016</v>
      </c>
      <c r="I122" s="198">
        <v>42.451394735627915</v>
      </c>
      <c r="L122" s="220"/>
      <c r="N122" s="17"/>
      <c r="O122" s="6"/>
      <c r="P122" s="6"/>
      <c r="Q122" s="6"/>
      <c r="R122" s="6"/>
      <c r="S122" s="6"/>
      <c r="T122" s="6"/>
      <c r="U122" s="6"/>
      <c r="V122" s="6"/>
      <c r="W122" s="6"/>
      <c r="X122" s="6"/>
      <c r="Y122" s="6"/>
      <c r="Z122" s="7"/>
    </row>
    <row r="123" spans="2:26" ht="15" x14ac:dyDescent="0.2">
      <c r="B123" s="391"/>
      <c r="C123" s="123">
        <v>0.12</v>
      </c>
      <c r="D123" s="198" t="s">
        <v>403</v>
      </c>
      <c r="E123" s="198" t="s">
        <v>403</v>
      </c>
      <c r="F123" s="198">
        <v>183.41148479895938</v>
      </c>
      <c r="G123" s="198">
        <v>93.269028297888866</v>
      </c>
      <c r="H123" s="198">
        <v>62.061351765330613</v>
      </c>
      <c r="I123" s="198">
        <v>46.503525222140311</v>
      </c>
      <c r="L123" s="220"/>
      <c r="N123" s="17"/>
      <c r="O123" s="6"/>
      <c r="P123" s="6"/>
      <c r="Q123" s="6"/>
      <c r="R123" s="6"/>
      <c r="S123" s="6"/>
      <c r="T123" s="6"/>
      <c r="U123" s="6"/>
      <c r="V123" s="6"/>
      <c r="W123" s="6"/>
      <c r="X123" s="6"/>
      <c r="Y123" s="6"/>
      <c r="Z123" s="7"/>
    </row>
    <row r="124" spans="2:26" ht="15" x14ac:dyDescent="0.2">
      <c r="B124" s="391"/>
      <c r="C124" s="123">
        <v>0.13</v>
      </c>
      <c r="D124" s="198" t="s">
        <v>403</v>
      </c>
      <c r="E124" s="198" t="s">
        <v>403</v>
      </c>
      <c r="F124" s="198">
        <v>349.16924978859413</v>
      </c>
      <c r="G124" s="198">
        <v>120.79989904173694</v>
      </c>
      <c r="H124" s="198">
        <v>72.404637901234423</v>
      </c>
      <c r="I124" s="198">
        <v>51.713407276227684</v>
      </c>
      <c r="L124" s="220"/>
      <c r="N124" s="17"/>
      <c r="O124" s="6"/>
      <c r="P124" s="6"/>
      <c r="Q124" s="6"/>
      <c r="R124" s="6"/>
      <c r="S124" s="6"/>
      <c r="T124" s="6"/>
      <c r="U124" s="6"/>
      <c r="V124" s="6"/>
      <c r="W124" s="6"/>
      <c r="X124" s="6"/>
      <c r="Y124" s="6"/>
      <c r="Z124" s="7"/>
    </row>
    <row r="125" spans="2:26" ht="15" x14ac:dyDescent="0.2">
      <c r="B125" s="391"/>
      <c r="C125" s="123">
        <v>0.14000000000000001</v>
      </c>
      <c r="D125" s="198" t="s">
        <v>403</v>
      </c>
      <c r="E125" s="198" t="s">
        <v>403</v>
      </c>
      <c r="F125" s="198">
        <v>8802.8152642603145</v>
      </c>
      <c r="G125" s="198">
        <v>175.86164052943323</v>
      </c>
      <c r="H125" s="198">
        <v>87.919567105090195</v>
      </c>
      <c r="I125" s="198">
        <v>58.659916681677544</v>
      </c>
      <c r="L125" s="220"/>
      <c r="N125" s="17"/>
      <c r="O125" s="6"/>
      <c r="P125" s="6"/>
      <c r="Q125" s="6"/>
      <c r="R125" s="6"/>
      <c r="S125" s="6"/>
      <c r="T125" s="6"/>
      <c r="U125" s="6"/>
      <c r="V125" s="6"/>
      <c r="W125" s="6"/>
      <c r="X125" s="6"/>
      <c r="Y125" s="6"/>
      <c r="Z125" s="7"/>
    </row>
    <row r="126" spans="2:26" ht="15" x14ac:dyDescent="0.2">
      <c r="B126" s="391"/>
      <c r="C126" s="123">
        <v>0.15</v>
      </c>
      <c r="D126" s="198" t="s">
        <v>403</v>
      </c>
      <c r="E126" s="198" t="s">
        <v>403</v>
      </c>
      <c r="F126" s="198" t="s">
        <v>403</v>
      </c>
      <c r="G126" s="198">
        <v>341.04686499252119</v>
      </c>
      <c r="H126" s="198">
        <v>113.77778244484971</v>
      </c>
      <c r="I126" s="198">
        <v>68.385029849307287</v>
      </c>
      <c r="L126" s="220"/>
      <c r="N126" s="17"/>
      <c r="O126" s="6"/>
      <c r="P126" s="6"/>
      <c r="Q126" s="6"/>
      <c r="R126" s="6"/>
      <c r="S126" s="6"/>
      <c r="T126" s="6"/>
      <c r="U126" s="6"/>
      <c r="V126" s="6"/>
      <c r="W126" s="6"/>
      <c r="X126" s="6"/>
      <c r="Y126" s="6"/>
      <c r="Z126" s="7"/>
    </row>
    <row r="127" spans="2:26" ht="15" x14ac:dyDescent="0.2">
      <c r="B127" s="391"/>
      <c r="C127" s="123">
        <v>0.16</v>
      </c>
      <c r="D127" s="198" t="s">
        <v>403</v>
      </c>
      <c r="E127" s="198" t="s">
        <v>403</v>
      </c>
      <c r="F127" s="198" t="s">
        <v>403</v>
      </c>
      <c r="G127" s="198" t="s">
        <v>403</v>
      </c>
      <c r="H127" s="198">
        <v>165.49421312436888</v>
      </c>
      <c r="I127" s="198">
        <v>82.972699600751938</v>
      </c>
      <c r="L127" s="220"/>
      <c r="N127" s="17"/>
      <c r="O127" s="6"/>
      <c r="P127" s="6"/>
      <c r="Q127" s="6"/>
      <c r="R127" s="6"/>
      <c r="S127" s="6"/>
      <c r="T127" s="6"/>
      <c r="U127" s="6"/>
      <c r="V127" s="6"/>
      <c r="W127" s="6"/>
      <c r="X127" s="6"/>
      <c r="Y127" s="6"/>
      <c r="Z127" s="7"/>
    </row>
    <row r="128" spans="2:26" ht="15" x14ac:dyDescent="0.2">
      <c r="B128" s="391"/>
      <c r="C128" s="123">
        <v>0.17</v>
      </c>
      <c r="D128" s="198" t="s">
        <v>403</v>
      </c>
      <c r="E128" s="198" t="s">
        <v>403</v>
      </c>
      <c r="F128" s="198" t="s">
        <v>403</v>
      </c>
      <c r="G128" s="198" t="s">
        <v>403</v>
      </c>
      <c r="H128" s="198">
        <v>320.64350516292666</v>
      </c>
      <c r="I128" s="198">
        <v>107.28548251982636</v>
      </c>
      <c r="L128" s="220"/>
      <c r="N128" s="17"/>
      <c r="O128" s="6"/>
      <c r="P128" s="6"/>
      <c r="Q128" s="6"/>
      <c r="R128" s="6"/>
      <c r="S128" s="6"/>
      <c r="T128" s="6"/>
      <c r="U128" s="6"/>
      <c r="V128" s="6"/>
      <c r="W128" s="6"/>
      <c r="X128" s="6"/>
      <c r="Y128" s="6"/>
      <c r="Z128" s="7"/>
    </row>
    <row r="129" spans="2:26" ht="15" x14ac:dyDescent="0.2">
      <c r="B129" s="392"/>
      <c r="C129" s="123">
        <v>0.18</v>
      </c>
      <c r="D129" s="198" t="s">
        <v>403</v>
      </c>
      <c r="E129" s="198" t="s">
        <v>403</v>
      </c>
      <c r="F129" s="198" t="s">
        <v>403</v>
      </c>
      <c r="G129" s="198" t="s">
        <v>403</v>
      </c>
      <c r="H129" s="198" t="s">
        <v>403</v>
      </c>
      <c r="I129" s="198">
        <v>155.91104835797515</v>
      </c>
      <c r="J129" s="195"/>
      <c r="K129" s="195"/>
      <c r="L129" s="221"/>
      <c r="N129" s="17"/>
      <c r="O129" s="6"/>
      <c r="P129" s="6"/>
      <c r="Q129" s="6"/>
      <c r="R129" s="6"/>
      <c r="S129" s="6"/>
      <c r="T129" s="6"/>
      <c r="U129" s="6"/>
      <c r="V129" s="6"/>
      <c r="W129" s="6"/>
      <c r="X129" s="6"/>
      <c r="Y129" s="6"/>
      <c r="Z129" s="7"/>
    </row>
    <row r="130" spans="2:26" ht="15" x14ac:dyDescent="0.2">
      <c r="N130" s="17"/>
      <c r="O130" s="6"/>
      <c r="P130" s="6"/>
      <c r="Q130" s="6"/>
      <c r="R130" s="6"/>
      <c r="S130" s="6"/>
      <c r="T130" s="6"/>
      <c r="U130" s="6"/>
      <c r="V130" s="6"/>
      <c r="W130" s="6"/>
      <c r="X130" s="6"/>
      <c r="Y130" s="6"/>
      <c r="Z130" s="7"/>
    </row>
    <row r="131" spans="2:26" ht="15" x14ac:dyDescent="0.2">
      <c r="B131" s="336" t="s">
        <v>456</v>
      </c>
      <c r="C131" s="327"/>
      <c r="D131" s="327"/>
      <c r="E131" s="327"/>
      <c r="F131" s="327"/>
      <c r="G131" s="327"/>
      <c r="H131" s="327"/>
      <c r="I131" s="327"/>
      <c r="J131" s="327"/>
      <c r="K131" s="327"/>
      <c r="L131" s="328"/>
      <c r="N131" s="17"/>
      <c r="O131" s="6"/>
      <c r="P131" s="6"/>
      <c r="Q131" s="6"/>
      <c r="R131" s="6"/>
      <c r="S131" s="6"/>
      <c r="T131" s="6"/>
      <c r="U131" s="6"/>
      <c r="V131" s="6"/>
      <c r="W131" s="6"/>
      <c r="X131" s="6"/>
      <c r="Y131" s="6"/>
      <c r="Z131" s="7"/>
    </row>
    <row r="132" spans="2:26" ht="15" x14ac:dyDescent="0.2">
      <c r="B132" s="271" t="s">
        <v>454</v>
      </c>
      <c r="C132" s="272"/>
      <c r="D132" s="272"/>
      <c r="E132" s="272"/>
      <c r="F132" s="272" t="s">
        <v>498</v>
      </c>
      <c r="G132" s="272"/>
      <c r="H132" s="272"/>
      <c r="I132" s="272"/>
      <c r="J132" s="272"/>
      <c r="K132" s="6"/>
      <c r="L132" s="7"/>
      <c r="N132" s="17"/>
      <c r="O132" s="6"/>
      <c r="P132" s="6"/>
      <c r="Q132" s="6"/>
      <c r="R132" s="6"/>
      <c r="S132" s="6"/>
      <c r="T132" s="6"/>
      <c r="U132" s="6"/>
      <c r="V132" s="6"/>
      <c r="W132" s="6"/>
      <c r="X132" s="6"/>
      <c r="Y132" s="6"/>
      <c r="Z132" s="7"/>
    </row>
    <row r="133" spans="2:26" ht="15" x14ac:dyDescent="0.25">
      <c r="B133" s="271" t="s">
        <v>455</v>
      </c>
      <c r="C133" s="272"/>
      <c r="D133" s="272"/>
      <c r="E133" s="272"/>
      <c r="F133" s="272" t="s">
        <v>494</v>
      </c>
      <c r="G133" s="272"/>
      <c r="H133" s="272"/>
      <c r="I133" s="272"/>
      <c r="J133" s="272"/>
      <c r="K133" s="6"/>
      <c r="L133" s="7"/>
      <c r="N133" s="224"/>
      <c r="O133" s="404" t="s">
        <v>418</v>
      </c>
      <c r="P133" s="404"/>
      <c r="Q133" s="405" t="s">
        <v>419</v>
      </c>
      <c r="R133" s="405"/>
      <c r="S133" s="6"/>
      <c r="T133" s="223"/>
      <c r="U133" s="223" t="s">
        <v>435</v>
      </c>
      <c r="V133" s="223"/>
      <c r="W133" s="223"/>
      <c r="X133" s="222" t="s">
        <v>419</v>
      </c>
      <c r="Y133" s="6"/>
      <c r="Z133" s="7"/>
    </row>
    <row r="134" spans="2:26" ht="15" x14ac:dyDescent="0.25">
      <c r="B134" s="274" t="s">
        <v>450</v>
      </c>
      <c r="C134" s="275"/>
      <c r="D134" s="275"/>
      <c r="E134" s="275"/>
      <c r="F134" s="275" t="s">
        <v>457</v>
      </c>
      <c r="G134" s="275"/>
      <c r="H134" s="275"/>
      <c r="I134" s="275"/>
      <c r="J134" s="275"/>
      <c r="K134" s="87"/>
      <c r="L134" s="88"/>
      <c r="N134" s="224"/>
      <c r="O134" s="223"/>
      <c r="P134" s="223" t="s">
        <v>420</v>
      </c>
      <c r="Q134" s="223"/>
      <c r="R134" s="225">
        <v>10000</v>
      </c>
      <c r="S134" s="6"/>
      <c r="T134" s="223"/>
      <c r="U134" s="223"/>
      <c r="V134" s="223" t="s">
        <v>436</v>
      </c>
      <c r="W134" s="223"/>
      <c r="X134" s="226">
        <v>39.893273465266233</v>
      </c>
      <c r="Y134" s="6"/>
      <c r="Z134" s="7"/>
    </row>
    <row r="135" spans="2:26" ht="15" x14ac:dyDescent="0.25">
      <c r="N135" s="224"/>
      <c r="O135" s="223"/>
      <c r="P135" s="223" t="s">
        <v>421</v>
      </c>
      <c r="Q135" s="223"/>
      <c r="R135" s="226">
        <v>97.96</v>
      </c>
      <c r="S135" s="6"/>
      <c r="T135" s="223"/>
      <c r="U135" s="223"/>
      <c r="V135" s="223" t="s">
        <v>437</v>
      </c>
      <c r="W135" s="223"/>
      <c r="X135" s="226">
        <v>50.520722468455382</v>
      </c>
      <c r="Y135" s="6"/>
      <c r="Z135" s="7"/>
    </row>
    <row r="136" spans="2:26" ht="15" x14ac:dyDescent="0.25">
      <c r="N136" s="224"/>
      <c r="O136" s="223"/>
      <c r="P136" s="223" t="s">
        <v>422</v>
      </c>
      <c r="Q136" s="223"/>
      <c r="R136" s="226">
        <v>97.961275417760504</v>
      </c>
      <c r="S136" s="6"/>
      <c r="T136" s="223"/>
      <c r="U136" s="223"/>
      <c r="V136" s="223" t="s">
        <v>438</v>
      </c>
      <c r="W136" s="223"/>
      <c r="X136" s="226">
        <v>55.741279432392112</v>
      </c>
      <c r="Y136" s="6"/>
      <c r="Z136" s="7"/>
    </row>
    <row r="137" spans="2:26" ht="15" x14ac:dyDescent="0.25">
      <c r="N137" s="224"/>
      <c r="O137" s="223"/>
      <c r="P137" s="223" t="s">
        <v>423</v>
      </c>
      <c r="Q137" s="223"/>
      <c r="R137" s="226">
        <v>76.566155094538914</v>
      </c>
      <c r="S137" s="6"/>
      <c r="T137" s="223"/>
      <c r="U137" s="223"/>
      <c r="V137" s="223" t="s">
        <v>439</v>
      </c>
      <c r="W137" s="223"/>
      <c r="X137" s="226">
        <v>61.362684145842238</v>
      </c>
      <c r="Y137" s="6"/>
      <c r="Z137" s="7"/>
    </row>
    <row r="138" spans="2:26" ht="15" x14ac:dyDescent="0.25">
      <c r="N138" s="224"/>
      <c r="O138" s="223"/>
      <c r="P138" s="223" t="s">
        <v>424</v>
      </c>
      <c r="Q138" s="223"/>
      <c r="R138" s="227" t="s">
        <v>425</v>
      </c>
      <c r="S138" s="6"/>
      <c r="T138" s="223"/>
      <c r="U138" s="223"/>
      <c r="V138" s="223" t="s">
        <v>440</v>
      </c>
      <c r="W138" s="223"/>
      <c r="X138" s="226">
        <v>68.170890966775247</v>
      </c>
      <c r="Y138" s="6"/>
      <c r="Z138" s="7"/>
    </row>
    <row r="139" spans="2:26" ht="15" x14ac:dyDescent="0.25">
      <c r="N139" s="224"/>
      <c r="O139" s="223"/>
      <c r="P139" s="223" t="s">
        <v>426</v>
      </c>
      <c r="Q139" s="223"/>
      <c r="R139" s="226">
        <v>90.294156051203387</v>
      </c>
      <c r="S139" s="6"/>
      <c r="T139" s="223"/>
      <c r="U139" s="223"/>
      <c r="V139" s="223" t="s">
        <v>441</v>
      </c>
      <c r="W139" s="223"/>
      <c r="X139" s="226">
        <v>76.564220865824439</v>
      </c>
      <c r="Y139" s="6"/>
      <c r="Z139" s="7"/>
    </row>
    <row r="140" spans="2:26" ht="15" x14ac:dyDescent="0.25">
      <c r="N140" s="224"/>
      <c r="O140" s="223"/>
      <c r="P140" s="223" t="s">
        <v>427</v>
      </c>
      <c r="Q140" s="223"/>
      <c r="R140" s="226">
        <v>8153.034616999068</v>
      </c>
      <c r="S140" s="6"/>
      <c r="T140" s="223"/>
      <c r="U140" s="223"/>
      <c r="V140" s="223" t="s">
        <v>442</v>
      </c>
      <c r="W140" s="223"/>
      <c r="X140" s="226">
        <v>86.775200299743645</v>
      </c>
      <c r="Y140" s="6"/>
      <c r="Z140" s="7"/>
    </row>
    <row r="141" spans="2:26" ht="15" x14ac:dyDescent="0.25">
      <c r="N141" s="224"/>
      <c r="O141" s="223"/>
      <c r="P141" s="223" t="s">
        <v>428</v>
      </c>
      <c r="Q141" s="223"/>
      <c r="R141" s="228">
        <v>13.311182909639687</v>
      </c>
      <c r="S141" s="6"/>
      <c r="T141" s="223"/>
      <c r="U141" s="223"/>
      <c r="V141" s="223" t="s">
        <v>443</v>
      </c>
      <c r="W141" s="223"/>
      <c r="X141" s="226">
        <v>100.42783432492909</v>
      </c>
      <c r="Y141" s="6"/>
      <c r="Z141" s="7"/>
    </row>
    <row r="142" spans="2:26" ht="15" x14ac:dyDescent="0.25">
      <c r="N142" s="224"/>
      <c r="O142" s="223"/>
      <c r="P142" s="223" t="s">
        <v>429</v>
      </c>
      <c r="Q142" s="223"/>
      <c r="R142" s="228">
        <v>346.93313992291803</v>
      </c>
      <c r="S142" s="6"/>
      <c r="T142" s="223"/>
      <c r="U142" s="223"/>
      <c r="V142" s="223" t="s">
        <v>444</v>
      </c>
      <c r="W142" s="223"/>
      <c r="X142" s="226">
        <v>120.93195342920484</v>
      </c>
      <c r="Y142" s="6"/>
      <c r="Z142" s="7"/>
    </row>
    <row r="143" spans="2:26" ht="15" x14ac:dyDescent="0.25">
      <c r="N143" s="224"/>
      <c r="O143" s="223"/>
      <c r="P143" s="223" t="s">
        <v>430</v>
      </c>
      <c r="Q143" s="223"/>
      <c r="R143" s="229">
        <v>0.92173316104899283</v>
      </c>
      <c r="S143" s="6"/>
      <c r="T143" s="223"/>
      <c r="U143" s="223"/>
      <c r="V143" s="223" t="s">
        <v>445</v>
      </c>
      <c r="W143" s="223"/>
      <c r="X143" s="226">
        <v>157.448606708699</v>
      </c>
      <c r="Y143" s="6"/>
      <c r="Z143" s="7"/>
    </row>
    <row r="144" spans="2:26" ht="15" x14ac:dyDescent="0.25">
      <c r="N144" s="224"/>
      <c r="O144" s="223"/>
      <c r="P144" s="223" t="s">
        <v>431</v>
      </c>
      <c r="Q144" s="223"/>
      <c r="R144" s="226">
        <v>39.893273465266233</v>
      </c>
      <c r="S144" s="6"/>
      <c r="T144" s="223"/>
      <c r="U144" s="223"/>
      <c r="V144" s="223" t="s">
        <v>446</v>
      </c>
      <c r="W144" s="223"/>
      <c r="X144" s="226">
        <v>3551.0471433900725</v>
      </c>
      <c r="Y144" s="6"/>
      <c r="Z144" s="7"/>
    </row>
    <row r="145" spans="14:26" ht="15" x14ac:dyDescent="0.25">
      <c r="N145" s="224"/>
      <c r="O145" s="223"/>
      <c r="P145" s="223" t="s">
        <v>432</v>
      </c>
      <c r="Q145" s="223"/>
      <c r="R145" s="226">
        <v>3551.0471433900725</v>
      </c>
      <c r="S145" s="6"/>
      <c r="T145" s="6"/>
      <c r="U145" s="6"/>
      <c r="V145" s="6"/>
      <c r="W145" s="6"/>
      <c r="X145" s="6"/>
      <c r="Y145" s="6"/>
      <c r="Z145" s="7"/>
    </row>
    <row r="146" spans="14:26" ht="15" x14ac:dyDescent="0.25">
      <c r="N146" s="224"/>
      <c r="O146" s="223"/>
      <c r="P146" s="223" t="s">
        <v>433</v>
      </c>
      <c r="Q146" s="223"/>
      <c r="R146" s="226">
        <v>3511.1538699248063</v>
      </c>
      <c r="S146" s="6"/>
      <c r="T146" s="6"/>
      <c r="U146" s="6"/>
      <c r="V146" s="6"/>
      <c r="W146" s="6"/>
      <c r="X146" s="6"/>
      <c r="Y146" s="6"/>
      <c r="Z146" s="7"/>
    </row>
    <row r="147" spans="14:26" ht="15" x14ac:dyDescent="0.25">
      <c r="N147" s="230"/>
      <c r="O147" s="231"/>
      <c r="P147" s="231" t="s">
        <v>434</v>
      </c>
      <c r="Q147" s="231"/>
      <c r="R147" s="232">
        <v>0.90294156051203389</v>
      </c>
      <c r="S147" s="87"/>
      <c r="T147" s="87"/>
      <c r="U147" s="87"/>
      <c r="V147" s="87"/>
      <c r="W147" s="87"/>
      <c r="X147" s="87"/>
      <c r="Y147" s="87"/>
      <c r="Z147" s="88"/>
    </row>
    <row r="148" spans="14:26" ht="15" x14ac:dyDescent="0.2">
      <c r="N148" s="277" t="s">
        <v>451</v>
      </c>
      <c r="O148" s="278"/>
      <c r="P148" s="278"/>
      <c r="Q148" s="278"/>
      <c r="R148" s="94"/>
      <c r="S148" s="94"/>
      <c r="T148" s="94"/>
      <c r="U148" s="94"/>
      <c r="V148" s="94"/>
      <c r="W148" s="94"/>
      <c r="X148" s="94"/>
      <c r="Y148" s="94"/>
      <c r="Z148" s="95"/>
    </row>
    <row r="149" spans="14:26" x14ac:dyDescent="0.2">
      <c r="N149" s="268" t="s">
        <v>491</v>
      </c>
      <c r="O149" s="318"/>
      <c r="P149" s="318"/>
      <c r="Q149" s="318"/>
      <c r="R149" s="318"/>
      <c r="S149" s="318"/>
      <c r="T149" s="318"/>
      <c r="U149" s="318"/>
      <c r="V149" s="318"/>
      <c r="W149" s="318"/>
      <c r="X149" s="318"/>
      <c r="Y149" s="318"/>
      <c r="Z149" s="319"/>
    </row>
    <row r="150" spans="14:26" x14ac:dyDescent="0.2">
      <c r="N150" s="289"/>
      <c r="O150" s="290"/>
      <c r="P150" s="290"/>
      <c r="Q150" s="290"/>
      <c r="R150" s="290"/>
      <c r="S150" s="290"/>
      <c r="T150" s="290"/>
      <c r="U150" s="290"/>
      <c r="V150" s="290"/>
      <c r="W150" s="290"/>
      <c r="X150" s="290"/>
      <c r="Y150" s="290"/>
      <c r="Z150" s="303"/>
    </row>
    <row r="151" spans="14:26" x14ac:dyDescent="0.2">
      <c r="N151" s="289"/>
      <c r="O151" s="290"/>
      <c r="P151" s="290"/>
      <c r="Q151" s="290"/>
      <c r="R151" s="290"/>
      <c r="S151" s="290"/>
      <c r="T151" s="290"/>
      <c r="U151" s="290"/>
      <c r="V151" s="290"/>
      <c r="W151" s="290"/>
      <c r="X151" s="290"/>
      <c r="Y151" s="290"/>
      <c r="Z151" s="303"/>
    </row>
    <row r="152" spans="14:26" x14ac:dyDescent="0.2">
      <c r="N152" s="289"/>
      <c r="O152" s="290"/>
      <c r="P152" s="290"/>
      <c r="Q152" s="290"/>
      <c r="R152" s="290"/>
      <c r="S152" s="290"/>
      <c r="T152" s="290"/>
      <c r="U152" s="290"/>
      <c r="V152" s="290"/>
      <c r="W152" s="290"/>
      <c r="X152" s="290"/>
      <c r="Y152" s="290"/>
      <c r="Z152" s="303"/>
    </row>
    <row r="153" spans="14:26" x14ac:dyDescent="0.2">
      <c r="N153" s="289"/>
      <c r="O153" s="290"/>
      <c r="P153" s="290"/>
      <c r="Q153" s="290"/>
      <c r="R153" s="290"/>
      <c r="S153" s="290"/>
      <c r="T153" s="290"/>
      <c r="U153" s="290"/>
      <c r="V153" s="290"/>
      <c r="W153" s="290"/>
      <c r="X153" s="290"/>
      <c r="Y153" s="290"/>
      <c r="Z153" s="303"/>
    </row>
    <row r="154" spans="14:26" x14ac:dyDescent="0.2">
      <c r="N154" s="289"/>
      <c r="O154" s="290"/>
      <c r="P154" s="290"/>
      <c r="Q154" s="290"/>
      <c r="R154" s="290"/>
      <c r="S154" s="290"/>
      <c r="T154" s="290"/>
      <c r="U154" s="290"/>
      <c r="V154" s="290"/>
      <c r="W154" s="290"/>
      <c r="X154" s="290"/>
      <c r="Y154" s="290"/>
      <c r="Z154" s="303"/>
    </row>
    <row r="155" spans="14:26" x14ac:dyDescent="0.2">
      <c r="N155" s="289"/>
      <c r="O155" s="290"/>
      <c r="P155" s="290"/>
      <c r="Q155" s="290"/>
      <c r="R155" s="290"/>
      <c r="S155" s="290"/>
      <c r="T155" s="290"/>
      <c r="U155" s="290"/>
      <c r="V155" s="290"/>
      <c r="W155" s="290"/>
      <c r="X155" s="290"/>
      <c r="Y155" s="290"/>
      <c r="Z155" s="303"/>
    </row>
    <row r="156" spans="14:26" x14ac:dyDescent="0.2">
      <c r="N156" s="334"/>
      <c r="O156" s="320"/>
      <c r="P156" s="320"/>
      <c r="Q156" s="320"/>
      <c r="R156" s="320"/>
      <c r="S156" s="320"/>
      <c r="T156" s="320"/>
      <c r="U156" s="320"/>
      <c r="V156" s="320"/>
      <c r="W156" s="320"/>
      <c r="X156" s="320"/>
      <c r="Y156" s="320"/>
      <c r="Z156" s="321"/>
    </row>
    <row r="157" spans="14:26" ht="15" x14ac:dyDescent="0.2">
      <c r="N157" s="340" t="s">
        <v>452</v>
      </c>
      <c r="O157" s="327"/>
      <c r="P157" s="327"/>
      <c r="Q157" s="327"/>
      <c r="R157" s="102"/>
      <c r="S157" s="102"/>
      <c r="T157" s="102"/>
      <c r="U157" s="102"/>
      <c r="V157" s="102"/>
      <c r="W157" s="102"/>
      <c r="X157" s="102"/>
      <c r="Y157" s="102"/>
      <c r="Z157" s="101"/>
    </row>
    <row r="158" spans="14:26" x14ac:dyDescent="0.2">
      <c r="N158" s="289" t="s">
        <v>453</v>
      </c>
      <c r="O158" s="290"/>
      <c r="P158" s="290"/>
      <c r="Q158" s="290"/>
      <c r="R158" s="290"/>
      <c r="S158" s="290"/>
      <c r="T158" s="290"/>
      <c r="U158" s="290"/>
      <c r="V158" s="290"/>
      <c r="W158" s="290"/>
      <c r="X158" s="290"/>
      <c r="Y158" s="290"/>
      <c r="Z158" s="303"/>
    </row>
    <row r="159" spans="14:26" x14ac:dyDescent="0.2">
      <c r="N159" s="289"/>
      <c r="O159" s="290"/>
      <c r="P159" s="290"/>
      <c r="Q159" s="290"/>
      <c r="R159" s="290"/>
      <c r="S159" s="290"/>
      <c r="T159" s="290"/>
      <c r="U159" s="290"/>
      <c r="V159" s="290"/>
      <c r="W159" s="290"/>
      <c r="X159" s="290"/>
      <c r="Y159" s="290"/>
      <c r="Z159" s="303"/>
    </row>
    <row r="160" spans="14:26" x14ac:dyDescent="0.2">
      <c r="N160" s="289"/>
      <c r="O160" s="290"/>
      <c r="P160" s="290"/>
      <c r="Q160" s="290"/>
      <c r="R160" s="290"/>
      <c r="S160" s="290"/>
      <c r="T160" s="290"/>
      <c r="U160" s="290"/>
      <c r="V160" s="290"/>
      <c r="W160" s="290"/>
      <c r="X160" s="290"/>
      <c r="Y160" s="290"/>
      <c r="Z160" s="303"/>
    </row>
    <row r="161" spans="14:26" x14ac:dyDescent="0.2">
      <c r="N161" s="289"/>
      <c r="O161" s="290"/>
      <c r="P161" s="290"/>
      <c r="Q161" s="290"/>
      <c r="R161" s="290"/>
      <c r="S161" s="290"/>
      <c r="T161" s="290"/>
      <c r="U161" s="290"/>
      <c r="V161" s="290"/>
      <c r="W161" s="290"/>
      <c r="X161" s="290"/>
      <c r="Y161" s="290"/>
      <c r="Z161" s="303"/>
    </row>
    <row r="162" spans="14:26" x14ac:dyDescent="0.2">
      <c r="N162" s="289"/>
      <c r="O162" s="290"/>
      <c r="P162" s="290"/>
      <c r="Q162" s="290"/>
      <c r="R162" s="290"/>
      <c r="S162" s="290"/>
      <c r="T162" s="290"/>
      <c r="U162" s="290"/>
      <c r="V162" s="290"/>
      <c r="W162" s="290"/>
      <c r="X162" s="290"/>
      <c r="Y162" s="290"/>
      <c r="Z162" s="303"/>
    </row>
    <row r="163" spans="14:26" x14ac:dyDescent="0.2">
      <c r="N163" s="289"/>
      <c r="O163" s="290"/>
      <c r="P163" s="290"/>
      <c r="Q163" s="290"/>
      <c r="R163" s="290"/>
      <c r="S163" s="290"/>
      <c r="T163" s="290"/>
      <c r="U163" s="290"/>
      <c r="V163" s="290"/>
      <c r="W163" s="290"/>
      <c r="X163" s="290"/>
      <c r="Y163" s="290"/>
      <c r="Z163" s="303"/>
    </row>
    <row r="164" spans="14:26" x14ac:dyDescent="0.2">
      <c r="N164" s="289"/>
      <c r="O164" s="290"/>
      <c r="P164" s="290"/>
      <c r="Q164" s="290"/>
      <c r="R164" s="290"/>
      <c r="S164" s="290"/>
      <c r="T164" s="290"/>
      <c r="U164" s="290"/>
      <c r="V164" s="290"/>
      <c r="W164" s="290"/>
      <c r="X164" s="290"/>
      <c r="Y164" s="290"/>
      <c r="Z164" s="303"/>
    </row>
    <row r="165" spans="14:26" x14ac:dyDescent="0.2">
      <c r="N165" s="289"/>
      <c r="O165" s="290"/>
      <c r="P165" s="290"/>
      <c r="Q165" s="290"/>
      <c r="R165" s="290"/>
      <c r="S165" s="290"/>
      <c r="T165" s="290"/>
      <c r="U165" s="290"/>
      <c r="V165" s="290"/>
      <c r="W165" s="290"/>
      <c r="X165" s="290"/>
      <c r="Y165" s="290"/>
      <c r="Z165" s="303"/>
    </row>
    <row r="166" spans="14:26" x14ac:dyDescent="0.2">
      <c r="N166" s="334"/>
      <c r="O166" s="320"/>
      <c r="P166" s="320"/>
      <c r="Q166" s="320"/>
      <c r="R166" s="320"/>
      <c r="S166" s="320"/>
      <c r="T166" s="320"/>
      <c r="U166" s="320"/>
      <c r="V166" s="320"/>
      <c r="W166" s="320"/>
      <c r="X166" s="320"/>
      <c r="Y166" s="320"/>
      <c r="Z166" s="321"/>
    </row>
  </sheetData>
  <scenarios current="0" sqref="AD17">
    <scenario name="Bear growth" locked="1" count="1" user="赵子航">
      <inputCells r="AC4" val="0.095" numFmtId="10"/>
    </scenario>
    <scenario name="Bear WACC" locked="1" count="1" user="赵子航">
      <inputCells r="AC3" val="0.145" numFmtId="10"/>
    </scenario>
    <scenario name="Bear FCF" locked="1" count="5" user="赵子航">
      <inputCells r="AE7" val="3849" numFmtId="177"/>
      <inputCells r="AF7" val="4695" numFmtId="177"/>
      <inputCells r="AG7" val="5729" numFmtId="177"/>
      <inputCells r="AH7" val="6989" numFmtId="177"/>
      <inputCells r="AI7" val="8527" numFmtId="177"/>
    </scenario>
  </scenarios>
  <mergeCells count="107">
    <mergeCell ref="B41:B54"/>
    <mergeCell ref="B56:I56"/>
    <mergeCell ref="D57:I57"/>
    <mergeCell ref="B58:B71"/>
    <mergeCell ref="B74:L74"/>
    <mergeCell ref="B76:I76"/>
    <mergeCell ref="D77:I77"/>
    <mergeCell ref="B78:B91"/>
    <mergeCell ref="B94:I94"/>
    <mergeCell ref="Q5:S5"/>
    <mergeCell ref="T5:V5"/>
    <mergeCell ref="Q6:S6"/>
    <mergeCell ref="T6:V6"/>
    <mergeCell ref="B22:I22"/>
    <mergeCell ref="D23:I23"/>
    <mergeCell ref="B24:B37"/>
    <mergeCell ref="B39:I39"/>
    <mergeCell ref="D40:I40"/>
    <mergeCell ref="B4:I4"/>
    <mergeCell ref="D5:I5"/>
    <mergeCell ref="B6:B19"/>
    <mergeCell ref="B2:L2"/>
    <mergeCell ref="N5:P5"/>
    <mergeCell ref="N6:P6"/>
    <mergeCell ref="N7:P7"/>
    <mergeCell ref="N8:P8"/>
    <mergeCell ref="N9:P9"/>
    <mergeCell ref="N10:P10"/>
    <mergeCell ref="P61:Q61"/>
    <mergeCell ref="Q10:S10"/>
    <mergeCell ref="T10:V10"/>
    <mergeCell ref="N11:P11"/>
    <mergeCell ref="Q11:S11"/>
    <mergeCell ref="T11:V11"/>
    <mergeCell ref="Q7:S7"/>
    <mergeCell ref="T7:V7"/>
    <mergeCell ref="Q8:S8"/>
    <mergeCell ref="T8:V8"/>
    <mergeCell ref="Q9:S9"/>
    <mergeCell ref="T9:V9"/>
    <mergeCell ref="N149:Z156"/>
    <mergeCell ref="N157:Q157"/>
    <mergeCell ref="N158:Z166"/>
    <mergeCell ref="B132:E132"/>
    <mergeCell ref="B133:E133"/>
    <mergeCell ref="B134:E134"/>
    <mergeCell ref="T82:V82"/>
    <mergeCell ref="T83:V83"/>
    <mergeCell ref="O133:P133"/>
    <mergeCell ref="Q133:R133"/>
    <mergeCell ref="N148:Q148"/>
    <mergeCell ref="N82:P82"/>
    <mergeCell ref="N83:P83"/>
    <mergeCell ref="Q82:S82"/>
    <mergeCell ref="Q83:S83"/>
    <mergeCell ref="D95:I95"/>
    <mergeCell ref="B96:B109"/>
    <mergeCell ref="B112:L112"/>
    <mergeCell ref="B114:I114"/>
    <mergeCell ref="D115:I115"/>
    <mergeCell ref="B116:B129"/>
    <mergeCell ref="B131:L131"/>
    <mergeCell ref="F132:J132"/>
    <mergeCell ref="F133:J133"/>
    <mergeCell ref="F134:J134"/>
    <mergeCell ref="AB2:AI2"/>
    <mergeCell ref="AB14:AC14"/>
    <mergeCell ref="AB15:AC15"/>
    <mergeCell ref="AC4:AD4"/>
    <mergeCell ref="AE4:AF4"/>
    <mergeCell ref="Q79:S79"/>
    <mergeCell ref="Q80:S80"/>
    <mergeCell ref="Q81:S81"/>
    <mergeCell ref="N77:Z77"/>
    <mergeCell ref="N78:V78"/>
    <mergeCell ref="N79:P79"/>
    <mergeCell ref="N80:P80"/>
    <mergeCell ref="N81:P81"/>
    <mergeCell ref="T79:V79"/>
    <mergeCell ref="T80:V80"/>
    <mergeCell ref="T81:V81"/>
    <mergeCell ref="N2:Z2"/>
    <mergeCell ref="N3:V3"/>
    <mergeCell ref="W21:Z23"/>
    <mergeCell ref="N61:O61"/>
    <mergeCell ref="AG4:AH4"/>
    <mergeCell ref="AC5:AD5"/>
    <mergeCell ref="AC6:AD6"/>
    <mergeCell ref="AB66:AI70"/>
    <mergeCell ref="AB65:AC65"/>
    <mergeCell ref="AC7:AD7"/>
    <mergeCell ref="AC8:AD8"/>
    <mergeCell ref="AG5:AH5"/>
    <mergeCell ref="AG6:AH6"/>
    <mergeCell ref="AG7:AH7"/>
    <mergeCell ref="AG8:AH8"/>
    <mergeCell ref="AC13:AD13"/>
    <mergeCell ref="AC10:AD10"/>
    <mergeCell ref="AE10:AF10"/>
    <mergeCell ref="AG9:AH9"/>
    <mergeCell ref="AG10:AH10"/>
    <mergeCell ref="AC9:AD9"/>
    <mergeCell ref="AE5:AF5"/>
    <mergeCell ref="AE6:AF6"/>
    <mergeCell ref="AE7:AF7"/>
    <mergeCell ref="AE8:AF8"/>
    <mergeCell ref="AE9:AF9"/>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Cover</vt:lpstr>
      <vt:lpstr>Company summary</vt:lpstr>
      <vt:lpstr>BSorig</vt:lpstr>
      <vt:lpstr>ISorig</vt:lpstr>
      <vt:lpstr>CFstm</vt:lpstr>
      <vt:lpstr>BSmod</vt:lpstr>
      <vt:lpstr>ISmod</vt:lpstr>
      <vt:lpstr>IS&amp;BS pro forma</vt:lpstr>
      <vt:lpstr>Support tab</vt:lpstr>
      <vt:lpstr>Fin ratio</vt:lpstr>
      <vt:lpstr>Revised IS&amp;BS pro forma</vt:lpstr>
      <vt:lpstr>Valuation</vt:lpstr>
      <vt:lpstr>Risk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赵子航</dc:creator>
  <cp:lastModifiedBy>子航 赵</cp:lastModifiedBy>
  <dcterms:created xsi:type="dcterms:W3CDTF">2023-04-19T20:31:45Z</dcterms:created>
  <dcterms:modified xsi:type="dcterms:W3CDTF">2024-06-01T20:40:20Z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owerlinkCOMAddIn.COMAddIn.WebAddinBridge.Options">
    <vt:lpwstr>{"port":50152,"version":"1.21.409"}</vt:lpwstr>
  </property>
</Properties>
</file>